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mbeddings/oleObject6.bin" ContentType="application/vnd.openxmlformats-officedocument.oleObject"/>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D:\11gabillah\PPNS\Semester 3\00_Tugas S3 Tahanan dan Propulsi &amp; RU\Tanker - Class ABS\Tanker - Class ABS\"/>
    </mc:Choice>
  </mc:AlternateContent>
  <xr:revisionPtr revIDLastSave="0" documentId="13_ncr:1_{C9D37FA7-0602-42A1-ACAC-2A9A549119E4}" xr6:coauthVersionLast="47" xr6:coauthVersionMax="47" xr10:uidLastSave="{00000000-0000-0000-0000-000000000000}"/>
  <bookViews>
    <workbookView xWindow="11424" yWindow="0" windowWidth="11712" windowHeight="12336" tabRatio="604" firstSheet="7" activeTab="13" xr2:uid="{CEDFBC02-F912-4AB0-8904-059B60C6587A}"/>
  </bookViews>
  <sheets>
    <sheet name="GULD" sheetId="3" r:id="rId1"/>
    <sheet name="MAXSURF" sheetId="4" r:id="rId2"/>
    <sheet name="BHP" sheetId="5" r:id="rId3"/>
    <sheet name="EPM " sheetId="7" r:id="rId4"/>
    <sheet name="DISP" sheetId="6" r:id="rId5"/>
    <sheet name="GT" sheetId="1" r:id="rId6"/>
    <sheet name="DOC 1 ATTACH" sheetId="8" r:id="rId7"/>
    <sheet name="DOC 2 ATTACH" sheetId="11" r:id="rId8"/>
    <sheet name="DOC 3 ATTACH" sheetId="12" r:id="rId9"/>
    <sheet name="SARAT KOSONG" sheetId="14" r:id="rId10"/>
    <sheet name="Tank" sheetId="13" r:id="rId11"/>
    <sheet name="HOLTROP" sheetId="2" r:id="rId12"/>
    <sheet name="DOC 4. ANCHOR " sheetId="15" r:id="rId13"/>
    <sheet name="DOC 5" sheetId="16" r:id="rId14"/>
  </sheets>
  <externalReferences>
    <externalReference r:id="rId15"/>
    <externalReference r:id="rId16"/>
    <externalReference r:id="rId17"/>
    <externalReference r:id="rId18"/>
    <externalReference r:id="rId19"/>
  </externalReferences>
  <definedNames>
    <definedName name="B_Lth" localSheetId="4">#REF!</definedName>
    <definedName name="B_Lth" localSheetId="3">#REF!</definedName>
    <definedName name="B_Lth" localSheetId="9">#REF!</definedName>
    <definedName name="B_Lth">#REF!</definedName>
    <definedName name="Brg_Posn" localSheetId="4">[1]Calculations!#REF!</definedName>
    <definedName name="Brg_Posn" localSheetId="3">[1]Calculations!#REF!</definedName>
    <definedName name="Brg_Posn" localSheetId="9">[1]Calculations!#REF!</definedName>
    <definedName name="Brg_Posn">[1]Calculations!#REF!</definedName>
    <definedName name="cargodiameter">'DOC 5'!$D$16</definedName>
    <definedName name="cargodiametermm">'DOC 5'!$D$17</definedName>
    <definedName name="cargoflowsec">'DOC 5'!$D$9</definedName>
    <definedName name="Chamfer">'[1]PS Data'!$A$28:$B$31</definedName>
    <definedName name="DB_m">'[2]Engine Selection'!$C$159</definedName>
    <definedName name="DHP_HP" localSheetId="7">[2]Holtrop!$D$103</definedName>
    <definedName name="DHP_HP" localSheetId="8">[2]Power!$D$103</definedName>
    <definedName name="DHP_HP" localSheetId="12">[2]Power!$D$103</definedName>
    <definedName name="DHP_HP" localSheetId="13">[2]Power!$D$103</definedName>
    <definedName name="DHP_HP">[2]Power!$D$103</definedName>
    <definedName name="Ds" localSheetId="9">#REF!</definedName>
    <definedName name="Ds">#REF!</definedName>
    <definedName name="EnginePower">'[2]Engine Selection'!$D$36</definedName>
    <definedName name="Grooves">'[1]PS Data'!$E$21:$H$26</definedName>
    <definedName name="Key_Data">'[1]PS Data'!$A$3:$F$13</definedName>
    <definedName name="Keyway_Data">'[1]PS Data'!$D$35:$F$45</definedName>
    <definedName name="LINEB">#REF!</definedName>
    <definedName name="P_LD">'[1]Rdr Data'!$D$3</definedName>
    <definedName name="_xlnm.Print_Area" localSheetId="4">DISP!$G$1:$BM$38</definedName>
    <definedName name="_xlnm.Print_Area" localSheetId="6">'DOC 1 ATTACH'!$A$1:$H$450</definedName>
    <definedName name="_xlnm.Print_Area" localSheetId="7">'DOC 2 ATTACH'!$A$1:$S$211</definedName>
    <definedName name="_xlnm.Print_Area" localSheetId="8">'DOC 3 ATTACH'!$A$1:$S$309</definedName>
    <definedName name="_xlnm.Print_Area" localSheetId="12">'DOC 4. ANCHOR '!$A$1:$R$498</definedName>
    <definedName name="_xlnm.Print_Area" localSheetId="13">'DOC 5'!$A$1:$Q$179</definedName>
    <definedName name="_xlnm.Print_Area" localSheetId="3">'EPM '!$A$1:$I$323</definedName>
    <definedName name="_xlnm.Print_Area" localSheetId="1">MAXSURF!$A$1:$E$46</definedName>
    <definedName name="R_Brg_Posn">'[1]Rudder Stock'!$B$5</definedName>
    <definedName name="R_Ratio_ID">'[1]Rdr Data'!$C$10</definedName>
    <definedName name="R_Ratio_Multiplier">'[1]Rdr Data'!$A$7:$C$9</definedName>
    <definedName name="R_RF_Section_Qty">'[1]Rudder Stock'!$B$36</definedName>
    <definedName name="R_Section_Qty">'[1]Rdr Data'!$B$16</definedName>
    <definedName name="R_Section_Qty_Table">'[1]Rdr Data'!$A$13:$B$15</definedName>
    <definedName name="Ratio_Multiplier">'[1]PS Data'!$A$22:$D$25</definedName>
    <definedName name="RDs">'[1]Rudder Stock'!$B$4</definedName>
    <definedName name="Section_Data">'[1]PS Data'!$L$3:$O$13</definedName>
    <definedName name="Section_Dias">'[1]PS Data'!$K$3:$K$13</definedName>
    <definedName name="Section_Qty_Table">'[1]PS Data'!$L$20:$M$23</definedName>
    <definedName name="Section_Ratios">'[1]PS Data'!$L$2:$O$2</definedName>
    <definedName name="Select_R_Ratio">'[1]Rudder Stock'!$B$9</definedName>
    <definedName name="Select_Ratio">'[1]PS Data'!$I$15</definedName>
    <definedName name="SHP_kW" localSheetId="7">'[2]Engine and Power'!$C$170</definedName>
    <definedName name="SHP_kW" localSheetId="8">'[2]Engine Selection'!$C$170</definedName>
    <definedName name="SHP_kW" localSheetId="12">'[2]Engine Selection'!$C$170</definedName>
    <definedName name="SHP_kW" localSheetId="13">'[2]Engine Selection'!$C$170</definedName>
    <definedName name="SHP_kW">'[2]Engine Selection'!$C$170</definedName>
    <definedName name="speed">'DOC 5'!$F$12</definedName>
    <definedName name="Step_Qty">'[1]PS Data'!$M$24</definedName>
    <definedName name="Tolerance">'[1]PS Data'!$A$34:$B$45</definedName>
    <definedName name="UandL_LD">'[1]Rdr Data'!$B$3:$B$5</definedName>
    <definedName name="Washways">'[1]PS Data'!$E$17:$G$20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72" i="12" l="1"/>
  <c r="F502" i="15"/>
  <c r="E433" i="15"/>
  <c r="E188" i="15"/>
  <c r="E177" i="15"/>
  <c r="F271" i="12" l="1"/>
  <c r="F274" i="12" s="1"/>
  <c r="G103" i="11"/>
  <c r="E66" i="15"/>
  <c r="E64" i="15"/>
  <c r="E62" i="15"/>
  <c r="E60" i="15"/>
  <c r="E76" i="15" l="1"/>
  <c r="M34" i="11"/>
  <c r="M33" i="11"/>
  <c r="M32" i="11"/>
  <c r="M35" i="11" l="1"/>
  <c r="F283" i="12" l="1"/>
  <c r="Q179" i="11" l="1"/>
  <c r="Q180" i="11" s="1"/>
  <c r="Q182" i="11" s="1"/>
  <c r="O7" i="11" l="1"/>
  <c r="G12" i="2"/>
  <c r="E15" i="15" s="1"/>
  <c r="G11" i="2"/>
  <c r="G10" i="2"/>
  <c r="E14" i="15" s="1"/>
  <c r="G9" i="2"/>
  <c r="E13" i="15" s="1"/>
  <c r="G8" i="2"/>
  <c r="E12" i="15" s="1"/>
  <c r="G7" i="2"/>
  <c r="E11" i="15" s="1"/>
  <c r="G6" i="2"/>
  <c r="E10" i="15" s="1"/>
  <c r="E56" i="15" s="1"/>
  <c r="E70" i="15" s="1"/>
  <c r="G3" i="2" a="1"/>
  <c r="G3" i="2" s="1"/>
  <c r="O34" i="13"/>
  <c r="D127" i="14"/>
  <c r="E75" i="15" l="1"/>
  <c r="E58" i="15"/>
  <c r="E12" i="12"/>
  <c r="G7" i="14"/>
  <c r="E14" i="12"/>
  <c r="G9" i="14"/>
  <c r="E11" i="12"/>
  <c r="G6" i="14"/>
  <c r="G11" i="8"/>
  <c r="G10" i="14"/>
  <c r="E10" i="12"/>
  <c r="G5" i="14"/>
  <c r="E13" i="12"/>
  <c r="G8" i="14"/>
  <c r="G12" i="8"/>
  <c r="G11" i="14"/>
  <c r="E16" i="12"/>
  <c r="B210" i="2"/>
  <c r="C210" i="2" s="1"/>
  <c r="G10" i="8"/>
  <c r="G7" i="8"/>
  <c r="G9" i="8"/>
  <c r="E10" i="11"/>
  <c r="B209" i="2"/>
  <c r="C209" i="2" s="1"/>
  <c r="E11" i="11"/>
  <c r="C34" i="11" s="1"/>
  <c r="B208" i="2"/>
  <c r="C208" i="2" s="1"/>
  <c r="E14" i="11"/>
  <c r="G8" i="8"/>
  <c r="E12" i="11"/>
  <c r="C32" i="11" s="1"/>
  <c r="G6" i="8"/>
  <c r="E13" i="11"/>
  <c r="E15" i="12"/>
  <c r="E116" i="11"/>
  <c r="E15" i="11"/>
  <c r="R26" i="13"/>
  <c r="R19" i="13"/>
  <c r="S19" i="13" s="1"/>
  <c r="D47" i="14"/>
  <c r="U39" i="14"/>
  <c r="U43" i="14"/>
  <c r="E28" i="11" l="1"/>
  <c r="E129" i="11"/>
  <c r="E117" i="11"/>
  <c r="R22" i="13"/>
  <c r="M175" i="13"/>
  <c r="O21" i="13"/>
  <c r="X99" i="13"/>
  <c r="X100" i="13"/>
  <c r="X98" i="13"/>
  <c r="X89" i="13"/>
  <c r="X90" i="13"/>
  <c r="X91" i="13"/>
  <c r="X92" i="13"/>
  <c r="X93" i="13"/>
  <c r="X94" i="13"/>
  <c r="X88" i="13"/>
  <c r="X101" i="13" l="1"/>
  <c r="X102" i="13" s="1"/>
  <c r="X95" i="13"/>
  <c r="X96" i="13" s="1"/>
  <c r="I226" i="16"/>
  <c r="I93" i="16"/>
  <c r="J246" i="16"/>
  <c r="J245" i="16"/>
  <c r="J244" i="16"/>
  <c r="J243" i="16"/>
  <c r="K237" i="16"/>
  <c r="L214" i="16"/>
  <c r="E200" i="16"/>
  <c r="K104" i="16"/>
  <c r="K134" i="16" s="1"/>
  <c r="O11" i="16"/>
  <c r="E10" i="16"/>
  <c r="J143" i="16"/>
  <c r="J142" i="16"/>
  <c r="J141" i="16"/>
  <c r="J140" i="16"/>
  <c r="F128" i="16"/>
  <c r="J113" i="16"/>
  <c r="J112" i="16"/>
  <c r="J111" i="16"/>
  <c r="J110" i="16"/>
  <c r="L81" i="16"/>
  <c r="E67" i="16"/>
  <c r="J247" i="16" l="1"/>
  <c r="G250" i="16" s="1"/>
  <c r="J144" i="16"/>
  <c r="G147" i="16" s="1"/>
  <c r="J114" i="16"/>
  <c r="G117" i="16" s="1"/>
  <c r="E147" i="15" l="1"/>
  <c r="E427" i="15" l="1"/>
  <c r="E389" i="15"/>
  <c r="E297" i="15"/>
  <c r="E350" i="15" s="1"/>
  <c r="E202" i="15"/>
  <c r="E201" i="15" s="1"/>
  <c r="E473" i="15"/>
  <c r="E354" i="15"/>
  <c r="K268" i="15"/>
  <c r="E204" i="15"/>
  <c r="E218" i="15" s="1"/>
  <c r="E219" i="15" s="1"/>
  <c r="E220" i="15" s="1"/>
  <c r="E191" i="15"/>
  <c r="E182" i="15"/>
  <c r="E196" i="15" s="1"/>
  <c r="E74" i="15"/>
  <c r="E67" i="15" s="1"/>
  <c r="R28" i="13"/>
  <c r="H47" i="14"/>
  <c r="R18" i="13"/>
  <c r="D206" i="14"/>
  <c r="R24" i="13"/>
  <c r="S161" i="13"/>
  <c r="S160" i="13"/>
  <c r="S159" i="13"/>
  <c r="S152" i="13"/>
  <c r="S151" i="13"/>
  <c r="S150" i="13"/>
  <c r="N170" i="13"/>
  <c r="N169" i="13"/>
  <c r="N168" i="13"/>
  <c r="N161" i="13"/>
  <c r="N160" i="13"/>
  <c r="N159" i="13"/>
  <c r="O30" i="13"/>
  <c r="G259" i="12"/>
  <c r="F239" i="12"/>
  <c r="S162" i="13" l="1"/>
  <c r="S163" i="13" s="1"/>
  <c r="Q163" i="13" s="1"/>
  <c r="N171" i="13"/>
  <c r="N172" i="13" s="1"/>
  <c r="L172" i="13" s="1"/>
  <c r="E358" i="15"/>
  <c r="S153" i="13"/>
  <c r="S154" i="13" s="1"/>
  <c r="Q154" i="13" s="1"/>
  <c r="N162" i="13"/>
  <c r="N163" i="13" s="1"/>
  <c r="L163" i="13" s="1"/>
  <c r="N152" i="13"/>
  <c r="N151" i="13"/>
  <c r="N150" i="13"/>
  <c r="N153" i="13" l="1"/>
  <c r="N154" i="13" s="1"/>
  <c r="L154" i="13" s="1"/>
  <c r="I171" i="13" l="1"/>
  <c r="I170" i="13"/>
  <c r="I166" i="13"/>
  <c r="I165" i="13"/>
  <c r="I161" i="13"/>
  <c r="I160" i="13"/>
  <c r="I159" i="13"/>
  <c r="I158" i="13"/>
  <c r="I157" i="13"/>
  <c r="I156" i="13"/>
  <c r="I155" i="13"/>
  <c r="I151" i="13"/>
  <c r="I150" i="13"/>
  <c r="D171" i="13"/>
  <c r="D170" i="13"/>
  <c r="D166" i="13"/>
  <c r="D165" i="13"/>
  <c r="D161" i="13"/>
  <c r="D160" i="13"/>
  <c r="D159" i="13"/>
  <c r="D158" i="13"/>
  <c r="D157" i="13"/>
  <c r="D156" i="13"/>
  <c r="D155" i="13"/>
  <c r="D151" i="13"/>
  <c r="D150" i="13"/>
  <c r="D2" i="13"/>
  <c r="I125" i="13"/>
  <c r="I124" i="13"/>
  <c r="I123" i="13"/>
  <c r="S111" i="13"/>
  <c r="S110" i="13"/>
  <c r="S106" i="13"/>
  <c r="S105" i="13"/>
  <c r="S101" i="13"/>
  <c r="S100" i="13"/>
  <c r="S99" i="13"/>
  <c r="S98" i="13"/>
  <c r="S97" i="13"/>
  <c r="S96" i="13"/>
  <c r="S95" i="13"/>
  <c r="S91" i="13"/>
  <c r="S90" i="13"/>
  <c r="N139" i="13"/>
  <c r="N138" i="13"/>
  <c r="N134" i="13"/>
  <c r="N133" i="13"/>
  <c r="N129" i="13"/>
  <c r="N128" i="13"/>
  <c r="N127" i="13"/>
  <c r="N126" i="13"/>
  <c r="N125" i="13"/>
  <c r="N124" i="13"/>
  <c r="N123" i="13"/>
  <c r="N119" i="13"/>
  <c r="N118" i="13"/>
  <c r="I139" i="13"/>
  <c r="I138" i="13"/>
  <c r="I134" i="13"/>
  <c r="I133" i="13"/>
  <c r="I129" i="13"/>
  <c r="I128" i="13"/>
  <c r="I127" i="13"/>
  <c r="I126" i="13"/>
  <c r="I119" i="13"/>
  <c r="I118" i="13"/>
  <c r="D139" i="13"/>
  <c r="D138" i="13"/>
  <c r="D134" i="13"/>
  <c r="D133" i="13"/>
  <c r="D129" i="13"/>
  <c r="D128" i="13"/>
  <c r="D127" i="13"/>
  <c r="D126" i="13"/>
  <c r="D125" i="13"/>
  <c r="D124" i="13"/>
  <c r="D123" i="13"/>
  <c r="D119" i="13"/>
  <c r="D118" i="13"/>
  <c r="N111" i="13"/>
  <c r="N110" i="13"/>
  <c r="N106" i="13"/>
  <c r="N105" i="13"/>
  <c r="N101" i="13"/>
  <c r="N100" i="13"/>
  <c r="N99" i="13"/>
  <c r="N98" i="13"/>
  <c r="N97" i="13"/>
  <c r="N96" i="13"/>
  <c r="N95" i="13"/>
  <c r="N91" i="13"/>
  <c r="N90" i="13"/>
  <c r="I111" i="13"/>
  <c r="I110" i="13"/>
  <c r="I106" i="13"/>
  <c r="I105" i="13"/>
  <c r="I101" i="13"/>
  <c r="I100" i="13"/>
  <c r="I99" i="13"/>
  <c r="I98" i="13"/>
  <c r="I97" i="13"/>
  <c r="I96" i="13"/>
  <c r="I95" i="13"/>
  <c r="I91" i="13"/>
  <c r="I90" i="13"/>
  <c r="D111" i="13"/>
  <c r="D110" i="13"/>
  <c r="D106" i="13"/>
  <c r="D105" i="13"/>
  <c r="D101" i="13"/>
  <c r="D100" i="13"/>
  <c r="D99" i="13"/>
  <c r="D98" i="13"/>
  <c r="D97" i="13"/>
  <c r="D96" i="13"/>
  <c r="D95" i="13"/>
  <c r="D91" i="13"/>
  <c r="D90" i="13"/>
  <c r="I92" i="13" l="1"/>
  <c r="I93" i="13" s="1"/>
  <c r="D140" i="13"/>
  <c r="D141" i="13" s="1"/>
  <c r="D107" i="13"/>
  <c r="D108" i="13" s="1"/>
  <c r="D130" i="13"/>
  <c r="D131" i="13" s="1"/>
  <c r="N107" i="13"/>
  <c r="N108" i="13" s="1"/>
  <c r="I172" i="13"/>
  <c r="I173" i="13" s="1"/>
  <c r="I167" i="13"/>
  <c r="I168" i="13" s="1"/>
  <c r="I162" i="13"/>
  <c r="I163" i="13" s="1"/>
  <c r="I152" i="13"/>
  <c r="I153" i="13" s="1"/>
  <c r="D172" i="13"/>
  <c r="D173" i="13" s="1"/>
  <c r="D167" i="13"/>
  <c r="D168" i="13" s="1"/>
  <c r="D162" i="13"/>
  <c r="D163" i="13" s="1"/>
  <c r="D152" i="13"/>
  <c r="D153" i="13" s="1"/>
  <c r="N140" i="13"/>
  <c r="N141" i="13" s="1"/>
  <c r="N135" i="13"/>
  <c r="N136" i="13" s="1"/>
  <c r="N120" i="13"/>
  <c r="N121" i="13" s="1"/>
  <c r="I140" i="13"/>
  <c r="I141" i="13" s="1"/>
  <c r="I135" i="13"/>
  <c r="I136" i="13" s="1"/>
  <c r="I130" i="13"/>
  <c r="I131" i="13" s="1"/>
  <c r="I120" i="13"/>
  <c r="I121" i="13" s="1"/>
  <c r="S112" i="13"/>
  <c r="S113" i="13" s="1"/>
  <c r="S107" i="13"/>
  <c r="S108" i="13" s="1"/>
  <c r="S102" i="13"/>
  <c r="S103" i="13" s="1"/>
  <c r="S92" i="13"/>
  <c r="S93" i="13" s="1"/>
  <c r="N112" i="13"/>
  <c r="N113" i="13" s="1"/>
  <c r="N102" i="13"/>
  <c r="N103" i="13" s="1"/>
  <c r="I112" i="13"/>
  <c r="I113" i="13" s="1"/>
  <c r="I102" i="13"/>
  <c r="I103" i="13" s="1"/>
  <c r="D112" i="13"/>
  <c r="D113" i="13" s="1"/>
  <c r="D102" i="13"/>
  <c r="D103" i="13" s="1"/>
  <c r="N92" i="13"/>
  <c r="N93" i="13" s="1"/>
  <c r="D120" i="13"/>
  <c r="D121" i="13" s="1"/>
  <c r="N130" i="13"/>
  <c r="N131" i="13" s="1"/>
  <c r="D92" i="13"/>
  <c r="D93" i="13" s="1"/>
  <c r="D135" i="13"/>
  <c r="D136" i="13" s="1"/>
  <c r="I107" i="13"/>
  <c r="I108" i="13" s="1"/>
  <c r="D83" i="13"/>
  <c r="D82" i="13"/>
  <c r="D81" i="13"/>
  <c r="I75" i="13"/>
  <c r="I74" i="13"/>
  <c r="I73" i="13"/>
  <c r="D75" i="13"/>
  <c r="D74" i="13"/>
  <c r="D73" i="13"/>
  <c r="I67" i="13"/>
  <c r="I66" i="13"/>
  <c r="I65" i="13"/>
  <c r="D67" i="13"/>
  <c r="D66" i="13"/>
  <c r="D65" i="13"/>
  <c r="I59" i="13"/>
  <c r="I58" i="13"/>
  <c r="I57" i="13"/>
  <c r="D59" i="13"/>
  <c r="D58" i="13"/>
  <c r="D57" i="13"/>
  <c r="D97" i="14"/>
  <c r="E104" i="14" s="1"/>
  <c r="D48" i="13"/>
  <c r="D47" i="13"/>
  <c r="D43" i="13"/>
  <c r="D42" i="13"/>
  <c r="D41" i="13"/>
  <c r="D40" i="13"/>
  <c r="D39" i="13"/>
  <c r="D38" i="13"/>
  <c r="D37" i="13"/>
  <c r="D36" i="13"/>
  <c r="D35" i="13"/>
  <c r="D34" i="13"/>
  <c r="U44" i="14"/>
  <c r="O19" i="13" s="1"/>
  <c r="O22" i="13" s="1"/>
  <c r="U40" i="14"/>
  <c r="D71" i="14"/>
  <c r="BO272" i="14"/>
  <c r="AV272" i="14"/>
  <c r="AC272" i="14"/>
  <c r="J272" i="14"/>
  <c r="AM258" i="14"/>
  <c r="BF258" i="14" s="1"/>
  <c r="C258" i="14"/>
  <c r="F258" i="14" s="1"/>
  <c r="AM257" i="14"/>
  <c r="BF257" i="14" s="1"/>
  <c r="C257" i="14"/>
  <c r="F257" i="14" s="1"/>
  <c r="AM256" i="14"/>
  <c r="BF256" i="14" s="1"/>
  <c r="C256" i="14"/>
  <c r="AO255" i="14"/>
  <c r="AM255" i="14"/>
  <c r="BF255" i="14" s="1"/>
  <c r="C255" i="14"/>
  <c r="F255" i="14" s="1"/>
  <c r="AM254" i="14"/>
  <c r="C254" i="14"/>
  <c r="F254" i="14" s="1"/>
  <c r="B265" i="14" s="1"/>
  <c r="AM253" i="14"/>
  <c r="BF253" i="14" s="1"/>
  <c r="C253" i="14"/>
  <c r="F253" i="14" s="1"/>
  <c r="B263" i="14" s="1"/>
  <c r="AM252" i="14"/>
  <c r="BF252" i="14" s="1"/>
  <c r="C252" i="14"/>
  <c r="AO251" i="14"/>
  <c r="AM251" i="14"/>
  <c r="BF251" i="14" s="1"/>
  <c r="C251" i="14"/>
  <c r="F251" i="14" s="1"/>
  <c r="AM250" i="14"/>
  <c r="BF250" i="14" s="1"/>
  <c r="C250" i="14"/>
  <c r="F250" i="14" s="1"/>
  <c r="AM249" i="14"/>
  <c r="BF249" i="14" s="1"/>
  <c r="C249" i="14"/>
  <c r="F249" i="14" s="1"/>
  <c r="BI224" i="14"/>
  <c r="BJ228" i="14" s="1"/>
  <c r="BJ233" i="14" s="1"/>
  <c r="BN233" i="14" s="1"/>
  <c r="AP224" i="14"/>
  <c r="AQ228" i="14" s="1"/>
  <c r="AQ233" i="14" s="1"/>
  <c r="AU233" i="14" s="1"/>
  <c r="D224" i="14"/>
  <c r="E228" i="14" s="1"/>
  <c r="E233" i="14" s="1"/>
  <c r="I233" i="14" s="1"/>
  <c r="BI206" i="14"/>
  <c r="AP206" i="14"/>
  <c r="AP202" i="14"/>
  <c r="BI202" i="14" s="1"/>
  <c r="BI153" i="14"/>
  <c r="AP153" i="14"/>
  <c r="D153" i="14"/>
  <c r="BI147" i="14"/>
  <c r="BI148" i="14" s="1"/>
  <c r="AP147" i="14"/>
  <c r="AP148" i="14" s="1"/>
  <c r="D147" i="14"/>
  <c r="D148" i="14" s="1"/>
  <c r="BI127" i="14"/>
  <c r="BI128" i="14" s="1"/>
  <c r="AP127" i="14"/>
  <c r="AP128" i="14" s="1"/>
  <c r="D128" i="14"/>
  <c r="BI97" i="14"/>
  <c r="BM97" i="14" s="1"/>
  <c r="AP97" i="14"/>
  <c r="AT97" i="14" s="1"/>
  <c r="BI47" i="14"/>
  <c r="AP47" i="14"/>
  <c r="BP46" i="14"/>
  <c r="AW46" i="14"/>
  <c r="K46" i="14"/>
  <c r="BT45" i="14"/>
  <c r="BA45" i="14"/>
  <c r="O45" i="14"/>
  <c r="BT41" i="14"/>
  <c r="BT42" i="14" s="1"/>
  <c r="BA41" i="14"/>
  <c r="BA42" i="14" s="1"/>
  <c r="O41" i="14"/>
  <c r="O42" i="14" s="1"/>
  <c r="G20" i="14"/>
  <c r="G19" i="14"/>
  <c r="G26" i="14" s="1"/>
  <c r="G18" i="14"/>
  <c r="O15" i="13"/>
  <c r="N77" i="13"/>
  <c r="N76" i="13"/>
  <c r="N72" i="13"/>
  <c r="N71" i="13"/>
  <c r="N62" i="13"/>
  <c r="N63" i="13"/>
  <c r="N64" i="13"/>
  <c r="N65" i="13"/>
  <c r="N66" i="13"/>
  <c r="N67" i="13"/>
  <c r="N61" i="13"/>
  <c r="N57" i="13"/>
  <c r="N56" i="13"/>
  <c r="D25" i="13"/>
  <c r="D24" i="13"/>
  <c r="K13" i="13"/>
  <c r="K12" i="13"/>
  <c r="K11" i="13"/>
  <c r="K14" i="13" l="1"/>
  <c r="K15" i="13" s="1"/>
  <c r="D142" i="13"/>
  <c r="B142" i="13" s="1"/>
  <c r="BA40" i="14"/>
  <c r="S114" i="13"/>
  <c r="D26" i="13"/>
  <c r="D27" i="13" s="1"/>
  <c r="I174" i="13"/>
  <c r="G174" i="13" s="1"/>
  <c r="N58" i="13"/>
  <c r="N59" i="13" s="1"/>
  <c r="BT40" i="14"/>
  <c r="N78" i="13"/>
  <c r="N79" i="13" s="1"/>
  <c r="I114" i="13"/>
  <c r="X104" i="13"/>
  <c r="D116" i="14"/>
  <c r="D122" i="14"/>
  <c r="D123" i="14" s="1"/>
  <c r="D114" i="13"/>
  <c r="D139" i="14"/>
  <c r="D140" i="14" s="1"/>
  <c r="BJ104" i="14"/>
  <c r="BJ105" i="14" s="1"/>
  <c r="BK110" i="14" s="1"/>
  <c r="O40" i="14"/>
  <c r="E78" i="14"/>
  <c r="F85" i="14" s="1"/>
  <c r="D84" i="13"/>
  <c r="D85" i="13" s="1"/>
  <c r="B85" i="13" s="1"/>
  <c r="N114" i="13"/>
  <c r="D174" i="13"/>
  <c r="B174" i="13" s="1"/>
  <c r="N73" i="13"/>
  <c r="N74" i="13" s="1"/>
  <c r="N142" i="13"/>
  <c r="I142" i="13"/>
  <c r="N68" i="13"/>
  <c r="N69" i="13" s="1"/>
  <c r="D49" i="13"/>
  <c r="D50" i="13" s="1"/>
  <c r="I60" i="13"/>
  <c r="I61" i="13" s="1"/>
  <c r="G61" i="13" s="1"/>
  <c r="I76" i="13"/>
  <c r="I77" i="13" s="1"/>
  <c r="G77" i="13" s="1"/>
  <c r="D76" i="13"/>
  <c r="D77" i="13" s="1"/>
  <c r="B77" i="13" s="1"/>
  <c r="I68" i="13"/>
  <c r="I69" i="13" s="1"/>
  <c r="G69" i="13" s="1"/>
  <c r="D68" i="13"/>
  <c r="D69" i="13" s="1"/>
  <c r="B69" i="13" s="1"/>
  <c r="D60" i="13"/>
  <c r="D61" i="13" s="1"/>
  <c r="B61" i="13" s="1"/>
  <c r="H97" i="14"/>
  <c r="D44" i="13"/>
  <c r="D45" i="13" s="1"/>
  <c r="E53" i="14"/>
  <c r="E54" i="14" s="1"/>
  <c r="E59" i="14" s="1"/>
  <c r="E63" i="14" s="1"/>
  <c r="AO253" i="14"/>
  <c r="BH255" i="14"/>
  <c r="BK255" i="14" s="1"/>
  <c r="AR255" i="14"/>
  <c r="AO252" i="14"/>
  <c r="AO250" i="14"/>
  <c r="AO258" i="14"/>
  <c r="AO249" i="14"/>
  <c r="F109" i="14"/>
  <c r="E105" i="14"/>
  <c r="F110" i="14" s="1"/>
  <c r="AO254" i="14"/>
  <c r="BF254" i="14"/>
  <c r="AM265" i="14"/>
  <c r="BF265" i="14" s="1"/>
  <c r="AP213" i="14"/>
  <c r="AO256" i="14"/>
  <c r="BH251" i="14"/>
  <c r="BK251" i="14" s="1"/>
  <c r="AR251" i="14"/>
  <c r="AO257" i="14"/>
  <c r="AQ104" i="14"/>
  <c r="AP116" i="14"/>
  <c r="AP122" i="14"/>
  <c r="AP123" i="14" s="1"/>
  <c r="AP139" i="14"/>
  <c r="AP140" i="14" s="1"/>
  <c r="F256" i="14"/>
  <c r="G21" i="14"/>
  <c r="BI116" i="14"/>
  <c r="BI122" i="14"/>
  <c r="BI123" i="14" s="1"/>
  <c r="BI139" i="14"/>
  <c r="BI140" i="14" s="1"/>
  <c r="AM263" i="14"/>
  <c r="BF263" i="14" s="1"/>
  <c r="AQ53" i="14"/>
  <c r="AP71" i="14"/>
  <c r="AQ78" i="14" s="1"/>
  <c r="F252" i="14"/>
  <c r="BJ53" i="14"/>
  <c r="BI71" i="14"/>
  <c r="BJ78" i="14" s="1"/>
  <c r="D12" i="13"/>
  <c r="D13" i="13"/>
  <c r="D14" i="13"/>
  <c r="D15" i="13"/>
  <c r="D16" i="13"/>
  <c r="D17" i="13"/>
  <c r="D18" i="13"/>
  <c r="D19" i="13"/>
  <c r="D20" i="13"/>
  <c r="D11" i="13"/>
  <c r="B7" i="13"/>
  <c r="E79" i="14" l="1"/>
  <c r="F86" i="14" s="1"/>
  <c r="Q122" i="13"/>
  <c r="BK109" i="14"/>
  <c r="Q118" i="13"/>
  <c r="B114" i="13"/>
  <c r="Q119" i="13"/>
  <c r="G114" i="13"/>
  <c r="Q123" i="13"/>
  <c r="G142" i="13"/>
  <c r="Q124" i="13"/>
  <c r="L142" i="13"/>
  <c r="Q120" i="13"/>
  <c r="L114" i="13"/>
  <c r="N80" i="13"/>
  <c r="L80" i="13" s="1"/>
  <c r="Q121" i="13"/>
  <c r="Q114" i="13"/>
  <c r="D52" i="13"/>
  <c r="H81" i="13"/>
  <c r="P9" i="13" s="1"/>
  <c r="D145" i="13"/>
  <c r="H80" i="13"/>
  <c r="E58" i="14"/>
  <c r="E62" i="14" s="1"/>
  <c r="AQ79" i="14"/>
  <c r="AR86" i="14" s="1"/>
  <c r="AR85" i="14"/>
  <c r="BH250" i="14"/>
  <c r="BK250" i="14" s="1"/>
  <c r="AR250" i="14"/>
  <c r="AQ58" i="14"/>
  <c r="AQ62" i="14" s="1"/>
  <c r="AR65" i="14" s="1"/>
  <c r="AQ54" i="14"/>
  <c r="AQ59" i="14" s="1"/>
  <c r="AQ63" i="14" s="1"/>
  <c r="AR66" i="14" s="1"/>
  <c r="D133" i="14"/>
  <c r="D117" i="14"/>
  <c r="D132" i="14" s="1"/>
  <c r="BH252" i="14"/>
  <c r="BK252" i="14" s="1"/>
  <c r="AR252" i="14"/>
  <c r="BJ79" i="14"/>
  <c r="BK86" i="14" s="1"/>
  <c r="BK85" i="14"/>
  <c r="AP133" i="14"/>
  <c r="AP117" i="14"/>
  <c r="AP132" i="14" s="1"/>
  <c r="AP156" i="14" s="1"/>
  <c r="BI133" i="14"/>
  <c r="BI117" i="14"/>
  <c r="BI132" i="14" s="1"/>
  <c r="BI156" i="14" s="1"/>
  <c r="BJ58" i="14"/>
  <c r="BJ62" i="14" s="1"/>
  <c r="BK65" i="14" s="1"/>
  <c r="BJ54" i="14"/>
  <c r="BJ59" i="14" s="1"/>
  <c r="BJ63" i="14" s="1"/>
  <c r="BK66" i="14" s="1"/>
  <c r="AR256" i="14"/>
  <c r="BH256" i="14"/>
  <c r="BK256" i="14" s="1"/>
  <c r="BH254" i="14"/>
  <c r="BK254" i="14" s="1"/>
  <c r="BG265" i="14" s="1"/>
  <c r="AR254" i="14"/>
  <c r="AN265" i="14" s="1"/>
  <c r="AQ105" i="14"/>
  <c r="AR110" i="14" s="1"/>
  <c r="AR109" i="14"/>
  <c r="BH249" i="14"/>
  <c r="BK249" i="14" s="1"/>
  <c r="AR249" i="14"/>
  <c r="BH258" i="14"/>
  <c r="BK258" i="14" s="1"/>
  <c r="AR258" i="14"/>
  <c r="AR253" i="14"/>
  <c r="AN263" i="14" s="1"/>
  <c r="BH253" i="14"/>
  <c r="BK253" i="14" s="1"/>
  <c r="BG263" i="14" s="1"/>
  <c r="BH257" i="14"/>
  <c r="BK257" i="14" s="1"/>
  <c r="AR257" i="14"/>
  <c r="D21" i="13"/>
  <c r="D22" i="13" s="1"/>
  <c r="D29" i="13" s="1"/>
  <c r="H157" i="12"/>
  <c r="Q125" i="13" l="1"/>
  <c r="Q126" i="13" s="1"/>
  <c r="D156" i="14"/>
  <c r="D135" i="14"/>
  <c r="D136" i="14" s="1"/>
  <c r="O11" i="13"/>
  <c r="O13" i="13" s="1"/>
  <c r="H82" i="13"/>
  <c r="H132" i="12"/>
  <c r="E124" i="12" l="1"/>
  <c r="H133" i="12" l="1"/>
  <c r="E64" i="12"/>
  <c r="E456" i="15" s="1"/>
  <c r="E155" i="11" l="1"/>
  <c r="E144" i="11" l="1"/>
  <c r="E147" i="11" s="1"/>
  <c r="E132" i="11"/>
  <c r="E138" i="11" s="1"/>
  <c r="E52" i="11"/>
  <c r="J52" i="11" s="1"/>
  <c r="E51" i="11"/>
  <c r="J51" i="11" s="1"/>
  <c r="E50" i="11"/>
  <c r="J50" i="11" s="1"/>
  <c r="E49" i="11"/>
  <c r="J49" i="11" s="1"/>
  <c r="E158" i="11"/>
  <c r="P98" i="11"/>
  <c r="L42" i="11"/>
  <c r="L41" i="11"/>
  <c r="L34" i="11"/>
  <c r="L32" i="11"/>
  <c r="C37" i="6"/>
  <c r="E37" i="6" s="1"/>
  <c r="C38" i="6"/>
  <c r="B38" i="6" s="1"/>
  <c r="E38" i="6" s="1"/>
  <c r="C39" i="6"/>
  <c r="B39" i="6" s="1"/>
  <c r="E39" i="6" s="1"/>
  <c r="C40" i="6"/>
  <c r="B40" i="6" s="1"/>
  <c r="E40" i="6" s="1"/>
  <c r="C41" i="6"/>
  <c r="B41" i="6" s="1"/>
  <c r="E41" i="6" s="1"/>
  <c r="C42" i="6"/>
  <c r="B42" i="6" s="1"/>
  <c r="E42" i="6" s="1"/>
  <c r="C43" i="6"/>
  <c r="B43" i="6" s="1"/>
  <c r="E43" i="6" s="1"/>
  <c r="C44" i="6"/>
  <c r="B44" i="6" s="1"/>
  <c r="E44" i="6" s="1"/>
  <c r="C45" i="6"/>
  <c r="B45" i="6" s="1"/>
  <c r="E45" i="6" s="1"/>
  <c r="C46" i="6"/>
  <c r="B46" i="6" s="1"/>
  <c r="E46" i="6" s="1"/>
  <c r="C47" i="6"/>
  <c r="B47" i="6" s="1"/>
  <c r="E47" i="6" s="1"/>
  <c r="C48" i="6"/>
  <c r="B48" i="6" s="1"/>
  <c r="E48" i="6" s="1"/>
  <c r="C49" i="6"/>
  <c r="B49" i="6" s="1"/>
  <c r="E49" i="6" s="1"/>
  <c r="C50" i="6"/>
  <c r="B50" i="6" s="1"/>
  <c r="E50" i="6" s="1"/>
  <c r="C51" i="6"/>
  <c r="B51" i="6" s="1"/>
  <c r="E51" i="6" s="1"/>
  <c r="C52" i="6"/>
  <c r="B52" i="6" s="1"/>
  <c r="E52" i="6" s="1"/>
  <c r="C53" i="6"/>
  <c r="B53" i="6" s="1"/>
  <c r="E53" i="6" s="1"/>
  <c r="C54" i="6"/>
  <c r="B54" i="6" s="1"/>
  <c r="E54" i="6" s="1"/>
  <c r="C55" i="6"/>
  <c r="B55" i="6" s="1"/>
  <c r="E55" i="6" s="1"/>
  <c r="C56" i="6"/>
  <c r="B56" i="6" s="1"/>
  <c r="E56" i="6" s="1"/>
  <c r="C57" i="6"/>
  <c r="B57" i="6" s="1"/>
  <c r="E57" i="6" s="1"/>
  <c r="B58" i="6"/>
  <c r="E58" i="6" s="1"/>
  <c r="E36" i="6"/>
  <c r="B27" i="6"/>
  <c r="E27" i="6" s="1"/>
  <c r="E5" i="6"/>
  <c r="L35" i="11" l="1"/>
  <c r="M37" i="11" s="1"/>
  <c r="O105" i="11"/>
  <c r="E119" i="11" s="1"/>
  <c r="E180" i="11" s="1"/>
  <c r="E181" i="11" s="1"/>
  <c r="E163" i="11"/>
  <c r="F213" i="12" s="1"/>
  <c r="L43" i="11"/>
  <c r="M45" i="11" s="1"/>
  <c r="I53" i="11"/>
  <c r="D59" i="6"/>
  <c r="B37" i="6"/>
  <c r="E185" i="11" l="1"/>
  <c r="E186" i="11" s="1"/>
  <c r="F172" i="11"/>
  <c r="F173" i="11" s="1"/>
  <c r="F174" i="11" s="1"/>
  <c r="F166" i="11"/>
  <c r="F167" i="11" s="1"/>
  <c r="E141" i="11"/>
  <c r="F151" i="11"/>
  <c r="F168" i="11" l="1"/>
  <c r="F215" i="12"/>
  <c r="E311" i="8"/>
  <c r="E310" i="8"/>
  <c r="E309" i="8"/>
  <c r="E308" i="8"/>
  <c r="E307" i="8"/>
  <c r="E306" i="8"/>
  <c r="E305" i="8"/>
  <c r="E304" i="8"/>
  <c r="E303" i="8"/>
  <c r="E302" i="8"/>
  <c r="E301" i="8"/>
  <c r="E300" i="8"/>
  <c r="E299" i="8"/>
  <c r="G18" i="8"/>
  <c r="G19" i="8"/>
  <c r="G21" i="8" s="1"/>
  <c r="G20" i="8"/>
  <c r="B293" i="8"/>
  <c r="C293" i="8" s="1"/>
  <c r="B292" i="8"/>
  <c r="C292" i="8" s="1"/>
  <c r="B291" i="8"/>
  <c r="C291" i="8" s="1"/>
  <c r="B290" i="8"/>
  <c r="C290" i="8" s="1"/>
  <c r="B289" i="8"/>
  <c r="C289" i="8" s="1"/>
  <c r="B288" i="8"/>
  <c r="C288" i="8" s="1"/>
  <c r="B287" i="8"/>
  <c r="C287" i="8" s="1"/>
  <c r="B279" i="8"/>
  <c r="C279" i="8" s="1"/>
  <c r="B278" i="8"/>
  <c r="C278" i="8" s="1"/>
  <c r="B277" i="8"/>
  <c r="C277" i="8" s="1"/>
  <c r="B276" i="8"/>
  <c r="C276" i="8" s="1"/>
  <c r="B275" i="8"/>
  <c r="C275" i="8" s="1"/>
  <c r="B274" i="8"/>
  <c r="C274" i="8" s="1"/>
  <c r="B273" i="8"/>
  <c r="C273" i="8" s="1"/>
  <c r="B264" i="8"/>
  <c r="C264" i="8" s="1"/>
  <c r="B263" i="8"/>
  <c r="C263" i="8" s="1"/>
  <c r="B262" i="8"/>
  <c r="C262" i="8" s="1"/>
  <c r="B261" i="8"/>
  <c r="C261" i="8" s="1"/>
  <c r="B260" i="8"/>
  <c r="C260" i="8" s="1"/>
  <c r="B259" i="8"/>
  <c r="C259" i="8" s="1"/>
  <c r="B258" i="8"/>
  <c r="C258" i="8" s="1"/>
  <c r="B244" i="8"/>
  <c r="B231" i="8"/>
  <c r="C231" i="8" s="1"/>
  <c r="B230" i="8"/>
  <c r="C230" i="8" s="1"/>
  <c r="B229" i="8"/>
  <c r="C229" i="8" s="1"/>
  <c r="B228" i="8"/>
  <c r="C228" i="8" s="1"/>
  <c r="B227" i="8"/>
  <c r="C227" i="8" s="1"/>
  <c r="B226" i="8"/>
  <c r="C226" i="8" s="1"/>
  <c r="B225" i="8"/>
  <c r="C225" i="8" s="1"/>
  <c r="B213" i="8"/>
  <c r="C213" i="8" s="1"/>
  <c r="B212" i="8"/>
  <c r="C212" i="8" s="1"/>
  <c r="B211" i="8"/>
  <c r="C211" i="8" s="1"/>
  <c r="B210" i="8"/>
  <c r="C210" i="8" s="1"/>
  <c r="B209" i="8"/>
  <c r="C209" i="8" s="1"/>
  <c r="B208" i="8"/>
  <c r="C208" i="8" s="1"/>
  <c r="B207" i="8"/>
  <c r="C207" i="8" s="1"/>
  <c r="B189" i="8"/>
  <c r="B185" i="8"/>
  <c r="B180" i="8"/>
  <c r="B166" i="8"/>
  <c r="B147" i="8"/>
  <c r="C147" i="8" s="1"/>
  <c r="B146" i="8"/>
  <c r="C146" i="8" s="1"/>
  <c r="B145" i="8"/>
  <c r="C145" i="8" s="1"/>
  <c r="B144" i="8"/>
  <c r="C144" i="8" s="1"/>
  <c r="B143" i="8"/>
  <c r="C143" i="8" s="1"/>
  <c r="B142" i="8"/>
  <c r="C142" i="8" s="1"/>
  <c r="B141" i="8"/>
  <c r="C141" i="8" s="1"/>
  <c r="B106" i="8"/>
  <c r="B87" i="8"/>
  <c r="C87" i="8" s="1"/>
  <c r="B86" i="8"/>
  <c r="C86" i="8" s="1"/>
  <c r="B85" i="8"/>
  <c r="C85" i="8" s="1"/>
  <c r="B84" i="8"/>
  <c r="C84" i="8" s="1"/>
  <c r="B83" i="8"/>
  <c r="C83" i="8" s="1"/>
  <c r="B82" i="8"/>
  <c r="C82" i="8" s="1"/>
  <c r="B81" i="8"/>
  <c r="C81" i="8" s="1"/>
  <c r="B71" i="8"/>
  <c r="C71" i="8" s="1"/>
  <c r="B70" i="8"/>
  <c r="C70" i="8" s="1"/>
  <c r="B69" i="8"/>
  <c r="C69" i="8" s="1"/>
  <c r="B68" i="8"/>
  <c r="C68" i="8" s="1"/>
  <c r="B67" i="8"/>
  <c r="C67" i="8" s="1"/>
  <c r="B66" i="8"/>
  <c r="C66" i="8" s="1"/>
  <c r="B65" i="8"/>
  <c r="C65" i="8" s="1"/>
  <c r="B55" i="8"/>
  <c r="L19" i="8"/>
  <c r="C269" i="7"/>
  <c r="C268" i="7"/>
  <c r="C267" i="7"/>
  <c r="C266" i="7"/>
  <c r="C265" i="7"/>
  <c r="C264" i="7"/>
  <c r="C263" i="7"/>
  <c r="C262" i="7"/>
  <c r="C261" i="7"/>
  <c r="C260" i="7"/>
  <c r="C259" i="7"/>
  <c r="C258" i="7"/>
  <c r="C257" i="7"/>
  <c r="C256" i="7"/>
  <c r="C255" i="7"/>
  <c r="F221" i="7"/>
  <c r="D221" i="7"/>
  <c r="F220" i="7"/>
  <c r="D220" i="7"/>
  <c r="F219" i="7"/>
  <c r="D219" i="7"/>
  <c r="F218" i="7"/>
  <c r="D218" i="7"/>
  <c r="F217" i="7"/>
  <c r="D217" i="7"/>
  <c r="F216" i="7"/>
  <c r="D216" i="7"/>
  <c r="F201" i="7"/>
  <c r="D201" i="7"/>
  <c r="F200" i="7"/>
  <c r="D200" i="7"/>
  <c r="F199" i="7"/>
  <c r="D199" i="7"/>
  <c r="F198" i="7"/>
  <c r="D198" i="7"/>
  <c r="F197" i="7"/>
  <c r="D197" i="7"/>
  <c r="F196" i="7"/>
  <c r="D196" i="7"/>
  <c r="F190" i="7"/>
  <c r="G221" i="7" s="1"/>
  <c r="D190" i="7"/>
  <c r="E221" i="7" s="1"/>
  <c r="F189" i="7"/>
  <c r="G220" i="7" s="1"/>
  <c r="D189" i="7"/>
  <c r="E220" i="7" s="1"/>
  <c r="F188" i="7"/>
  <c r="G219" i="7" s="1"/>
  <c r="D188" i="7"/>
  <c r="E219" i="7" s="1"/>
  <c r="F187" i="7"/>
  <c r="G218" i="7" s="1"/>
  <c r="D187" i="7"/>
  <c r="E218" i="7" s="1"/>
  <c r="F186" i="7"/>
  <c r="G217" i="7" s="1"/>
  <c r="D186" i="7"/>
  <c r="E217" i="7" s="1"/>
  <c r="F185" i="7"/>
  <c r="G216" i="7" s="1"/>
  <c r="D185" i="7"/>
  <c r="E216" i="7" s="1"/>
  <c r="BM184" i="7"/>
  <c r="BM185" i="7" s="1"/>
  <c r="BM186" i="7" s="1"/>
  <c r="BM187" i="7" s="1"/>
  <c r="BM188" i="7" s="1"/>
  <c r="BM189" i="7" s="1"/>
  <c r="BM190" i="7" s="1"/>
  <c r="BM191" i="7" s="1"/>
  <c r="BM192" i="7" s="1"/>
  <c r="BM193" i="7" s="1"/>
  <c r="BK184" i="7"/>
  <c r="BK185" i="7" s="1"/>
  <c r="BK186" i="7" s="1"/>
  <c r="BK187" i="7" s="1"/>
  <c r="BK188" i="7" s="1"/>
  <c r="BK189" i="7" s="1"/>
  <c r="BK190" i="7" s="1"/>
  <c r="BI184" i="7"/>
  <c r="BI185" i="7" s="1"/>
  <c r="BI186" i="7" s="1"/>
  <c r="BI187" i="7" s="1"/>
  <c r="BI188" i="7" s="1"/>
  <c r="BI189" i="7" s="1"/>
  <c r="BI190" i="7" s="1"/>
  <c r="BG184" i="7"/>
  <c r="BG185" i="7" s="1"/>
  <c r="BG186" i="7" s="1"/>
  <c r="BG187" i="7" s="1"/>
  <c r="BG188" i="7" s="1"/>
  <c r="BG189" i="7" s="1"/>
  <c r="BG190" i="7" s="1"/>
  <c r="BD184" i="7"/>
  <c r="BD185" i="7" s="1"/>
  <c r="BD186" i="7" s="1"/>
  <c r="BD187" i="7" s="1"/>
  <c r="BD188" i="7" s="1"/>
  <c r="BD189" i="7" s="1"/>
  <c r="BD190" i="7" s="1"/>
  <c r="BD191" i="7" s="1"/>
  <c r="BD192" i="7" s="1"/>
  <c r="BD193" i="7" s="1"/>
  <c r="BB184" i="7"/>
  <c r="BB185" i="7" s="1"/>
  <c r="BB186" i="7" s="1"/>
  <c r="BB187" i="7" s="1"/>
  <c r="BB188" i="7" s="1"/>
  <c r="BB189" i="7" s="1"/>
  <c r="BB190" i="7" s="1"/>
  <c r="AZ184" i="7"/>
  <c r="AZ185" i="7" s="1"/>
  <c r="AZ186" i="7" s="1"/>
  <c r="AZ187" i="7" s="1"/>
  <c r="AZ188" i="7" s="1"/>
  <c r="AZ189" i="7" s="1"/>
  <c r="AZ190" i="7" s="1"/>
  <c r="AX184" i="7"/>
  <c r="AX185" i="7" s="1"/>
  <c r="AX186" i="7" s="1"/>
  <c r="AX187" i="7" s="1"/>
  <c r="AX188" i="7" s="1"/>
  <c r="AX189" i="7" s="1"/>
  <c r="AX190" i="7" s="1"/>
  <c r="AU184" i="7"/>
  <c r="AU185" i="7" s="1"/>
  <c r="AU186" i="7" s="1"/>
  <c r="AU187" i="7" s="1"/>
  <c r="AU188" i="7" s="1"/>
  <c r="AU189" i="7" s="1"/>
  <c r="AU190" i="7" s="1"/>
  <c r="AU191" i="7" s="1"/>
  <c r="AU192" i="7" s="1"/>
  <c r="AU193" i="7" s="1"/>
  <c r="AS184" i="7"/>
  <c r="AS185" i="7" s="1"/>
  <c r="AS186" i="7" s="1"/>
  <c r="AS187" i="7" s="1"/>
  <c r="AS188" i="7" s="1"/>
  <c r="AS189" i="7" s="1"/>
  <c r="AS190" i="7" s="1"/>
  <c r="AQ184" i="7"/>
  <c r="AQ185" i="7" s="1"/>
  <c r="AQ186" i="7" s="1"/>
  <c r="AQ187" i="7" s="1"/>
  <c r="AQ188" i="7" s="1"/>
  <c r="AQ189" i="7" s="1"/>
  <c r="AQ190" i="7" s="1"/>
  <c r="AO184" i="7"/>
  <c r="AO185" i="7" s="1"/>
  <c r="AO186" i="7" s="1"/>
  <c r="AO187" i="7" s="1"/>
  <c r="AO188" i="7" s="1"/>
  <c r="AO189" i="7" s="1"/>
  <c r="AO190" i="7" s="1"/>
  <c r="AL184" i="7"/>
  <c r="AL185" i="7" s="1"/>
  <c r="AL186" i="7" s="1"/>
  <c r="AL187" i="7" s="1"/>
  <c r="AL188" i="7" s="1"/>
  <c r="AL189" i="7" s="1"/>
  <c r="AL190" i="7" s="1"/>
  <c r="AL191" i="7" s="1"/>
  <c r="AL192" i="7" s="1"/>
  <c r="AL193" i="7" s="1"/>
  <c r="AJ184" i="7"/>
  <c r="AJ185" i="7" s="1"/>
  <c r="AJ186" i="7" s="1"/>
  <c r="AJ187" i="7" s="1"/>
  <c r="AJ188" i="7" s="1"/>
  <c r="AJ189" i="7" s="1"/>
  <c r="AJ190" i="7" s="1"/>
  <c r="AH184" i="7"/>
  <c r="AH185" i="7" s="1"/>
  <c r="AH186" i="7" s="1"/>
  <c r="AH187" i="7" s="1"/>
  <c r="AH188" i="7" s="1"/>
  <c r="AH189" i="7" s="1"/>
  <c r="AH190" i="7" s="1"/>
  <c r="AF184" i="7"/>
  <c r="AF185" i="7" s="1"/>
  <c r="AF186" i="7" s="1"/>
  <c r="AF187" i="7" s="1"/>
  <c r="AF188" i="7" s="1"/>
  <c r="AF189" i="7" s="1"/>
  <c r="AF190" i="7" s="1"/>
  <c r="AC184" i="7"/>
  <c r="AC185" i="7" s="1"/>
  <c r="AC186" i="7" s="1"/>
  <c r="AC187" i="7" s="1"/>
  <c r="AC188" i="7" s="1"/>
  <c r="AC189" i="7" s="1"/>
  <c r="AC190" i="7" s="1"/>
  <c r="AC191" i="7" s="1"/>
  <c r="AC192" i="7" s="1"/>
  <c r="AC193" i="7" s="1"/>
  <c r="AA184" i="7"/>
  <c r="AA185" i="7" s="1"/>
  <c r="AA186" i="7" s="1"/>
  <c r="AA187" i="7" s="1"/>
  <c r="AA188" i="7" s="1"/>
  <c r="AA189" i="7" s="1"/>
  <c r="AA190" i="7" s="1"/>
  <c r="Y184" i="7"/>
  <c r="Y185" i="7" s="1"/>
  <c r="Y186" i="7" s="1"/>
  <c r="Y187" i="7" s="1"/>
  <c r="Y188" i="7" s="1"/>
  <c r="Y189" i="7" s="1"/>
  <c r="Y190" i="7" s="1"/>
  <c r="W184" i="7"/>
  <c r="W185" i="7" s="1"/>
  <c r="W186" i="7" s="1"/>
  <c r="W187" i="7" s="1"/>
  <c r="W188" i="7" s="1"/>
  <c r="W189" i="7" s="1"/>
  <c r="W190" i="7" s="1"/>
  <c r="F160" i="7"/>
  <c r="G201" i="7" s="1"/>
  <c r="D160" i="7"/>
  <c r="E201" i="7" s="1"/>
  <c r="F159" i="7"/>
  <c r="G200" i="7" s="1"/>
  <c r="D159" i="7"/>
  <c r="E200" i="7" s="1"/>
  <c r="F158" i="7"/>
  <c r="D158" i="7"/>
  <c r="E199" i="7" s="1"/>
  <c r="F157" i="7"/>
  <c r="G197" i="7" s="1"/>
  <c r="D157" i="7"/>
  <c r="E198" i="7" s="1"/>
  <c r="F156" i="7"/>
  <c r="D156" i="7"/>
  <c r="E197" i="7" s="1"/>
  <c r="F155" i="7"/>
  <c r="G196" i="7" s="1"/>
  <c r="D155" i="7"/>
  <c r="E196" i="7" s="1"/>
  <c r="BQ153" i="7"/>
  <c r="BQ154" i="7" s="1"/>
  <c r="BQ155" i="7" s="1"/>
  <c r="BQ156" i="7" s="1"/>
  <c r="BQ157" i="7" s="1"/>
  <c r="BQ158" i="7" s="1"/>
  <c r="BQ159" i="7" s="1"/>
  <c r="BQ160" i="7" s="1"/>
  <c r="BQ161" i="7" s="1"/>
  <c r="BQ162" i="7" s="1"/>
  <c r="BO153" i="7"/>
  <c r="BO154" i="7" s="1"/>
  <c r="BO155" i="7" s="1"/>
  <c r="BO156" i="7" s="1"/>
  <c r="BO157" i="7" s="1"/>
  <c r="BO158" i="7" s="1"/>
  <c r="BO159" i="7" s="1"/>
  <c r="BM153" i="7"/>
  <c r="BM154" i="7" s="1"/>
  <c r="BM155" i="7" s="1"/>
  <c r="BM156" i="7" s="1"/>
  <c r="BM157" i="7" s="1"/>
  <c r="BM158" i="7" s="1"/>
  <c r="BM159" i="7" s="1"/>
  <c r="BK153" i="7"/>
  <c r="BK154" i="7" s="1"/>
  <c r="BK155" i="7" s="1"/>
  <c r="BK156" i="7" s="1"/>
  <c r="BK157" i="7" s="1"/>
  <c r="BK158" i="7" s="1"/>
  <c r="BK159" i="7" s="1"/>
  <c r="BG153" i="7"/>
  <c r="BG154" i="7" s="1"/>
  <c r="BG155" i="7" s="1"/>
  <c r="BG156" i="7" s="1"/>
  <c r="BG157" i="7" s="1"/>
  <c r="BG158" i="7" s="1"/>
  <c r="BG159" i="7" s="1"/>
  <c r="BG160" i="7" s="1"/>
  <c r="BG161" i="7" s="1"/>
  <c r="BG162" i="7" s="1"/>
  <c r="BE153" i="7"/>
  <c r="BE154" i="7" s="1"/>
  <c r="BE155" i="7" s="1"/>
  <c r="BE156" i="7" s="1"/>
  <c r="BE157" i="7" s="1"/>
  <c r="BE158" i="7" s="1"/>
  <c r="BE159" i="7" s="1"/>
  <c r="BC153" i="7"/>
  <c r="BC154" i="7" s="1"/>
  <c r="BC155" i="7" s="1"/>
  <c r="BC156" i="7" s="1"/>
  <c r="BC157" i="7" s="1"/>
  <c r="BC158" i="7" s="1"/>
  <c r="BC159" i="7" s="1"/>
  <c r="BA153" i="7"/>
  <c r="BA154" i="7" s="1"/>
  <c r="BA155" i="7" s="1"/>
  <c r="BA156" i="7" s="1"/>
  <c r="BA157" i="7" s="1"/>
  <c r="BA158" i="7" s="1"/>
  <c r="BA159" i="7" s="1"/>
  <c r="AW153" i="7"/>
  <c r="AW154" i="7" s="1"/>
  <c r="AW155" i="7" s="1"/>
  <c r="AW156" i="7" s="1"/>
  <c r="AW157" i="7" s="1"/>
  <c r="AW158" i="7" s="1"/>
  <c r="AW159" i="7" s="1"/>
  <c r="AW160" i="7" s="1"/>
  <c r="AW161" i="7" s="1"/>
  <c r="AW162" i="7" s="1"/>
  <c r="AU153" i="7"/>
  <c r="AU154" i="7" s="1"/>
  <c r="AU155" i="7" s="1"/>
  <c r="AU156" i="7" s="1"/>
  <c r="AU157" i="7" s="1"/>
  <c r="AU158" i="7" s="1"/>
  <c r="AU159" i="7" s="1"/>
  <c r="AS153" i="7"/>
  <c r="AS154" i="7" s="1"/>
  <c r="AS155" i="7" s="1"/>
  <c r="AS156" i="7" s="1"/>
  <c r="AS157" i="7" s="1"/>
  <c r="AS158" i="7" s="1"/>
  <c r="AS159" i="7" s="1"/>
  <c r="AQ153" i="7"/>
  <c r="AQ154" i="7" s="1"/>
  <c r="AQ155" i="7" s="1"/>
  <c r="AQ156" i="7" s="1"/>
  <c r="AQ157" i="7" s="1"/>
  <c r="AQ158" i="7" s="1"/>
  <c r="AQ159" i="7" s="1"/>
  <c r="AM153" i="7"/>
  <c r="AM154" i="7" s="1"/>
  <c r="AM155" i="7" s="1"/>
  <c r="AM156" i="7" s="1"/>
  <c r="AM157" i="7" s="1"/>
  <c r="AM158" i="7" s="1"/>
  <c r="AM159" i="7" s="1"/>
  <c r="AM160" i="7" s="1"/>
  <c r="AM161" i="7" s="1"/>
  <c r="AM162" i="7" s="1"/>
  <c r="AK153" i="7"/>
  <c r="AK154" i="7" s="1"/>
  <c r="AK155" i="7" s="1"/>
  <c r="AK156" i="7" s="1"/>
  <c r="AK157" i="7" s="1"/>
  <c r="AK158" i="7" s="1"/>
  <c r="AK159" i="7" s="1"/>
  <c r="AI153" i="7"/>
  <c r="AI154" i="7" s="1"/>
  <c r="AI155" i="7" s="1"/>
  <c r="AI156" i="7" s="1"/>
  <c r="AI157" i="7" s="1"/>
  <c r="AI158" i="7" s="1"/>
  <c r="AI159" i="7" s="1"/>
  <c r="AG153" i="7"/>
  <c r="AG154" i="7" s="1"/>
  <c r="AG155" i="7" s="1"/>
  <c r="AG156" i="7" s="1"/>
  <c r="AG157" i="7" s="1"/>
  <c r="AG158" i="7" s="1"/>
  <c r="AG159" i="7" s="1"/>
  <c r="AC153" i="7"/>
  <c r="AC154" i="7" s="1"/>
  <c r="AC155" i="7" s="1"/>
  <c r="AC156" i="7" s="1"/>
  <c r="AC157" i="7" s="1"/>
  <c r="AC158" i="7" s="1"/>
  <c r="AC159" i="7" s="1"/>
  <c r="AC160" i="7" s="1"/>
  <c r="AC161" i="7" s="1"/>
  <c r="AC162" i="7" s="1"/>
  <c r="AA153" i="7"/>
  <c r="AA154" i="7" s="1"/>
  <c r="AA155" i="7" s="1"/>
  <c r="AA156" i="7" s="1"/>
  <c r="AA157" i="7" s="1"/>
  <c r="AA158" i="7" s="1"/>
  <c r="AA159" i="7" s="1"/>
  <c r="Y153" i="7"/>
  <c r="Y154" i="7" s="1"/>
  <c r="Y155" i="7" s="1"/>
  <c r="Y156" i="7" s="1"/>
  <c r="Y157" i="7" s="1"/>
  <c r="Y158" i="7" s="1"/>
  <c r="Y159" i="7" s="1"/>
  <c r="W153" i="7"/>
  <c r="W154" i="7" s="1"/>
  <c r="W155" i="7" s="1"/>
  <c r="W156" i="7" s="1"/>
  <c r="W157" i="7" s="1"/>
  <c r="W158" i="7" s="1"/>
  <c r="W159" i="7" s="1"/>
  <c r="D96" i="7"/>
  <c r="E96" i="7" s="1"/>
  <c r="C201" i="7" s="1"/>
  <c r="D95" i="7"/>
  <c r="E95" i="7" s="1"/>
  <c r="D94" i="7"/>
  <c r="E94" i="7" s="1"/>
  <c r="C199" i="7" s="1"/>
  <c r="D93" i="7"/>
  <c r="E93" i="7" s="1"/>
  <c r="D92" i="7"/>
  <c r="E92" i="7" s="1"/>
  <c r="D91" i="7"/>
  <c r="E91" i="7" s="1"/>
  <c r="D17" i="7"/>
  <c r="D54" i="7" s="1"/>
  <c r="D14" i="7"/>
  <c r="B14" i="7"/>
  <c r="D13" i="7"/>
  <c r="B13" i="7"/>
  <c r="B200" i="7" s="1"/>
  <c r="B220" i="7" s="1"/>
  <c r="D12" i="7"/>
  <c r="B12" i="7"/>
  <c r="D11" i="7"/>
  <c r="B11" i="7"/>
  <c r="B198" i="7" s="1"/>
  <c r="B218" i="7" s="1"/>
  <c r="D10" i="7"/>
  <c r="B10" i="7"/>
  <c r="D9" i="7"/>
  <c r="B9" i="7"/>
  <c r="B196" i="7" s="1"/>
  <c r="B216" i="7" s="1"/>
  <c r="M7" i="7"/>
  <c r="H3" i="7"/>
  <c r="F10" i="7" l="1"/>
  <c r="H10" i="7" s="1"/>
  <c r="F9" i="7"/>
  <c r="H9" i="7" s="1"/>
  <c r="C66" i="7" s="1"/>
  <c r="F12" i="7"/>
  <c r="H12" i="7" s="1"/>
  <c r="F69" i="7" s="1"/>
  <c r="F96" i="7"/>
  <c r="E13" i="7"/>
  <c r="G13" i="7" s="1"/>
  <c r="F13" i="7"/>
  <c r="H13" i="7" s="1"/>
  <c r="G65" i="7" s="1"/>
  <c r="E11" i="7"/>
  <c r="G11" i="7" s="1"/>
  <c r="E25" i="7" s="1"/>
  <c r="E9" i="7"/>
  <c r="G9" i="7" s="1"/>
  <c r="F11" i="7"/>
  <c r="H11" i="7" s="1"/>
  <c r="E64" i="7" s="1"/>
  <c r="G26" i="8"/>
  <c r="C219" i="7"/>
  <c r="H219" i="7" s="1"/>
  <c r="H199" i="7"/>
  <c r="E12" i="7"/>
  <c r="G12" i="7" s="1"/>
  <c r="B199" i="7"/>
  <c r="B219" i="7" s="1"/>
  <c r="C200" i="7"/>
  <c r="F95" i="7"/>
  <c r="F94" i="7"/>
  <c r="G199" i="7"/>
  <c r="G198" i="7"/>
  <c r="C197" i="7"/>
  <c r="F92" i="7"/>
  <c r="E14" i="7"/>
  <c r="G14" i="7" s="1"/>
  <c r="F14" i="7"/>
  <c r="H14" i="7" s="1"/>
  <c r="B201" i="7"/>
  <c r="B221" i="7" s="1"/>
  <c r="C221" i="7"/>
  <c r="H221" i="7" s="1"/>
  <c r="H201" i="7"/>
  <c r="F91" i="7"/>
  <c r="C196" i="7"/>
  <c r="F93" i="7"/>
  <c r="C198" i="7"/>
  <c r="B197" i="7"/>
  <c r="B217" i="7" s="1"/>
  <c r="E10" i="7"/>
  <c r="G10" i="7" s="1"/>
  <c r="D67" i="7" l="1"/>
  <c r="D61" i="7"/>
  <c r="E26" i="7"/>
  <c r="D64" i="7"/>
  <c r="D59" i="7"/>
  <c r="E29" i="7"/>
  <c r="D65" i="7"/>
  <c r="D62" i="7"/>
  <c r="D68" i="7"/>
  <c r="D63" i="7"/>
  <c r="F64" i="7"/>
  <c r="D60" i="7"/>
  <c r="F59" i="7"/>
  <c r="E27" i="7"/>
  <c r="F66" i="7"/>
  <c r="E22" i="7"/>
  <c r="D69" i="7"/>
  <c r="G61" i="7"/>
  <c r="G60" i="7"/>
  <c r="G64" i="7"/>
  <c r="G59" i="7"/>
  <c r="G63" i="7"/>
  <c r="C59" i="7"/>
  <c r="C69" i="7"/>
  <c r="C65" i="7"/>
  <c r="G62" i="7"/>
  <c r="G68" i="7"/>
  <c r="C67" i="7"/>
  <c r="G66" i="7"/>
  <c r="G67" i="7"/>
  <c r="D66" i="7"/>
  <c r="E31" i="7"/>
  <c r="G69" i="7"/>
  <c r="F63" i="7"/>
  <c r="F65" i="7"/>
  <c r="C61" i="7"/>
  <c r="E23" i="7"/>
  <c r="C63" i="7"/>
  <c r="F68" i="7"/>
  <c r="C60" i="7"/>
  <c r="C64" i="7"/>
  <c r="F67" i="7"/>
  <c r="C68" i="7"/>
  <c r="C62" i="7"/>
  <c r="F61" i="7"/>
  <c r="F62" i="7"/>
  <c r="F60" i="7"/>
  <c r="E62" i="7"/>
  <c r="E65" i="7"/>
  <c r="E66" i="7"/>
  <c r="E61" i="7"/>
  <c r="E69" i="7"/>
  <c r="E68" i="7"/>
  <c r="E59" i="7"/>
  <c r="E63" i="7"/>
  <c r="E67" i="7"/>
  <c r="E30" i="7"/>
  <c r="E24" i="7"/>
  <c r="E28" i="7"/>
  <c r="E32" i="7"/>
  <c r="E60" i="7"/>
  <c r="C218" i="7"/>
  <c r="H218" i="7" s="1"/>
  <c r="H198" i="7"/>
  <c r="B230" i="7"/>
  <c r="C230" i="7" s="1"/>
  <c r="D230" i="7" s="1"/>
  <c r="E230" i="7" s="1"/>
  <c r="F230" i="7" s="1"/>
  <c r="I230" i="7"/>
  <c r="A242" i="7" s="1"/>
  <c r="I228" i="7"/>
  <c r="A244" i="7" s="1"/>
  <c r="B228" i="7"/>
  <c r="C228" i="7" s="1"/>
  <c r="D228" i="7" s="1"/>
  <c r="E228" i="7" s="1"/>
  <c r="F228" i="7" s="1"/>
  <c r="B210" i="7"/>
  <c r="C210" i="7" s="1"/>
  <c r="D210" i="7" s="1"/>
  <c r="E210" i="7" s="1"/>
  <c r="F210" i="7" s="1"/>
  <c r="I210" i="7"/>
  <c r="C242" i="7" s="1"/>
  <c r="B208" i="7"/>
  <c r="C208" i="7" s="1"/>
  <c r="D208" i="7" s="1"/>
  <c r="E208" i="7" s="1"/>
  <c r="F208" i="7" s="1"/>
  <c r="I208" i="7"/>
  <c r="C244" i="7" s="1"/>
  <c r="C31" i="7"/>
  <c r="C27" i="7"/>
  <c r="C23" i="7"/>
  <c r="C29" i="7"/>
  <c r="C25" i="7"/>
  <c r="C22" i="7"/>
  <c r="C32" i="7"/>
  <c r="C28" i="7"/>
  <c r="C26" i="7"/>
  <c r="C30" i="7"/>
  <c r="C24" i="7"/>
  <c r="F25" i="7"/>
  <c r="F30" i="7"/>
  <c r="F28" i="7"/>
  <c r="F31" i="7"/>
  <c r="F24" i="7"/>
  <c r="F29" i="7"/>
  <c r="F22" i="7"/>
  <c r="F32" i="7"/>
  <c r="F27" i="7"/>
  <c r="F26" i="7"/>
  <c r="F23" i="7"/>
  <c r="H196" i="7"/>
  <c r="C216" i="7"/>
  <c r="H216" i="7" s="1"/>
  <c r="H68" i="7"/>
  <c r="H59" i="7"/>
  <c r="H64" i="7"/>
  <c r="H69" i="7"/>
  <c r="H62" i="7"/>
  <c r="H67" i="7"/>
  <c r="H65" i="7"/>
  <c r="H63" i="7"/>
  <c r="H66" i="7"/>
  <c r="H61" i="7"/>
  <c r="H60" i="7"/>
  <c r="H30" i="7"/>
  <c r="H23" i="7"/>
  <c r="H26" i="7"/>
  <c r="H24" i="7"/>
  <c r="H29" i="7"/>
  <c r="H27" i="7"/>
  <c r="H22" i="7"/>
  <c r="H25" i="7"/>
  <c r="H31" i="7"/>
  <c r="H28" i="7"/>
  <c r="H32" i="7"/>
  <c r="G29" i="7"/>
  <c r="G25" i="7"/>
  <c r="G31" i="7"/>
  <c r="G27" i="7"/>
  <c r="G23" i="7"/>
  <c r="G32" i="7"/>
  <c r="G28" i="7"/>
  <c r="G26" i="7"/>
  <c r="G22" i="7"/>
  <c r="G30" i="7"/>
  <c r="G24" i="7"/>
  <c r="H200" i="7"/>
  <c r="C220" i="7"/>
  <c r="H220" i="7" s="1"/>
  <c r="D29" i="7"/>
  <c r="D32" i="7"/>
  <c r="D25" i="7"/>
  <c r="D23" i="7"/>
  <c r="D30" i="7"/>
  <c r="D26" i="7"/>
  <c r="D24" i="7"/>
  <c r="D28" i="7"/>
  <c r="D27" i="7"/>
  <c r="D22" i="7"/>
  <c r="D31" i="7"/>
  <c r="I17" i="7"/>
  <c r="G54" i="7" s="1"/>
  <c r="C217" i="7"/>
  <c r="H217" i="7" s="1"/>
  <c r="H197" i="7"/>
  <c r="G208" i="7" l="1"/>
  <c r="H208" i="7"/>
  <c r="D244" i="7" s="1"/>
  <c r="B227" i="7"/>
  <c r="C227" i="7" s="1"/>
  <c r="D227" i="7" s="1"/>
  <c r="E227" i="7" s="1"/>
  <c r="F227" i="7" s="1"/>
  <c r="I227" i="7"/>
  <c r="A245" i="7" s="1"/>
  <c r="G210" i="7"/>
  <c r="H210" i="7"/>
  <c r="D242" i="7" s="1"/>
  <c r="B229" i="7"/>
  <c r="C229" i="7" s="1"/>
  <c r="D229" i="7" s="1"/>
  <c r="E229" i="7" s="1"/>
  <c r="F229" i="7" s="1"/>
  <c r="I229" i="7"/>
  <c r="A243" i="7" s="1"/>
  <c r="H228" i="7"/>
  <c r="B244" i="7" s="1"/>
  <c r="G228" i="7"/>
  <c r="B209" i="7"/>
  <c r="C209" i="7" s="1"/>
  <c r="D209" i="7" s="1"/>
  <c r="E209" i="7" s="1"/>
  <c r="F209" i="7" s="1"/>
  <c r="I209" i="7"/>
  <c r="C243" i="7" s="1"/>
  <c r="H230" i="7"/>
  <c r="B242" i="7" s="1"/>
  <c r="G230" i="7"/>
  <c r="B205" i="7"/>
  <c r="C205" i="7" s="1"/>
  <c r="D205" i="7" s="1"/>
  <c r="E205" i="7" s="1"/>
  <c r="F205" i="7" s="1"/>
  <c r="I205" i="7"/>
  <c r="C247" i="7" s="1"/>
  <c r="B206" i="7"/>
  <c r="C206" i="7" s="1"/>
  <c r="D206" i="7" s="1"/>
  <c r="E206" i="7" s="1"/>
  <c r="F206" i="7" s="1"/>
  <c r="I206" i="7"/>
  <c r="C246" i="7" s="1"/>
  <c r="I226" i="7"/>
  <c r="A246" i="7" s="1"/>
  <c r="B226" i="7"/>
  <c r="C226" i="7" s="1"/>
  <c r="D226" i="7" s="1"/>
  <c r="E226" i="7" s="1"/>
  <c r="F226" i="7" s="1"/>
  <c r="I225" i="7"/>
  <c r="A247" i="7" s="1"/>
  <c r="B225" i="7"/>
  <c r="C225" i="7" s="1"/>
  <c r="D225" i="7" s="1"/>
  <c r="E225" i="7" s="1"/>
  <c r="F225" i="7" s="1"/>
  <c r="B207" i="7"/>
  <c r="C207" i="7" s="1"/>
  <c r="D207" i="7" s="1"/>
  <c r="E207" i="7" s="1"/>
  <c r="F207" i="7" s="1"/>
  <c r="I207" i="7"/>
  <c r="C245" i="7" s="1"/>
  <c r="H227" i="7" l="1"/>
  <c r="B245" i="7" s="1"/>
  <c r="G227" i="7"/>
  <c r="G206" i="7"/>
  <c r="H206" i="7"/>
  <c r="D246" i="7" s="1"/>
  <c r="G205" i="7"/>
  <c r="H205" i="7"/>
  <c r="D247" i="7" s="1"/>
  <c r="H229" i="7"/>
  <c r="B243" i="7" s="1"/>
  <c r="G229" i="7"/>
  <c r="G209" i="7"/>
  <c r="H209" i="7"/>
  <c r="D243" i="7" s="1"/>
  <c r="G207" i="7"/>
  <c r="H207" i="7"/>
  <c r="D245" i="7" s="1"/>
  <c r="H225" i="7"/>
  <c r="B247" i="7" s="1"/>
  <c r="G225" i="7"/>
  <c r="H226" i="7"/>
  <c r="B246" i="7" s="1"/>
  <c r="G226" i="7"/>
  <c r="N33" i="6" l="1"/>
  <c r="D60" i="6" s="1"/>
  <c r="D61" i="6" s="1"/>
  <c r="BJ27" i="6"/>
  <c r="BM27" i="6" s="1"/>
  <c r="BE27" i="6"/>
  <c r="BD27" i="6" s="1"/>
  <c r="BG27" i="6" s="1"/>
  <c r="AX27" i="6"/>
  <c r="BA27" i="6" s="1"/>
  <c r="AR27" i="6"/>
  <c r="AU27" i="6" s="1"/>
  <c r="AL27" i="6"/>
  <c r="AO27" i="6" s="1"/>
  <c r="AF27" i="6"/>
  <c r="AI27" i="6" s="1"/>
  <c r="Z27" i="6"/>
  <c r="AC27" i="6" s="1"/>
  <c r="T27" i="6"/>
  <c r="W27" i="6" s="1"/>
  <c r="N27" i="6"/>
  <c r="Q27" i="6" s="1"/>
  <c r="H27" i="6"/>
  <c r="K27" i="6" s="1"/>
  <c r="BJ26" i="6"/>
  <c r="BM26" i="6" s="1"/>
  <c r="BE26" i="6"/>
  <c r="BJ25" i="6"/>
  <c r="BM25" i="6" s="1"/>
  <c r="BE25" i="6"/>
  <c r="AY25" i="6" s="1"/>
  <c r="BJ24" i="6"/>
  <c r="BM24" i="6" s="1"/>
  <c r="BE24" i="6"/>
  <c r="BD24" i="6" s="1"/>
  <c r="BG24" i="6" s="1"/>
  <c r="BJ23" i="6"/>
  <c r="BM23" i="6" s="1"/>
  <c r="BE23" i="6"/>
  <c r="AY23" i="6" s="1"/>
  <c r="BJ22" i="6"/>
  <c r="BM22" i="6" s="1"/>
  <c r="BE22" i="6"/>
  <c r="BD22" i="6" s="1"/>
  <c r="BG22" i="6" s="1"/>
  <c r="BJ21" i="6"/>
  <c r="BM21" i="6" s="1"/>
  <c r="BE21" i="6"/>
  <c r="BD21" i="6" s="1"/>
  <c r="BG21" i="6" s="1"/>
  <c r="BJ20" i="6"/>
  <c r="BM20" i="6" s="1"/>
  <c r="BE20" i="6"/>
  <c r="AY20" i="6" s="1"/>
  <c r="BJ19" i="6"/>
  <c r="BM19" i="6" s="1"/>
  <c r="BE19" i="6"/>
  <c r="BD19" i="6" s="1"/>
  <c r="BG19" i="6" s="1"/>
  <c r="BJ18" i="6"/>
  <c r="BM18" i="6" s="1"/>
  <c r="BE18" i="6"/>
  <c r="BJ17" i="6"/>
  <c r="BM17" i="6" s="1"/>
  <c r="BE17" i="6"/>
  <c r="BD17" i="6" s="1"/>
  <c r="BG17" i="6" s="1"/>
  <c r="BJ16" i="6"/>
  <c r="BM16" i="6" s="1"/>
  <c r="BE16" i="6"/>
  <c r="BD16" i="6" s="1"/>
  <c r="BG16" i="6" s="1"/>
  <c r="BJ15" i="6"/>
  <c r="BM15" i="6" s="1"/>
  <c r="BE15" i="6"/>
  <c r="AY15" i="6" s="1"/>
  <c r="BJ14" i="6"/>
  <c r="BM14" i="6" s="1"/>
  <c r="BE14" i="6"/>
  <c r="BJ13" i="6"/>
  <c r="BM13" i="6" s="1"/>
  <c r="BE13" i="6"/>
  <c r="BD13" i="6" s="1"/>
  <c r="BG13" i="6" s="1"/>
  <c r="BJ12" i="6"/>
  <c r="BM12" i="6" s="1"/>
  <c r="BE12" i="6"/>
  <c r="AY12" i="6" s="1"/>
  <c r="AX12" i="6" s="1"/>
  <c r="BA12" i="6" s="1"/>
  <c r="BJ11" i="6"/>
  <c r="BM11" i="6" s="1"/>
  <c r="BE11" i="6"/>
  <c r="AY11" i="6" s="1"/>
  <c r="BJ10" i="6"/>
  <c r="BM10" i="6" s="1"/>
  <c r="BE10" i="6"/>
  <c r="BJ9" i="6"/>
  <c r="BM9" i="6" s="1"/>
  <c r="BE9" i="6"/>
  <c r="BD9" i="6" s="1"/>
  <c r="BG9" i="6" s="1"/>
  <c r="BJ8" i="6"/>
  <c r="BM8" i="6" s="1"/>
  <c r="BE8" i="6"/>
  <c r="BD8" i="6" s="1"/>
  <c r="BG8" i="6" s="1"/>
  <c r="BM7" i="6"/>
  <c r="BJ7" i="6"/>
  <c r="BG7" i="6"/>
  <c r="BA7" i="6"/>
  <c r="AU7" i="6"/>
  <c r="AO7" i="6"/>
  <c r="AI7" i="6"/>
  <c r="AC7" i="6"/>
  <c r="W7" i="6"/>
  <c r="T7" i="6"/>
  <c r="O7" i="6"/>
  <c r="I7" i="6" s="1"/>
  <c r="BM6" i="6"/>
  <c r="BJ6" i="6"/>
  <c r="BG6" i="6"/>
  <c r="BA6" i="6"/>
  <c r="AU6" i="6"/>
  <c r="AO6" i="6"/>
  <c r="AI6" i="6"/>
  <c r="AC6" i="6"/>
  <c r="W6" i="6"/>
  <c r="Q6" i="6"/>
  <c r="N6" i="6"/>
  <c r="I6" i="6"/>
  <c r="C6" i="6" s="1"/>
  <c r="BM5" i="6"/>
  <c r="BJ5" i="6"/>
  <c r="BG5" i="6"/>
  <c r="BA5" i="6"/>
  <c r="AU5" i="6"/>
  <c r="AO5" i="6"/>
  <c r="AI5" i="6"/>
  <c r="AC5" i="6"/>
  <c r="W5" i="6"/>
  <c r="Q5" i="6"/>
  <c r="K5" i="6"/>
  <c r="H465" i="5"/>
  <c r="B458" i="5"/>
  <c r="B461" i="5" s="1"/>
  <c r="B462" i="5" s="1"/>
  <c r="H408" i="5"/>
  <c r="B401" i="5"/>
  <c r="B404" i="5" s="1"/>
  <c r="N367" i="5"/>
  <c r="N366" i="5"/>
  <c r="B361" i="5"/>
  <c r="N359" i="5"/>
  <c r="N358" i="5"/>
  <c r="Y353" i="5"/>
  <c r="Y355" i="5" s="1"/>
  <c r="H352" i="5"/>
  <c r="B345" i="5"/>
  <c r="C292" i="5"/>
  <c r="C291" i="5"/>
  <c r="C288" i="5"/>
  <c r="C233" i="5"/>
  <c r="C234" i="5" s="1"/>
  <c r="C235" i="5" s="1"/>
  <c r="AD220" i="5"/>
  <c r="C198" i="5"/>
  <c r="C199" i="5" s="1"/>
  <c r="X183" i="5"/>
  <c r="C167" i="5"/>
  <c r="C168" i="5" s="1"/>
  <c r="C133" i="5"/>
  <c r="C134" i="5" s="1"/>
  <c r="AG126" i="5"/>
  <c r="AG127" i="5" s="1"/>
  <c r="T119" i="5"/>
  <c r="P38" i="5"/>
  <c r="Q37" i="5"/>
  <c r="P37" i="5"/>
  <c r="P36" i="5"/>
  <c r="H36" i="5"/>
  <c r="Q36" i="5" s="1"/>
  <c r="F36" i="5"/>
  <c r="O36" i="5" s="1"/>
  <c r="Q35" i="5"/>
  <c r="P35" i="5"/>
  <c r="F35" i="5"/>
  <c r="Q34" i="5"/>
  <c r="O34" i="5"/>
  <c r="Q33" i="5"/>
  <c r="P33" i="5"/>
  <c r="O33" i="5"/>
  <c r="P32" i="5"/>
  <c r="O32" i="5"/>
  <c r="P31" i="5"/>
  <c r="O31" i="5"/>
  <c r="P30" i="5"/>
  <c r="O30" i="5"/>
  <c r="K8" i="5"/>
  <c r="B7" i="5"/>
  <c r="B8" i="5" s="1"/>
  <c r="E45" i="4"/>
  <c r="E44" i="4"/>
  <c r="E43" i="4"/>
  <c r="E42" i="4"/>
  <c r="E41" i="4"/>
  <c r="E40" i="4"/>
  <c r="E39" i="4"/>
  <c r="E38" i="4"/>
  <c r="K6" i="5" s="1"/>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D209" i="3"/>
  <c r="D208" i="3"/>
  <c r="D207" i="3"/>
  <c r="D206" i="3"/>
  <c r="D205" i="3"/>
  <c r="D204" i="3"/>
  <c r="D203" i="3"/>
  <c r="L202" i="3"/>
  <c r="C202" i="3"/>
  <c r="C213" i="3" s="1"/>
  <c r="B202" i="3"/>
  <c r="B213" i="3" s="1"/>
  <c r="B196" i="3"/>
  <c r="B178" i="3"/>
  <c r="F172" i="3"/>
  <c r="D172" i="3"/>
  <c r="F171" i="3"/>
  <c r="F170" i="3"/>
  <c r="F169" i="3"/>
  <c r="F168" i="3"/>
  <c r="F167" i="3"/>
  <c r="F166" i="3"/>
  <c r="C146" i="3"/>
  <c r="B145" i="3"/>
  <c r="C145" i="3" s="1"/>
  <c r="E170" i="3" s="1"/>
  <c r="C144" i="3"/>
  <c r="F120" i="3"/>
  <c r="E129" i="3" s="1"/>
  <c r="F119" i="3"/>
  <c r="E128" i="3" s="1"/>
  <c r="F118" i="3"/>
  <c r="E127" i="3" s="1"/>
  <c r="F117" i="3"/>
  <c r="E126" i="3" s="1"/>
  <c r="F116" i="3"/>
  <c r="E125" i="3" s="1"/>
  <c r="F115" i="3"/>
  <c r="E124" i="3" s="1"/>
  <c r="B97" i="3"/>
  <c r="F104" i="3" s="1"/>
  <c r="F128" i="3" s="1"/>
  <c r="B89" i="3"/>
  <c r="B92" i="3" s="1"/>
  <c r="F135" i="3" s="1"/>
  <c r="D79" i="3"/>
  <c r="D99" i="3" s="1"/>
  <c r="D114" i="3" s="1"/>
  <c r="D123" i="3" s="1"/>
  <c r="D132" i="3" s="1"/>
  <c r="A69" i="3"/>
  <c r="A172" i="3" s="1"/>
  <c r="A191" i="3" s="1"/>
  <c r="A209" i="3" s="1"/>
  <c r="A220" i="3" s="1"/>
  <c r="A68" i="3"/>
  <c r="A85" i="3" s="1"/>
  <c r="A105" i="3" s="1"/>
  <c r="A120" i="3" s="1"/>
  <c r="A129" i="3" s="1"/>
  <c r="A138" i="3" s="1"/>
  <c r="A67" i="3"/>
  <c r="A170" i="3" s="1"/>
  <c r="A189" i="3" s="1"/>
  <c r="A207" i="3" s="1"/>
  <c r="A218" i="3" s="1"/>
  <c r="A66" i="3"/>
  <c r="A83" i="3" s="1"/>
  <c r="A103" i="3" s="1"/>
  <c r="A118" i="3" s="1"/>
  <c r="A127" i="3" s="1"/>
  <c r="A136" i="3" s="1"/>
  <c r="A65" i="3"/>
  <c r="A168" i="3" s="1"/>
  <c r="A187" i="3" s="1"/>
  <c r="A205" i="3" s="1"/>
  <c r="A216" i="3" s="1"/>
  <c r="A64" i="3"/>
  <c r="A167" i="3" s="1"/>
  <c r="A186" i="3" s="1"/>
  <c r="A204" i="3" s="1"/>
  <c r="A215" i="3" s="1"/>
  <c r="A63" i="3"/>
  <c r="A80" i="3" s="1"/>
  <c r="A100" i="3" s="1"/>
  <c r="A115" i="3" s="1"/>
  <c r="A124" i="3" s="1"/>
  <c r="A133" i="3" s="1"/>
  <c r="C62" i="3"/>
  <c r="C79" i="3" s="1"/>
  <c r="C99" i="3" s="1"/>
  <c r="C114" i="3" s="1"/>
  <c r="C123" i="3" s="1"/>
  <c r="C132" i="3" s="1"/>
  <c r="B62" i="3"/>
  <c r="B79" i="3" s="1"/>
  <c r="B99" i="3" s="1"/>
  <c r="B114" i="3" s="1"/>
  <c r="B123" i="3" s="1"/>
  <c r="B132" i="3" s="1"/>
  <c r="A62" i="3"/>
  <c r="A165" i="3" s="1"/>
  <c r="A184" i="3" s="1"/>
  <c r="A202" i="3" s="1"/>
  <c r="A213" i="3" s="1"/>
  <c r="A53" i="3"/>
  <c r="A52" i="3"/>
  <c r="A51" i="3"/>
  <c r="A50" i="3"/>
  <c r="A49" i="3"/>
  <c r="A48" i="3"/>
  <c r="A47" i="3"/>
  <c r="D46" i="3"/>
  <c r="C46" i="3"/>
  <c r="B46" i="3"/>
  <c r="A46" i="3"/>
  <c r="B39" i="3"/>
  <c r="B53" i="3" s="1"/>
  <c r="B38" i="3"/>
  <c r="B52" i="3" s="1"/>
  <c r="B37" i="3"/>
  <c r="C37" i="3" s="1"/>
  <c r="C67" i="3" s="1"/>
  <c r="B36" i="3"/>
  <c r="C36" i="3" s="1"/>
  <c r="B35" i="3"/>
  <c r="B65" i="3" s="1"/>
  <c r="B34" i="3"/>
  <c r="B48" i="3" s="1"/>
  <c r="B33" i="3"/>
  <c r="B47" i="3" s="1"/>
  <c r="B17" i="3"/>
  <c r="B18" i="3" s="1"/>
  <c r="B22" i="3" s="1"/>
  <c r="B297" i="2"/>
  <c r="C297" i="2" s="1"/>
  <c r="G296" i="2"/>
  <c r="K291" i="2" s="1"/>
  <c r="B296" i="2"/>
  <c r="C296" i="2" s="1"/>
  <c r="G295" i="2"/>
  <c r="K292" i="2" s="1"/>
  <c r="B295" i="2"/>
  <c r="C295" i="2" s="1"/>
  <c r="G294" i="2"/>
  <c r="K293" i="2" s="1"/>
  <c r="B294" i="2"/>
  <c r="C294" i="2" s="1"/>
  <c r="G293" i="2"/>
  <c r="K294" i="2" s="1"/>
  <c r="B293" i="2"/>
  <c r="C293" i="2" s="1"/>
  <c r="G292" i="2"/>
  <c r="K295" i="2" s="1"/>
  <c r="B292" i="2"/>
  <c r="C292" i="2" s="1"/>
  <c r="G291" i="2"/>
  <c r="K296" i="2" s="1"/>
  <c r="B291" i="2"/>
  <c r="C291" i="2" s="1"/>
  <c r="B283" i="2"/>
  <c r="C283" i="2" s="1"/>
  <c r="B282" i="2"/>
  <c r="C282" i="2" s="1"/>
  <c r="B281" i="2"/>
  <c r="C281" i="2" s="1"/>
  <c r="B280" i="2"/>
  <c r="C280" i="2" s="1"/>
  <c r="B279" i="2"/>
  <c r="C279" i="2" s="1"/>
  <c r="B278" i="2"/>
  <c r="C278" i="2" s="1"/>
  <c r="B277" i="2"/>
  <c r="C277" i="2" s="1"/>
  <c r="B268" i="2"/>
  <c r="C268" i="2" s="1"/>
  <c r="B267" i="2"/>
  <c r="C267" i="2" s="1"/>
  <c r="B266" i="2"/>
  <c r="C266" i="2" s="1"/>
  <c r="B265" i="2"/>
  <c r="C265" i="2" s="1"/>
  <c r="B264" i="2"/>
  <c r="C264" i="2" s="1"/>
  <c r="B263" i="2"/>
  <c r="C263" i="2" s="1"/>
  <c r="B262" i="2"/>
  <c r="C262" i="2" s="1"/>
  <c r="B248" i="2"/>
  <c r="B235" i="2"/>
  <c r="C235" i="2" s="1"/>
  <c r="B234" i="2"/>
  <c r="C234" i="2" s="1"/>
  <c r="B233" i="2"/>
  <c r="C233" i="2" s="1"/>
  <c r="B232" i="2"/>
  <c r="C232" i="2" s="1"/>
  <c r="B231" i="2"/>
  <c r="C231" i="2" s="1"/>
  <c r="B230" i="2"/>
  <c r="C230" i="2" s="1"/>
  <c r="B229" i="2"/>
  <c r="C229" i="2" s="1"/>
  <c r="B217" i="2"/>
  <c r="C217" i="2" s="1"/>
  <c r="B216" i="2"/>
  <c r="C216" i="2" s="1"/>
  <c r="B215" i="2"/>
  <c r="C215" i="2" s="1"/>
  <c r="B214" i="2"/>
  <c r="C214" i="2" s="1"/>
  <c r="B213" i="2"/>
  <c r="C213" i="2" s="1"/>
  <c r="B212" i="2"/>
  <c r="C212" i="2" s="1"/>
  <c r="B211" i="2"/>
  <c r="C211" i="2" s="1"/>
  <c r="B190" i="2"/>
  <c r="B186" i="2"/>
  <c r="B181" i="2"/>
  <c r="B167" i="2"/>
  <c r="B148" i="2"/>
  <c r="C148" i="2" s="1"/>
  <c r="B147" i="2"/>
  <c r="C147" i="2" s="1"/>
  <c r="B146" i="2"/>
  <c r="C146" i="2" s="1"/>
  <c r="B145" i="2"/>
  <c r="C145" i="2" s="1"/>
  <c r="B144" i="2"/>
  <c r="C144" i="2" s="1"/>
  <c r="B143" i="2"/>
  <c r="C143" i="2" s="1"/>
  <c r="B142" i="2"/>
  <c r="C142" i="2" s="1"/>
  <c r="B107" i="2"/>
  <c r="B88" i="2"/>
  <c r="C88" i="2" s="1"/>
  <c r="B87" i="2"/>
  <c r="C87" i="2" s="1"/>
  <c r="B86" i="2"/>
  <c r="C86" i="2" s="1"/>
  <c r="B85" i="2"/>
  <c r="C85" i="2" s="1"/>
  <c r="B84" i="2"/>
  <c r="C84" i="2" s="1"/>
  <c r="B83" i="2"/>
  <c r="C83" i="2" s="1"/>
  <c r="B82" i="2"/>
  <c r="C82" i="2" s="1"/>
  <c r="B72" i="2"/>
  <c r="C72" i="2" s="1"/>
  <c r="B71" i="2"/>
  <c r="C71" i="2" s="1"/>
  <c r="B70" i="2"/>
  <c r="C70" i="2" s="1"/>
  <c r="B69" i="2"/>
  <c r="C69" i="2" s="1"/>
  <c r="B68" i="2"/>
  <c r="C68" i="2" s="1"/>
  <c r="B67" i="2"/>
  <c r="C67" i="2" s="1"/>
  <c r="B66" i="2"/>
  <c r="C66" i="2" s="1"/>
  <c r="B56" i="2"/>
  <c r="G21" i="2"/>
  <c r="L20" i="2"/>
  <c r="G20" i="2"/>
  <c r="G27" i="2" s="1"/>
  <c r="G19" i="2"/>
  <c r="BD25" i="6" l="1"/>
  <c r="BG25" i="6" s="1"/>
  <c r="C293" i="5"/>
  <c r="B69" i="3"/>
  <c r="B172" i="3" s="1"/>
  <c r="B191" i="3" s="1"/>
  <c r="B209" i="3" s="1"/>
  <c r="B220" i="3" s="1"/>
  <c r="C39" i="3"/>
  <c r="C69" i="3" s="1"/>
  <c r="D69" i="3" s="1"/>
  <c r="F101" i="3"/>
  <c r="F125" i="3" s="1"/>
  <c r="G125" i="3" s="1"/>
  <c r="G134" i="3" s="1"/>
  <c r="F102" i="3"/>
  <c r="F126" i="3" s="1"/>
  <c r="G126" i="3" s="1"/>
  <c r="G135" i="3" s="1"/>
  <c r="L11" i="5"/>
  <c r="L12" i="5" s="1"/>
  <c r="B64" i="3"/>
  <c r="B167" i="3" s="1"/>
  <c r="B186" i="3" s="1"/>
  <c r="B204" i="3" s="1"/>
  <c r="B215" i="3" s="1"/>
  <c r="C34" i="3"/>
  <c r="C48" i="3" s="1"/>
  <c r="F100" i="3"/>
  <c r="F124" i="3" s="1"/>
  <c r="G124" i="3" s="1"/>
  <c r="G133" i="3" s="1"/>
  <c r="C33" i="3"/>
  <c r="C63" i="3" s="1"/>
  <c r="G22" i="2"/>
  <c r="D37" i="3"/>
  <c r="D51" i="3" s="1"/>
  <c r="E51" i="3" s="1"/>
  <c r="C170" i="3" s="1"/>
  <c r="B459" i="5"/>
  <c r="A171" i="3"/>
  <c r="A190" i="3" s="1"/>
  <c r="A208" i="3" s="1"/>
  <c r="A219" i="3" s="1"/>
  <c r="H7" i="6"/>
  <c r="K7" i="6" s="1"/>
  <c r="C7" i="6"/>
  <c r="B7" i="6" s="1"/>
  <c r="E7" i="6" s="1"/>
  <c r="A81" i="3"/>
  <c r="A101" i="3" s="1"/>
  <c r="A116" i="3" s="1"/>
  <c r="A125" i="3" s="1"/>
  <c r="A134" i="3" s="1"/>
  <c r="F105" i="3"/>
  <c r="F129" i="3" s="1"/>
  <c r="G129" i="3" s="1"/>
  <c r="G138" i="3" s="1"/>
  <c r="B165" i="3"/>
  <c r="H38" i="5"/>
  <c r="Q38" i="5" s="1"/>
  <c r="L44" i="5" s="1"/>
  <c r="L47" i="5" s="1"/>
  <c r="K62" i="5" s="1"/>
  <c r="O35" i="5"/>
  <c r="C35" i="3"/>
  <c r="C49" i="3" s="1"/>
  <c r="G128" i="3"/>
  <c r="G137" i="3" s="1"/>
  <c r="B402" i="5"/>
  <c r="E6" i="6"/>
  <c r="B6" i="6"/>
  <c r="AY17" i="6"/>
  <c r="AX17" i="6" s="1"/>
  <c r="BA17" i="6" s="1"/>
  <c r="AY13" i="6"/>
  <c r="AS13" i="6" s="1"/>
  <c r="AS12" i="6"/>
  <c r="AM12" i="6" s="1"/>
  <c r="AS11" i="6"/>
  <c r="AR11" i="6" s="1"/>
  <c r="AU11" i="6" s="1"/>
  <c r="AX11" i="6"/>
  <c r="BA11" i="6" s="1"/>
  <c r="N7" i="6"/>
  <c r="BD11" i="6"/>
  <c r="BG11" i="6" s="1"/>
  <c r="BD20" i="6"/>
  <c r="BG20" i="6" s="1"/>
  <c r="BD12" i="6"/>
  <c r="BG12" i="6" s="1"/>
  <c r="BD23" i="6"/>
  <c r="BG23" i="6" s="1"/>
  <c r="AY9" i="6"/>
  <c r="AX9" i="6" s="1"/>
  <c r="BA9" i="6" s="1"/>
  <c r="AY19" i="6"/>
  <c r="AY21" i="6"/>
  <c r="AX21" i="6" s="1"/>
  <c r="BA21" i="6" s="1"/>
  <c r="BD15" i="6"/>
  <c r="BG15" i="6" s="1"/>
  <c r="AX25" i="6"/>
  <c r="BA25" i="6" s="1"/>
  <c r="AS25" i="6"/>
  <c r="BD26" i="6"/>
  <c r="BG26" i="6" s="1"/>
  <c r="AY26" i="6"/>
  <c r="AX20" i="6"/>
  <c r="BA20" i="6" s="1"/>
  <c r="AS20" i="6"/>
  <c r="H6" i="6"/>
  <c r="K6" i="6"/>
  <c r="BD14" i="6"/>
  <c r="BG14" i="6" s="1"/>
  <c r="AY14" i="6"/>
  <c r="BL28" i="6"/>
  <c r="BL29" i="6" s="1"/>
  <c r="BL30" i="6" s="1"/>
  <c r="BD18" i="6"/>
  <c r="BG18" i="6" s="1"/>
  <c r="AY18" i="6"/>
  <c r="BD10" i="6"/>
  <c r="BG10" i="6" s="1"/>
  <c r="AY10" i="6"/>
  <c r="AX15" i="6"/>
  <c r="BA15" i="6" s="1"/>
  <c r="AS15" i="6"/>
  <c r="AX23" i="6"/>
  <c r="BA23" i="6" s="1"/>
  <c r="AS23" i="6"/>
  <c r="AY22" i="6"/>
  <c r="Q7" i="6"/>
  <c r="AY8" i="6"/>
  <c r="AY16" i="6"/>
  <c r="AY24" i="6"/>
  <c r="C84" i="3"/>
  <c r="C104" i="3" s="1"/>
  <c r="C119" i="3" s="1"/>
  <c r="C128" i="3" s="1"/>
  <c r="C137" i="3" s="1"/>
  <c r="D67" i="3"/>
  <c r="D84" i="3" s="1"/>
  <c r="D104" i="3" s="1"/>
  <c r="D119" i="3" s="1"/>
  <c r="D128" i="3" s="1"/>
  <c r="D137" i="3" s="1"/>
  <c r="C189" i="3"/>
  <c r="C207" i="3" s="1"/>
  <c r="B82" i="3"/>
  <c r="B102" i="3" s="1"/>
  <c r="B117" i="3" s="1"/>
  <c r="B126" i="3" s="1"/>
  <c r="B135" i="3" s="1"/>
  <c r="B168" i="3"/>
  <c r="B187" i="3" s="1"/>
  <c r="B205" i="3" s="1"/>
  <c r="B216" i="3" s="1"/>
  <c r="D36" i="3"/>
  <c r="D50" i="3" s="1"/>
  <c r="E50" i="3" s="1"/>
  <c r="C169" i="3" s="1"/>
  <c r="C50" i="3"/>
  <c r="C66" i="3"/>
  <c r="B407" i="5"/>
  <c r="B405" i="5"/>
  <c r="B51" i="3"/>
  <c r="C38" i="3"/>
  <c r="B49" i="3"/>
  <c r="C51" i="3"/>
  <c r="B67" i="3"/>
  <c r="A79" i="3"/>
  <c r="A99" i="3" s="1"/>
  <c r="A114" i="3" s="1"/>
  <c r="A123" i="3" s="1"/>
  <c r="A132" i="3" s="1"/>
  <c r="A166" i="3"/>
  <c r="A185" i="3" s="1"/>
  <c r="A203" i="3" s="1"/>
  <c r="A214" i="3" s="1"/>
  <c r="F134" i="3"/>
  <c r="F133" i="3"/>
  <c r="F138" i="3"/>
  <c r="F137" i="3"/>
  <c r="F136" i="3"/>
  <c r="B66" i="3"/>
  <c r="E168" i="3"/>
  <c r="E169" i="3"/>
  <c r="E172" i="3"/>
  <c r="E166" i="3"/>
  <c r="E167" i="3"/>
  <c r="B23" i="3"/>
  <c r="B24" i="3" s="1"/>
  <c r="A82" i="3"/>
  <c r="A102" i="3" s="1"/>
  <c r="A117" i="3" s="1"/>
  <c r="A126" i="3" s="1"/>
  <c r="A135" i="3" s="1"/>
  <c r="A84" i="3"/>
  <c r="A104" i="3" s="1"/>
  <c r="A119" i="3" s="1"/>
  <c r="A128" i="3" s="1"/>
  <c r="A137" i="3" s="1"/>
  <c r="E171" i="3"/>
  <c r="B348" i="5"/>
  <c r="B346" i="5"/>
  <c r="B50" i="3"/>
  <c r="B68" i="3"/>
  <c r="B464" i="5"/>
  <c r="B63" i="3"/>
  <c r="F103" i="3"/>
  <c r="F127" i="3" s="1"/>
  <c r="G127" i="3" s="1"/>
  <c r="G136" i="3" s="1"/>
  <c r="A169" i="3"/>
  <c r="A188" i="3" s="1"/>
  <c r="A206" i="3" s="1"/>
  <c r="A217" i="3" s="1"/>
  <c r="C44" i="5" l="1"/>
  <c r="C47" i="5" s="1"/>
  <c r="B62" i="5" s="1"/>
  <c r="C64" i="3"/>
  <c r="C186" i="3" s="1"/>
  <c r="C204" i="3" s="1"/>
  <c r="D34" i="3"/>
  <c r="D48" i="3" s="1"/>
  <c r="E48" i="3" s="1"/>
  <c r="C167" i="3" s="1"/>
  <c r="K68" i="5"/>
  <c r="K82" i="5" s="1"/>
  <c r="K93" i="5" s="1"/>
  <c r="C65" i="3"/>
  <c r="C187" i="3" s="1"/>
  <c r="C205" i="3" s="1"/>
  <c r="C47" i="3"/>
  <c r="D33" i="3"/>
  <c r="D47" i="3" s="1"/>
  <c r="E47" i="3" s="1"/>
  <c r="C166" i="3" s="1"/>
  <c r="D35" i="3"/>
  <c r="D49" i="3" s="1"/>
  <c r="E49" i="3" s="1"/>
  <c r="C168" i="3" s="1"/>
  <c r="AS17" i="6"/>
  <c r="AM17" i="6" s="1"/>
  <c r="B81" i="3"/>
  <c r="B101" i="3" s="1"/>
  <c r="B116" i="3" s="1"/>
  <c r="B125" i="3" s="1"/>
  <c r="B134" i="3" s="1"/>
  <c r="C53" i="3"/>
  <c r="D39" i="3"/>
  <c r="D53" i="3" s="1"/>
  <c r="E53" i="3" s="1"/>
  <c r="C172" i="3" s="1"/>
  <c r="G172" i="3" s="1"/>
  <c r="D191" i="3" s="1"/>
  <c r="AR12" i="6"/>
  <c r="AU12" i="6" s="1"/>
  <c r="C191" i="3"/>
  <c r="C209" i="3" s="1"/>
  <c r="C220" i="3" s="1"/>
  <c r="AS21" i="6"/>
  <c r="AR21" i="6" s="1"/>
  <c r="AU21" i="6" s="1"/>
  <c r="BF28" i="6"/>
  <c r="BF29" i="6" s="1"/>
  <c r="BF30" i="6" s="1"/>
  <c r="AX13" i="6"/>
  <c r="BA13" i="6" s="1"/>
  <c r="AM11" i="6"/>
  <c r="AL11" i="6" s="1"/>
  <c r="AO11" i="6" s="1"/>
  <c r="AS19" i="6"/>
  <c r="AX19" i="6"/>
  <c r="BA19" i="6" s="1"/>
  <c r="AS9" i="6"/>
  <c r="AM9" i="6" s="1"/>
  <c r="AX8" i="6"/>
  <c r="BA8" i="6" s="1"/>
  <c r="AS8" i="6"/>
  <c r="AS10" i="6"/>
  <c r="AX10" i="6"/>
  <c r="BA10" i="6" s="1"/>
  <c r="AS14" i="6"/>
  <c r="AX14" i="6"/>
  <c r="BA14" i="6" s="1"/>
  <c r="AR15" i="6"/>
  <c r="AU15" i="6" s="1"/>
  <c r="AM15" i="6"/>
  <c r="AR20" i="6"/>
  <c r="AU20" i="6" s="1"/>
  <c r="AM20" i="6"/>
  <c r="AX18" i="6"/>
  <c r="BA18" i="6" s="1"/>
  <c r="AS18" i="6"/>
  <c r="AR23" i="6"/>
  <c r="AU23" i="6" s="1"/>
  <c r="AM23" i="6"/>
  <c r="AM13" i="6"/>
  <c r="AR13" i="6"/>
  <c r="AU13" i="6" s="1"/>
  <c r="AR25" i="6"/>
  <c r="AU25" i="6" s="1"/>
  <c r="AM25" i="6"/>
  <c r="AX24" i="6"/>
  <c r="BA24" i="6" s="1"/>
  <c r="AS24" i="6"/>
  <c r="AG12" i="6"/>
  <c r="AL12" i="6"/>
  <c r="AO12" i="6" s="1"/>
  <c r="AX16" i="6"/>
  <c r="BA16" i="6" s="1"/>
  <c r="AS16" i="6"/>
  <c r="AS22" i="6"/>
  <c r="AX22" i="6"/>
  <c r="BA22" i="6" s="1"/>
  <c r="AX26" i="6"/>
  <c r="BA26" i="6" s="1"/>
  <c r="AS26" i="6"/>
  <c r="B170" i="3"/>
  <c r="B189" i="3" s="1"/>
  <c r="B207" i="3" s="1"/>
  <c r="B218" i="3" s="1"/>
  <c r="B84" i="3"/>
  <c r="B104" i="3" s="1"/>
  <c r="B119" i="3" s="1"/>
  <c r="B128" i="3" s="1"/>
  <c r="B137" i="3" s="1"/>
  <c r="C68" i="3"/>
  <c r="C52" i="3"/>
  <c r="D38" i="3"/>
  <c r="D52" i="3" s="1"/>
  <c r="E52" i="3" s="1"/>
  <c r="C171" i="3" s="1"/>
  <c r="B351" i="5"/>
  <c r="B349" i="5"/>
  <c r="B83" i="3"/>
  <c r="B103" i="3" s="1"/>
  <c r="B118" i="3" s="1"/>
  <c r="B127" i="3" s="1"/>
  <c r="B136" i="3" s="1"/>
  <c r="B169" i="3"/>
  <c r="B188" i="3" s="1"/>
  <c r="B206" i="3" s="1"/>
  <c r="B217" i="3" s="1"/>
  <c r="C74" i="3"/>
  <c r="B411" i="5"/>
  <c r="B408" i="5"/>
  <c r="E207" i="3"/>
  <c r="E218" i="3" s="1"/>
  <c r="C218" i="3"/>
  <c r="B171" i="3"/>
  <c r="B190" i="3" s="1"/>
  <c r="B208" i="3" s="1"/>
  <c r="B219" i="3" s="1"/>
  <c r="B85" i="3"/>
  <c r="B105" i="3" s="1"/>
  <c r="B120" i="3" s="1"/>
  <c r="B129" i="3" s="1"/>
  <c r="B138" i="3" s="1"/>
  <c r="B166" i="3"/>
  <c r="B185" i="3" s="1"/>
  <c r="B203" i="3" s="1"/>
  <c r="B214" i="3" s="1"/>
  <c r="B80" i="3"/>
  <c r="B100" i="3" s="1"/>
  <c r="B115" i="3" s="1"/>
  <c r="B124" i="3" s="1"/>
  <c r="B133" i="3" s="1"/>
  <c r="C80" i="3"/>
  <c r="C100" i="3" s="1"/>
  <c r="C115" i="3" s="1"/>
  <c r="C124" i="3" s="1"/>
  <c r="C133" i="3" s="1"/>
  <c r="D63" i="3"/>
  <c r="D80" i="3" s="1"/>
  <c r="D100" i="3" s="1"/>
  <c r="D115" i="3" s="1"/>
  <c r="D124" i="3" s="1"/>
  <c r="D133" i="3" s="1"/>
  <c r="C185" i="3"/>
  <c r="C203" i="3" s="1"/>
  <c r="D66" i="3"/>
  <c r="D83" i="3" s="1"/>
  <c r="D103" i="3" s="1"/>
  <c r="D118" i="3" s="1"/>
  <c r="D127" i="3" s="1"/>
  <c r="D136" i="3" s="1"/>
  <c r="C188" i="3"/>
  <c r="C206" i="3" s="1"/>
  <c r="C83" i="3"/>
  <c r="C103" i="3" s="1"/>
  <c r="C118" i="3" s="1"/>
  <c r="C127" i="3" s="1"/>
  <c r="C136" i="3" s="1"/>
  <c r="B468" i="5"/>
  <c r="B465" i="5"/>
  <c r="E209" i="3" l="1"/>
  <c r="E220" i="3" s="1"/>
  <c r="K69" i="5"/>
  <c r="K83" i="5" s="1"/>
  <c r="K94" i="5" s="1"/>
  <c r="K104" i="5" s="1"/>
  <c r="C290" i="5"/>
  <c r="D64" i="3"/>
  <c r="D81" i="3" s="1"/>
  <c r="D101" i="3" s="1"/>
  <c r="D116" i="3" s="1"/>
  <c r="D125" i="3" s="1"/>
  <c r="D134" i="3" s="1"/>
  <c r="C81" i="3"/>
  <c r="C101" i="3" s="1"/>
  <c r="C116" i="3" s="1"/>
  <c r="C125" i="3" s="1"/>
  <c r="C134" i="3" s="1"/>
  <c r="AR17" i="6"/>
  <c r="AU17" i="6" s="1"/>
  <c r="C82" i="3"/>
  <c r="C102" i="3" s="1"/>
  <c r="C117" i="3" s="1"/>
  <c r="C126" i="3" s="1"/>
  <c r="C135" i="3" s="1"/>
  <c r="D65" i="3"/>
  <c r="D82" i="3" s="1"/>
  <c r="D102" i="3" s="1"/>
  <c r="D117" i="3" s="1"/>
  <c r="D126" i="3" s="1"/>
  <c r="D135" i="3" s="1"/>
  <c r="AG11" i="6"/>
  <c r="AA11" i="6" s="1"/>
  <c r="AM21" i="6"/>
  <c r="AG21" i="6" s="1"/>
  <c r="AR9" i="6"/>
  <c r="AU9" i="6" s="1"/>
  <c r="E191" i="3"/>
  <c r="AM19" i="6"/>
  <c r="AR19" i="6"/>
  <c r="AU19" i="6" s="1"/>
  <c r="AR22" i="6"/>
  <c r="AU22" i="6" s="1"/>
  <c r="AM22" i="6"/>
  <c r="AG9" i="6"/>
  <c r="AL9" i="6"/>
  <c r="AO9" i="6" s="1"/>
  <c r="AL13" i="6"/>
  <c r="AO13" i="6" s="1"/>
  <c r="AG13" i="6"/>
  <c r="AR14" i="6"/>
  <c r="AU14" i="6" s="1"/>
  <c r="AM14" i="6"/>
  <c r="AG20" i="6"/>
  <c r="AL20" i="6"/>
  <c r="AO20" i="6" s="1"/>
  <c r="AR16" i="6"/>
  <c r="AU16" i="6" s="1"/>
  <c r="AM16" i="6"/>
  <c r="AF12" i="6"/>
  <c r="AI12" i="6" s="1"/>
  <c r="AA12" i="6"/>
  <c r="AM26" i="6"/>
  <c r="AR26" i="6"/>
  <c r="AU26" i="6" s="1"/>
  <c r="AL15" i="6"/>
  <c r="AO15" i="6" s="1"/>
  <c r="AG15" i="6"/>
  <c r="AZ28" i="6"/>
  <c r="AZ29" i="6" s="1"/>
  <c r="AZ30" i="6" s="1"/>
  <c r="AM10" i="6"/>
  <c r="AR10" i="6"/>
  <c r="AU10" i="6" s="1"/>
  <c r="AR24" i="6"/>
  <c r="AU24" i="6" s="1"/>
  <c r="AM24" i="6"/>
  <c r="AL23" i="6"/>
  <c r="AO23" i="6" s="1"/>
  <c r="AG23" i="6"/>
  <c r="AR8" i="6"/>
  <c r="AU8" i="6" s="1"/>
  <c r="AM8" i="6"/>
  <c r="AG25" i="6"/>
  <c r="AL25" i="6"/>
  <c r="AO25" i="6" s="1"/>
  <c r="AM18" i="6"/>
  <c r="AR18" i="6"/>
  <c r="AU18" i="6" s="1"/>
  <c r="AG17" i="6"/>
  <c r="AL17" i="6"/>
  <c r="AO17" i="6" s="1"/>
  <c r="C215" i="3"/>
  <c r="E204" i="3"/>
  <c r="E215" i="3" s="1"/>
  <c r="B412" i="5"/>
  <c r="B414" i="5"/>
  <c r="B352" i="5"/>
  <c r="B354" i="5"/>
  <c r="C216" i="3"/>
  <c r="E205" i="3"/>
  <c r="E216" i="3" s="1"/>
  <c r="B471" i="5"/>
  <c r="B469" i="5"/>
  <c r="C214" i="3"/>
  <c r="E203" i="3"/>
  <c r="E214" i="3" s="1"/>
  <c r="G85" i="3"/>
  <c r="G81" i="3"/>
  <c r="G84" i="3"/>
  <c r="G82" i="3"/>
  <c r="G80" i="3"/>
  <c r="G83" i="3"/>
  <c r="Q131" i="5"/>
  <c r="K103" i="5"/>
  <c r="C217" i="3"/>
  <c r="E206" i="3"/>
  <c r="E217" i="3" s="1"/>
  <c r="D68" i="3"/>
  <c r="D85" i="3" s="1"/>
  <c r="D105" i="3" s="1"/>
  <c r="D120" i="3" s="1"/>
  <c r="D129" i="3" s="1"/>
  <c r="D138" i="3" s="1"/>
  <c r="C85" i="3"/>
  <c r="C105" i="3" s="1"/>
  <c r="C120" i="3" s="1"/>
  <c r="C129" i="3" s="1"/>
  <c r="C138" i="3" s="1"/>
  <c r="C190" i="3"/>
  <c r="C208" i="3" s="1"/>
  <c r="AL21" i="6" l="1"/>
  <c r="AO21" i="6" s="1"/>
  <c r="AF11" i="6"/>
  <c r="AI11" i="6" s="1"/>
  <c r="G191" i="3"/>
  <c r="D220" i="3"/>
  <c r="F220" i="3" s="1"/>
  <c r="G220" i="3" s="1"/>
  <c r="AG19" i="6"/>
  <c r="AL19" i="6"/>
  <c r="AO19" i="6" s="1"/>
  <c r="AF17" i="6"/>
  <c r="AI17" i="6" s="1"/>
  <c r="AA17" i="6"/>
  <c r="AL24" i="6"/>
  <c r="AO24" i="6" s="1"/>
  <c r="AG24" i="6"/>
  <c r="AF20" i="6"/>
  <c r="AI20" i="6" s="1"/>
  <c r="AA20" i="6"/>
  <c r="Z12" i="6"/>
  <c r="AC12" i="6" s="1"/>
  <c r="U12" i="6"/>
  <c r="Z11" i="6"/>
  <c r="AC11" i="6" s="1"/>
  <c r="U11" i="6"/>
  <c r="AF25" i="6"/>
  <c r="AI25" i="6" s="1"/>
  <c r="AA25" i="6"/>
  <c r="AF21" i="6"/>
  <c r="AI21" i="6" s="1"/>
  <c r="AA21" i="6"/>
  <c r="AT28" i="6"/>
  <c r="AT29" i="6" s="1"/>
  <c r="AT30" i="6" s="1"/>
  <c r="AA15" i="6"/>
  <c r="AF15" i="6"/>
  <c r="AI15" i="6" s="1"/>
  <c r="AG16" i="6"/>
  <c r="AL16" i="6"/>
  <c r="AO16" i="6" s="1"/>
  <c r="AF13" i="6"/>
  <c r="AI13" i="6" s="1"/>
  <c r="AA13" i="6"/>
  <c r="AL26" i="6"/>
  <c r="AO26" i="6" s="1"/>
  <c r="AG26" i="6"/>
  <c r="AL18" i="6"/>
  <c r="AO18" i="6" s="1"/>
  <c r="AG18" i="6"/>
  <c r="AF9" i="6"/>
  <c r="AI9" i="6" s="1"/>
  <c r="AA9" i="6"/>
  <c r="AL10" i="6"/>
  <c r="AO10" i="6" s="1"/>
  <c r="AG10" i="6"/>
  <c r="AL14" i="6"/>
  <c r="AO14" i="6" s="1"/>
  <c r="AG14" i="6"/>
  <c r="AL22" i="6"/>
  <c r="AO22" i="6" s="1"/>
  <c r="AG22" i="6"/>
  <c r="AG8" i="6"/>
  <c r="AL8" i="6"/>
  <c r="AO8" i="6" s="1"/>
  <c r="AF23" i="6"/>
  <c r="AI23" i="6" s="1"/>
  <c r="AA23" i="6"/>
  <c r="E137" i="3"/>
  <c r="H137" i="3" s="1"/>
  <c r="I137" i="3" s="1"/>
  <c r="D170" i="3" s="1"/>
  <c r="G170" i="3" s="1"/>
  <c r="D189" i="3" s="1"/>
  <c r="E189" i="3" s="1"/>
  <c r="H84" i="3"/>
  <c r="H81" i="3"/>
  <c r="E134" i="3"/>
  <c r="H134" i="3" s="1"/>
  <c r="I134" i="3" s="1"/>
  <c r="D167" i="3" s="1"/>
  <c r="G167" i="3" s="1"/>
  <c r="D186" i="3" s="1"/>
  <c r="E186" i="3" s="1"/>
  <c r="B417" i="5"/>
  <c r="B418" i="5" s="1"/>
  <c r="B415" i="5"/>
  <c r="B355" i="5"/>
  <c r="B357" i="5"/>
  <c r="B358" i="5" s="1"/>
  <c r="E136" i="3"/>
  <c r="H136" i="3" s="1"/>
  <c r="I136" i="3" s="1"/>
  <c r="D169" i="3" s="1"/>
  <c r="G169" i="3" s="1"/>
  <c r="D188" i="3" s="1"/>
  <c r="E188" i="3" s="1"/>
  <c r="H83" i="3"/>
  <c r="C219" i="3"/>
  <c r="E208" i="3"/>
  <c r="E219" i="3" s="1"/>
  <c r="H80" i="3"/>
  <c r="E133" i="3"/>
  <c r="H133" i="3" s="1"/>
  <c r="I133" i="3" s="1"/>
  <c r="D166" i="3" s="1"/>
  <c r="G166" i="3" s="1"/>
  <c r="D185" i="3" s="1"/>
  <c r="E185" i="3" s="1"/>
  <c r="B474" i="5"/>
  <c r="B475" i="5" s="1"/>
  <c r="B472" i="5"/>
  <c r="H85" i="3"/>
  <c r="E138" i="3"/>
  <c r="H138" i="3" s="1"/>
  <c r="I138" i="3" s="1"/>
  <c r="D171" i="3" s="1"/>
  <c r="G171" i="3" s="1"/>
  <c r="D190" i="3" s="1"/>
  <c r="E190" i="3" s="1"/>
  <c r="E135" i="3"/>
  <c r="H135" i="3" s="1"/>
  <c r="I135" i="3" s="1"/>
  <c r="D168" i="3" s="1"/>
  <c r="G168" i="3" s="1"/>
  <c r="D187" i="3" s="1"/>
  <c r="E187" i="3" s="1"/>
  <c r="H82" i="3"/>
  <c r="AF19" i="6" l="1"/>
  <c r="AI19" i="6" s="1"/>
  <c r="AA19" i="6"/>
  <c r="AN28" i="6"/>
  <c r="AN29" i="6" s="1"/>
  <c r="AN30" i="6" s="1"/>
  <c r="Z13" i="6"/>
  <c r="AC13" i="6" s="1"/>
  <c r="U13" i="6"/>
  <c r="Z25" i="6"/>
  <c r="AC25" i="6" s="1"/>
  <c r="U25" i="6"/>
  <c r="T11" i="6"/>
  <c r="W11" i="6" s="1"/>
  <c r="O11" i="6"/>
  <c r="AF14" i="6"/>
  <c r="AI14" i="6" s="1"/>
  <c r="AA14" i="6"/>
  <c r="U15" i="6"/>
  <c r="Z15" i="6"/>
  <c r="AC15" i="6" s="1"/>
  <c r="T12" i="6"/>
  <c r="W12" i="6" s="1"/>
  <c r="O12" i="6"/>
  <c r="Z21" i="6"/>
  <c r="AC21" i="6" s="1"/>
  <c r="U21" i="6"/>
  <c r="Z20" i="6"/>
  <c r="AC20" i="6" s="1"/>
  <c r="U20" i="6"/>
  <c r="Z9" i="6"/>
  <c r="AC9" i="6" s="1"/>
  <c r="U9" i="6"/>
  <c r="AA8" i="6"/>
  <c r="AF8" i="6"/>
  <c r="AI8" i="6" s="1"/>
  <c r="AA24" i="6"/>
  <c r="AF24" i="6"/>
  <c r="AI24" i="6" s="1"/>
  <c r="AF22" i="6"/>
  <c r="AI22" i="6" s="1"/>
  <c r="AA22" i="6"/>
  <c r="AF18" i="6"/>
  <c r="AI18" i="6" s="1"/>
  <c r="AA18" i="6"/>
  <c r="AA16" i="6"/>
  <c r="AF16" i="6"/>
  <c r="AI16" i="6" s="1"/>
  <c r="Z17" i="6"/>
  <c r="AC17" i="6" s="1"/>
  <c r="U17" i="6"/>
  <c r="U23" i="6"/>
  <c r="Z23" i="6"/>
  <c r="AC23" i="6" s="1"/>
  <c r="AF10" i="6"/>
  <c r="AI10" i="6" s="1"/>
  <c r="AA10" i="6"/>
  <c r="AF26" i="6"/>
  <c r="AI26" i="6" s="1"/>
  <c r="AA26" i="6"/>
  <c r="D215" i="3"/>
  <c r="F215" i="3" s="1"/>
  <c r="G215" i="3" s="1"/>
  <c r="G186" i="3"/>
  <c r="G185" i="3"/>
  <c r="D214" i="3"/>
  <c r="F214" i="3" s="1"/>
  <c r="G214" i="3" s="1"/>
  <c r="D216" i="3"/>
  <c r="F216" i="3" s="1"/>
  <c r="G216" i="3" s="1"/>
  <c r="G187" i="3"/>
  <c r="D219" i="3"/>
  <c r="F219" i="3" s="1"/>
  <c r="G219" i="3" s="1"/>
  <c r="G190" i="3"/>
  <c r="G188" i="3"/>
  <c r="D217" i="3"/>
  <c r="F217" i="3" s="1"/>
  <c r="G217" i="3" s="1"/>
  <c r="G189" i="3"/>
  <c r="D218" i="3"/>
  <c r="F218" i="3" s="1"/>
  <c r="G218" i="3" s="1"/>
  <c r="U19" i="6" l="1"/>
  <c r="Z19" i="6"/>
  <c r="AC19" i="6" s="1"/>
  <c r="Z8" i="6"/>
  <c r="AC8" i="6" s="1"/>
  <c r="U8" i="6"/>
  <c r="U18" i="6"/>
  <c r="Z18" i="6"/>
  <c r="AC18" i="6" s="1"/>
  <c r="O9" i="6"/>
  <c r="T9" i="6"/>
  <c r="W9" i="6" s="1"/>
  <c r="Z22" i="6"/>
  <c r="AC22" i="6" s="1"/>
  <c r="U22" i="6"/>
  <c r="T23" i="6"/>
  <c r="W23" i="6" s="1"/>
  <c r="O23" i="6"/>
  <c r="O17" i="6"/>
  <c r="T17" i="6"/>
  <c r="W17" i="6" s="1"/>
  <c r="Z24" i="6"/>
  <c r="AC24" i="6" s="1"/>
  <c r="U24" i="6"/>
  <c r="Z16" i="6"/>
  <c r="AC16" i="6" s="1"/>
  <c r="U16" i="6"/>
  <c r="U10" i="6"/>
  <c r="Z10" i="6"/>
  <c r="AC10" i="6" s="1"/>
  <c r="O25" i="6"/>
  <c r="T25" i="6"/>
  <c r="W25" i="6" s="1"/>
  <c r="T15" i="6"/>
  <c r="W15" i="6" s="1"/>
  <c r="O15" i="6"/>
  <c r="T20" i="6"/>
  <c r="W20" i="6" s="1"/>
  <c r="O20" i="6"/>
  <c r="O13" i="6"/>
  <c r="T13" i="6"/>
  <c r="W13" i="6" s="1"/>
  <c r="T21" i="6"/>
  <c r="W21" i="6" s="1"/>
  <c r="O21" i="6"/>
  <c r="U14" i="6"/>
  <c r="Z14" i="6"/>
  <c r="AC14" i="6" s="1"/>
  <c r="U26" i="6"/>
  <c r="Z26" i="6"/>
  <c r="AC26" i="6" s="1"/>
  <c r="AH28" i="6"/>
  <c r="AH29" i="6" s="1"/>
  <c r="AH30" i="6" s="1"/>
  <c r="I12" i="6"/>
  <c r="N12" i="6"/>
  <c r="Q12" i="6" s="1"/>
  <c r="N11" i="6"/>
  <c r="Q11" i="6" s="1"/>
  <c r="I11" i="6"/>
  <c r="H12" i="6" l="1"/>
  <c r="K12" i="6" s="1"/>
  <c r="C12" i="6"/>
  <c r="B12" i="6" s="1"/>
  <c r="E12" i="6" s="1"/>
  <c r="H11" i="6"/>
  <c r="K11" i="6" s="1"/>
  <c r="C11" i="6"/>
  <c r="B11" i="6" s="1"/>
  <c r="E11" i="6" s="1"/>
  <c r="T19" i="6"/>
  <c r="W19" i="6" s="1"/>
  <c r="O19" i="6"/>
  <c r="I21" i="6"/>
  <c r="N21" i="6"/>
  <c r="Q21" i="6" s="1"/>
  <c r="N25" i="6"/>
  <c r="Q25" i="6" s="1"/>
  <c r="I25" i="6"/>
  <c r="AB28" i="6"/>
  <c r="AB29" i="6" s="1"/>
  <c r="AB30" i="6" s="1"/>
  <c r="N15" i="6"/>
  <c r="Q15" i="6" s="1"/>
  <c r="I15" i="6"/>
  <c r="T24" i="6"/>
  <c r="W24" i="6" s="1"/>
  <c r="O24" i="6"/>
  <c r="O22" i="6"/>
  <c r="T22" i="6"/>
  <c r="W22" i="6" s="1"/>
  <c r="N17" i="6"/>
  <c r="Q17" i="6" s="1"/>
  <c r="I17" i="6"/>
  <c r="N9" i="6"/>
  <c r="Q9" i="6" s="1"/>
  <c r="I9" i="6"/>
  <c r="N23" i="6"/>
  <c r="Q23" i="6" s="1"/>
  <c r="I23" i="6"/>
  <c r="I13" i="6"/>
  <c r="N13" i="6"/>
  <c r="Q13" i="6" s="1"/>
  <c r="T10" i="6"/>
  <c r="W10" i="6" s="1"/>
  <c r="O10" i="6"/>
  <c r="T18" i="6"/>
  <c r="W18" i="6" s="1"/>
  <c r="O18" i="6"/>
  <c r="N20" i="6"/>
  <c r="Q20" i="6" s="1"/>
  <c r="I20" i="6"/>
  <c r="T16" i="6"/>
  <c r="W16" i="6" s="1"/>
  <c r="O16" i="6"/>
  <c r="T8" i="6"/>
  <c r="W8" i="6" s="1"/>
  <c r="O8" i="6"/>
  <c r="T26" i="6"/>
  <c r="W26" i="6" s="1"/>
  <c r="O26" i="6"/>
  <c r="O14" i="6"/>
  <c r="T14" i="6"/>
  <c r="W14" i="6" s="1"/>
  <c r="H23" i="6" l="1"/>
  <c r="K23" i="6" s="1"/>
  <c r="C23" i="6"/>
  <c r="B23" i="6" s="1"/>
  <c r="E23" i="6" s="1"/>
  <c r="H15" i="6"/>
  <c r="K15" i="6" s="1"/>
  <c r="C15" i="6"/>
  <c r="B15" i="6" s="1"/>
  <c r="E15" i="6" s="1"/>
  <c r="H17" i="6"/>
  <c r="K17" i="6" s="1"/>
  <c r="C17" i="6"/>
  <c r="B17" i="6" s="1"/>
  <c r="E17" i="6" s="1"/>
  <c r="H9" i="6"/>
  <c r="K9" i="6" s="1"/>
  <c r="C9" i="6"/>
  <c r="B9" i="6" s="1"/>
  <c r="E9" i="6" s="1"/>
  <c r="H13" i="6"/>
  <c r="K13" i="6" s="1"/>
  <c r="C13" i="6"/>
  <c r="B13" i="6" s="1"/>
  <c r="E13" i="6" s="1"/>
  <c r="H20" i="6"/>
  <c r="K20" i="6" s="1"/>
  <c r="C20" i="6"/>
  <c r="B20" i="6" s="1"/>
  <c r="E20" i="6" s="1"/>
  <c r="H21" i="6"/>
  <c r="K21" i="6" s="1"/>
  <c r="C21" i="6"/>
  <c r="B21" i="6" s="1"/>
  <c r="E21" i="6" s="1"/>
  <c r="H25" i="6"/>
  <c r="K25" i="6" s="1"/>
  <c r="C25" i="6"/>
  <c r="B25" i="6" s="1"/>
  <c r="E25" i="6" s="1"/>
  <c r="N19" i="6"/>
  <c r="Q19" i="6" s="1"/>
  <c r="I19" i="6"/>
  <c r="V28" i="6"/>
  <c r="V29" i="6" s="1"/>
  <c r="V30" i="6" s="1"/>
  <c r="I16" i="6"/>
  <c r="N16" i="6"/>
  <c r="Q16" i="6" s="1"/>
  <c r="N22" i="6"/>
  <c r="Q22" i="6" s="1"/>
  <c r="I22" i="6"/>
  <c r="N14" i="6"/>
  <c r="Q14" i="6" s="1"/>
  <c r="I14" i="6"/>
  <c r="I8" i="6"/>
  <c r="N8" i="6"/>
  <c r="Q8" i="6" s="1"/>
  <c r="I24" i="6"/>
  <c r="N24" i="6"/>
  <c r="Q24" i="6" s="1"/>
  <c r="N26" i="6"/>
  <c r="Q26" i="6" s="1"/>
  <c r="I26" i="6"/>
  <c r="N18" i="6"/>
  <c r="Q18" i="6" s="1"/>
  <c r="I18" i="6"/>
  <c r="N10" i="6"/>
  <c r="Q10" i="6" s="1"/>
  <c r="I10" i="6"/>
  <c r="H26" i="6" l="1"/>
  <c r="K26" i="6" s="1"/>
  <c r="C26" i="6"/>
  <c r="B26" i="6" s="1"/>
  <c r="E26" i="6" s="1"/>
  <c r="H24" i="6"/>
  <c r="K24" i="6" s="1"/>
  <c r="C24" i="6"/>
  <c r="B24" i="6" s="1"/>
  <c r="E24" i="6" s="1"/>
  <c r="H16" i="6"/>
  <c r="K16" i="6" s="1"/>
  <c r="C16" i="6"/>
  <c r="B16" i="6" s="1"/>
  <c r="E16" i="6" s="1"/>
  <c r="H8" i="6"/>
  <c r="K8" i="6" s="1"/>
  <c r="C8" i="6"/>
  <c r="B8" i="6" s="1"/>
  <c r="E8" i="6" s="1"/>
  <c r="H19" i="6"/>
  <c r="K19" i="6" s="1"/>
  <c r="C19" i="6"/>
  <c r="B19" i="6" s="1"/>
  <c r="E19" i="6" s="1"/>
  <c r="H22" i="6"/>
  <c r="K22" i="6" s="1"/>
  <c r="C22" i="6"/>
  <c r="B22" i="6" s="1"/>
  <c r="E22" i="6" s="1"/>
  <c r="H10" i="6"/>
  <c r="K10" i="6" s="1"/>
  <c r="C10" i="6"/>
  <c r="B10" i="6" s="1"/>
  <c r="E10" i="6" s="1"/>
  <c r="H18" i="6"/>
  <c r="K18" i="6" s="1"/>
  <c r="C18" i="6"/>
  <c r="B18" i="6" s="1"/>
  <c r="E18" i="6" s="1"/>
  <c r="H14" i="6"/>
  <c r="K14" i="6" s="1"/>
  <c r="C14" i="6"/>
  <c r="B14" i="6" s="1"/>
  <c r="E14" i="6" s="1"/>
  <c r="P28" i="6"/>
  <c r="P29" i="6" s="1"/>
  <c r="P30" i="6" s="1"/>
  <c r="J28" i="6" l="1"/>
  <c r="J29" i="6" s="1"/>
  <c r="J30" i="6" s="1"/>
  <c r="E190" i="11" s="1"/>
  <c r="H194" i="11" s="1"/>
  <c r="O11" i="11" s="1"/>
  <c r="D28" i="6"/>
  <c r="D29" i="6" s="1"/>
  <c r="D30" i="6" s="1"/>
  <c r="O11" i="12" l="1"/>
  <c r="G4" i="2" l="1"/>
  <c r="E7" i="15" l="1"/>
  <c r="H268" i="15" s="1"/>
  <c r="G3" i="14"/>
  <c r="G30" i="2"/>
  <c r="C289" i="5" s="1"/>
  <c r="C298" i="5" s="1"/>
  <c r="E7" i="11"/>
  <c r="E7" i="12"/>
  <c r="G4" i="8"/>
  <c r="G167" i="12" l="1"/>
  <c r="E60" i="12"/>
  <c r="E453" i="15" s="1"/>
  <c r="G170" i="12"/>
  <c r="G168" i="12"/>
  <c r="E99" i="12"/>
  <c r="G165" i="12"/>
  <c r="G198" i="12"/>
  <c r="H154" i="12"/>
  <c r="G166" i="12"/>
  <c r="G31" i="12"/>
  <c r="E56" i="12" s="1"/>
  <c r="G29" i="8"/>
  <c r="C171" i="14"/>
  <c r="C198" i="14" s="1"/>
  <c r="D213" i="14" s="1"/>
  <c r="D216" i="14" s="1"/>
  <c r="G29" i="14"/>
  <c r="D202" i="14"/>
  <c r="AO171" i="14"/>
  <c r="AO198" i="14" s="1"/>
  <c r="AP216" i="14" s="1"/>
  <c r="BH171" i="14"/>
  <c r="BH198" i="14" s="1"/>
  <c r="BI213" i="14" s="1"/>
  <c r="BI216" i="14" s="1"/>
  <c r="E450" i="15" l="1"/>
  <c r="E459" i="15" s="1"/>
  <c r="E462" i="15" s="1"/>
  <c r="E68" i="12"/>
  <c r="E72" i="12" s="1"/>
  <c r="AP244" i="14"/>
  <c r="AN264" i="14" s="1"/>
  <c r="AT264" i="14" s="1"/>
  <c r="AP236" i="14"/>
  <c r="AP240" i="14" s="1"/>
  <c r="BI236" i="14"/>
  <c r="BI240" i="14" s="1"/>
  <c r="BI244" i="14"/>
  <c r="BG264" i="14" s="1"/>
  <c r="BM264" i="14" s="1"/>
  <c r="D236" i="14"/>
  <c r="D240" i="14" s="1"/>
  <c r="H240" i="14" s="1"/>
  <c r="D244" i="14"/>
  <c r="B264" i="14" s="1"/>
  <c r="H264" i="14" s="1"/>
  <c r="G5" i="2" l="1"/>
  <c r="E8" i="15" l="1"/>
  <c r="E269" i="15" s="1"/>
  <c r="D71" i="2"/>
  <c r="D70" i="2"/>
  <c r="B57" i="2"/>
  <c r="D69" i="2"/>
  <c r="D214" i="2"/>
  <c r="E214" i="2" s="1"/>
  <c r="D215" i="2"/>
  <c r="E215" i="2" s="1"/>
  <c r="B132" i="2"/>
  <c r="D217" i="2"/>
  <c r="E217" i="2" s="1"/>
  <c r="D209" i="2"/>
  <c r="E209" i="2" s="1"/>
  <c r="E8" i="11"/>
  <c r="G4" i="14"/>
  <c r="D208" i="2"/>
  <c r="E208" i="2" s="1"/>
  <c r="D212" i="2"/>
  <c r="E212" i="2" s="1"/>
  <c r="D211" i="2"/>
  <c r="E211" i="2" s="1"/>
  <c r="D216" i="2"/>
  <c r="E216" i="2" s="1"/>
  <c r="B154" i="2"/>
  <c r="B173" i="2" s="1"/>
  <c r="B101" i="2"/>
  <c r="G5" i="8"/>
  <c r="D66" i="2"/>
  <c r="D72" i="2"/>
  <c r="D87" i="2"/>
  <c r="D213" i="2"/>
  <c r="E213" i="2" s="1"/>
  <c r="D88" i="2"/>
  <c r="D68" i="2"/>
  <c r="K14" i="2"/>
  <c r="G31" i="2"/>
  <c r="B255" i="2"/>
  <c r="D85" i="2"/>
  <c r="B222" i="2"/>
  <c r="D121" i="2"/>
  <c r="D82" i="2"/>
  <c r="D86" i="2"/>
  <c r="D84" i="2"/>
  <c r="D210" i="2"/>
  <c r="E210" i="2" s="1"/>
  <c r="E8" i="12"/>
  <c r="E9" i="12" s="1"/>
  <c r="D83" i="2"/>
  <c r="D67" i="2"/>
  <c r="B119" i="2"/>
  <c r="B122" i="2" s="1"/>
  <c r="B125" i="2" s="1"/>
  <c r="G23" i="2"/>
  <c r="D148" i="2" l="1"/>
  <c r="E148" i="2" s="1"/>
  <c r="D283" i="2"/>
  <c r="E283" i="2" s="1"/>
  <c r="G30" i="14"/>
  <c r="G22" i="14"/>
  <c r="E9" i="11"/>
  <c r="E23" i="11"/>
  <c r="E56" i="11" s="1"/>
  <c r="E62" i="11" s="1"/>
  <c r="E67" i="11" s="1"/>
  <c r="D282" i="2"/>
  <c r="E282" i="2" s="1"/>
  <c r="D147" i="2"/>
  <c r="E147" i="2" s="1"/>
  <c r="D279" i="2"/>
  <c r="E279" i="2" s="1"/>
  <c r="D144" i="2"/>
  <c r="E144" i="2" s="1"/>
  <c r="D277" i="2"/>
  <c r="E277" i="2" s="1"/>
  <c r="D142" i="2"/>
  <c r="E142" i="2" s="1"/>
  <c r="B251" i="8"/>
  <c r="D84" i="8"/>
  <c r="D85" i="8"/>
  <c r="B218" i="8"/>
  <c r="D69" i="8"/>
  <c r="B131" i="8"/>
  <c r="D66" i="8"/>
  <c r="D86" i="8"/>
  <c r="D208" i="8"/>
  <c r="E208" i="8" s="1"/>
  <c r="K14" i="8"/>
  <c r="G30" i="8"/>
  <c r="D68" i="8"/>
  <c r="D211" i="8"/>
  <c r="E211" i="8" s="1"/>
  <c r="B100" i="8"/>
  <c r="D209" i="8"/>
  <c r="E209" i="8" s="1"/>
  <c r="D87" i="8"/>
  <c r="B56" i="8"/>
  <c r="D70" i="8"/>
  <c r="D67" i="8"/>
  <c r="D83" i="8"/>
  <c r="D82" i="8"/>
  <c r="D212" i="8"/>
  <c r="E212" i="8" s="1"/>
  <c r="D81" i="8"/>
  <c r="D120" i="8"/>
  <c r="D71" i="8"/>
  <c r="D210" i="8"/>
  <c r="E210" i="8" s="1"/>
  <c r="D213" i="8"/>
  <c r="E213" i="8" s="1"/>
  <c r="B153" i="8"/>
  <c r="B172" i="8" s="1"/>
  <c r="D207" i="8"/>
  <c r="E207" i="8" s="1"/>
  <c r="D65" i="8"/>
  <c r="B118" i="8"/>
  <c r="B121" i="8" s="1"/>
  <c r="B124" i="8" s="1"/>
  <c r="G22" i="8"/>
  <c r="D146" i="2"/>
  <c r="E146" i="2" s="1"/>
  <c r="D281" i="2"/>
  <c r="E281" i="2" s="1"/>
  <c r="D264" i="2"/>
  <c r="D262" i="2"/>
  <c r="D266" i="2"/>
  <c r="D267" i="2"/>
  <c r="D265" i="2"/>
  <c r="D268" i="2"/>
  <c r="D263" i="2"/>
  <c r="D280" i="2"/>
  <c r="E280" i="2" s="1"/>
  <c r="D145" i="2"/>
  <c r="E145" i="2" s="1"/>
  <c r="E9" i="15"/>
  <c r="G24" i="2"/>
  <c r="G25" i="2" s="1"/>
  <c r="G28" i="2"/>
  <c r="D143" i="2"/>
  <c r="E143" i="2" s="1"/>
  <c r="D278" i="2"/>
  <c r="E278" i="2" s="1"/>
  <c r="E293" i="15"/>
  <c r="E393" i="15" s="1"/>
  <c r="F292" i="15"/>
  <c r="G27" i="8" l="1"/>
  <c r="M14" i="8" s="1"/>
  <c r="G23" i="8"/>
  <c r="G24" i="8" s="1"/>
  <c r="D273" i="8"/>
  <c r="E273" i="8" s="1"/>
  <c r="D141" i="8"/>
  <c r="E141" i="8" s="1"/>
  <c r="D258" i="8"/>
  <c r="D263" i="8"/>
  <c r="D264" i="8"/>
  <c r="D259" i="8"/>
  <c r="D260" i="8"/>
  <c r="D261" i="8"/>
  <c r="D262" i="8"/>
  <c r="D142" i="8"/>
  <c r="E142" i="8" s="1"/>
  <c r="D274" i="8"/>
  <c r="E274" i="8" s="1"/>
  <c r="D143" i="8"/>
  <c r="E143" i="8" s="1"/>
  <c r="D275" i="8"/>
  <c r="E275" i="8" s="1"/>
  <c r="D278" i="8"/>
  <c r="E278" i="8" s="1"/>
  <c r="D146" i="8"/>
  <c r="E146" i="8" s="1"/>
  <c r="D279" i="8"/>
  <c r="E279" i="8" s="1"/>
  <c r="D147" i="8"/>
  <c r="E147" i="8" s="1"/>
  <c r="G27" i="14"/>
  <c r="G23" i="14"/>
  <c r="G24" i="14" s="1"/>
  <c r="M14" i="2"/>
  <c r="G13" i="2"/>
  <c r="G29" i="2"/>
  <c r="D277" i="8"/>
  <c r="E277" i="8" s="1"/>
  <c r="D145" i="8"/>
  <c r="E145" i="8" s="1"/>
  <c r="D144" i="8"/>
  <c r="E144" i="8" s="1"/>
  <c r="D276" i="8"/>
  <c r="E276" i="8" s="1"/>
  <c r="E295" i="15"/>
  <c r="E394" i="15" s="1"/>
  <c r="E397" i="15" s="1"/>
  <c r="E395" i="15" l="1"/>
  <c r="E396" i="15" s="1"/>
  <c r="E398" i="15" s="1"/>
  <c r="E431" i="15" s="1"/>
  <c r="K29" i="2"/>
  <c r="M27" i="2" s="1"/>
  <c r="O10" i="15"/>
  <c r="E73" i="15" s="1"/>
  <c r="E78" i="15" s="1"/>
  <c r="O8" i="15"/>
  <c r="O8" i="12"/>
  <c r="O10" i="12" s="1"/>
  <c r="E75" i="12" s="1"/>
  <c r="O8" i="11"/>
  <c r="G194" i="2"/>
  <c r="D234" i="2" s="1"/>
  <c r="B198" i="2"/>
  <c r="B114" i="2"/>
  <c r="G12" i="14"/>
  <c r="G28" i="14"/>
  <c r="G28" i="8"/>
  <c r="K28" i="8" s="1"/>
  <c r="M26" i="8" s="1"/>
  <c r="G13" i="8"/>
  <c r="G193" i="8" l="1"/>
  <c r="D225" i="8" s="1"/>
  <c r="B113" i="8"/>
  <c r="B197" i="8"/>
  <c r="D296" i="2"/>
  <c r="E296" i="2" s="1"/>
  <c r="T125" i="13" a="1"/>
  <c r="T125" i="13" s="1"/>
  <c r="O10" i="11"/>
  <c r="D229" i="2"/>
  <c r="D291" i="2" s="1"/>
  <c r="E291" i="2" s="1"/>
  <c r="D110" i="12"/>
  <c r="E79" i="12"/>
  <c r="D232" i="2"/>
  <c r="D294" i="2" s="1"/>
  <c r="E294" i="2" s="1"/>
  <c r="D235" i="2"/>
  <c r="D297" i="2" s="1"/>
  <c r="E297" i="2" s="1"/>
  <c r="D231" i="2"/>
  <c r="D293" i="2" s="1"/>
  <c r="E293" i="2" s="1"/>
  <c r="D230" i="2"/>
  <c r="D292" i="2" s="1"/>
  <c r="E292" i="2" s="1"/>
  <c r="B6" i="5" s="1"/>
  <c r="C11" i="5" s="1"/>
  <c r="D233" i="2"/>
  <c r="D295" i="2" s="1"/>
  <c r="E295" i="2" s="1"/>
  <c r="D230" i="8" l="1"/>
  <c r="D292" i="8" s="1"/>
  <c r="E292" i="8" s="1"/>
  <c r="D226" i="8"/>
  <c r="D288" i="8" s="1"/>
  <c r="E288" i="8" s="1"/>
  <c r="D228" i="8"/>
  <c r="D290" i="8" s="1"/>
  <c r="E290" i="8" s="1"/>
  <c r="D227" i="8"/>
  <c r="D289" i="8" s="1"/>
  <c r="E289" i="8" s="1"/>
  <c r="C12" i="5"/>
  <c r="B68" i="5"/>
  <c r="C169" i="5"/>
  <c r="C170" i="5" s="1"/>
  <c r="C171" i="5" s="1"/>
  <c r="C200" i="5"/>
  <c r="C201" i="5" s="1"/>
  <c r="C202" i="5" s="1"/>
  <c r="AG128" i="5"/>
  <c r="AG129" i="5" s="1"/>
  <c r="AG130" i="5" s="1"/>
  <c r="C236" i="5"/>
  <c r="C237" i="5" s="1"/>
  <c r="C238" i="5" s="1"/>
  <c r="C135" i="5"/>
  <c r="C136" i="5" s="1"/>
  <c r="C137" i="5" s="1"/>
  <c r="D231" i="8"/>
  <c r="D293" i="8" s="1"/>
  <c r="E293" i="8" s="1"/>
  <c r="D229" i="8"/>
  <c r="D291" i="8" s="1"/>
  <c r="E291" i="8" s="1"/>
  <c r="E82" i="12"/>
  <c r="D209" i="12"/>
  <c r="D210" i="12" s="1"/>
  <c r="D287" i="8"/>
  <c r="E287" i="8" s="1"/>
  <c r="B69" i="5" l="1"/>
  <c r="B83" i="5" s="1"/>
  <c r="B94" i="5" s="1"/>
  <c r="B104" i="5" s="1"/>
  <c r="B82" i="5"/>
  <c r="B93" i="5" s="1"/>
  <c r="B103" i="5" s="1"/>
  <c r="E157" i="16"/>
  <c r="E158" i="16" s="1"/>
  <c r="E165" i="16" s="1"/>
  <c r="E24" i="16"/>
  <c r="E25" i="16" s="1"/>
  <c r="E32" i="16" s="1"/>
  <c r="E33" i="16" l="1"/>
  <c r="E34" i="16" s="1"/>
  <c r="E35" i="16" s="1"/>
  <c r="G105" i="16"/>
  <c r="G119" i="16" s="1"/>
  <c r="G135" i="16"/>
  <c r="G149" i="16" s="1"/>
  <c r="F82" i="16"/>
  <c r="E166" i="16"/>
  <c r="E167" i="16" s="1"/>
  <c r="E168" i="16" s="1"/>
  <c r="F215" i="16"/>
  <c r="H215" i="16" s="1"/>
  <c r="G238" i="16"/>
  <c r="G252" i="16" s="1"/>
  <c r="G254" i="16" s="1"/>
  <c r="G151" i="16" l="1"/>
  <c r="F125" i="16"/>
  <c r="H8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<sst xmlns="http://schemas.openxmlformats.org/spreadsheetml/2006/main" count="4937" uniqueCount="1395">
  <si>
    <t>Principle Dimension</t>
  </si>
  <si>
    <t>Type of Ship</t>
  </si>
  <si>
    <t>OIL TANKER</t>
  </si>
  <si>
    <t>LPP</t>
  </si>
  <si>
    <t>m</t>
  </si>
  <si>
    <t>LWL</t>
  </si>
  <si>
    <t>B</t>
  </si>
  <si>
    <t>H</t>
  </si>
  <si>
    <t>T</t>
  </si>
  <si>
    <r>
      <t xml:space="preserve"> Lpp(B+T)+ 0.85 Lpp(H-T)+0.85{(L</t>
    </r>
    <r>
      <rPr>
        <vertAlign val="subscript"/>
        <sz val="11"/>
        <color theme="1"/>
        <rFont val="Calibri"/>
        <family val="2"/>
        <scheme val="minor"/>
      </rPr>
      <t>1</t>
    </r>
    <r>
      <rPr>
        <sz val="11"/>
        <color theme="1"/>
        <rFont val="Calibri"/>
        <family val="2"/>
        <scheme val="minor"/>
      </rPr>
      <t>.h</t>
    </r>
    <r>
      <rPr>
        <vertAlign val="subscript"/>
        <sz val="11"/>
        <color theme="1"/>
        <rFont val="Calibri"/>
        <family val="2"/>
        <scheme val="minor"/>
      </rPr>
      <t>1</t>
    </r>
    <r>
      <rPr>
        <sz val="11"/>
        <color theme="1"/>
        <rFont val="Calibri"/>
        <family val="2"/>
        <scheme val="minor"/>
      </rPr>
      <t>)+0.75(L</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2</t>
    </r>
    <r>
      <rPr>
        <sz val="11"/>
        <color theme="1"/>
        <rFont val="Calibri"/>
        <family val="2"/>
        <scheme val="minor"/>
      </rPr>
      <t>)}</t>
    </r>
  </si>
  <si>
    <t>Vs</t>
  </si>
  <si>
    <t>knot</t>
  </si>
  <si>
    <t>Cb</t>
  </si>
  <si>
    <t>Cm</t>
  </si>
  <si>
    <t>Cp</t>
  </si>
  <si>
    <t>Volume Displacement</t>
  </si>
  <si>
    <r>
      <t>m</t>
    </r>
    <r>
      <rPr>
        <vertAlign val="superscript"/>
        <sz val="11"/>
        <color theme="1"/>
        <rFont val="Calibri"/>
        <family val="2"/>
        <scheme val="minor"/>
      </rPr>
      <t>3</t>
    </r>
  </si>
  <si>
    <t>Calculation of Ship Dimension</t>
  </si>
  <si>
    <t>Using Data From Design 1</t>
  </si>
  <si>
    <t>B/T =</t>
  </si>
  <si>
    <t>Am</t>
  </si>
  <si>
    <t>L Displacement</t>
  </si>
  <si>
    <t>ft</t>
  </si>
  <si>
    <t>Speed Length Ratio</t>
  </si>
  <si>
    <t>m²</t>
  </si>
  <si>
    <t>Displacement Weight</t>
  </si>
  <si>
    <t>ton</t>
  </si>
  <si>
    <t>lwt =</t>
  </si>
  <si>
    <t>Wetted Surface (S)</t>
  </si>
  <si>
    <t>Faktor Bentuk (K)</t>
  </si>
  <si>
    <t>LCB</t>
  </si>
  <si>
    <t>Assumptions</t>
  </si>
  <si>
    <t>Sea Water Temp (Standart Indonesian Sea Temperature)</t>
  </si>
  <si>
    <t>⁰C</t>
  </si>
  <si>
    <t>Viscosity Kinematics</t>
  </si>
  <si>
    <t>Density of sea water</t>
  </si>
  <si>
    <r>
      <t>ton/m</t>
    </r>
    <r>
      <rPr>
        <vertAlign val="superscript"/>
        <sz val="11"/>
        <color theme="1"/>
        <rFont val="Calibri"/>
        <family val="2"/>
        <scheme val="minor"/>
      </rPr>
      <t>3</t>
    </r>
  </si>
  <si>
    <t>Holtrop Limitation</t>
  </si>
  <si>
    <t xml:space="preserve">Fn &lt;= </t>
  </si>
  <si>
    <t>Cp =</t>
  </si>
  <si>
    <t>L/B =</t>
  </si>
  <si>
    <t>Froude Number</t>
  </si>
  <si>
    <t>Requirements for Holtrop calculations are Success</t>
  </si>
  <si>
    <t>Because There is no Froude Number that exceeds the value of 1</t>
  </si>
  <si>
    <t>Speed</t>
  </si>
  <si>
    <t>m/s</t>
  </si>
  <si>
    <t>Vs + 1</t>
  </si>
  <si>
    <t>Vs - 1</t>
  </si>
  <si>
    <t>Vs - 2</t>
  </si>
  <si>
    <t>Vs - 3</t>
  </si>
  <si>
    <t>Vs - 4</t>
  </si>
  <si>
    <t>Vs - 5</t>
  </si>
  <si>
    <t>Reynold Number</t>
  </si>
  <si>
    <t>Calculation of Reynold Number</t>
  </si>
  <si>
    <t>vk is Viscocity Kinematics = 0,000000893</t>
  </si>
  <si>
    <t>Reynolds Number</t>
  </si>
  <si>
    <t>1. Calculation Form Factor (1+k1)</t>
  </si>
  <si>
    <t>a. Calculation of Lr</t>
  </si>
  <si>
    <t xml:space="preserve">LR = </t>
  </si>
  <si>
    <t>b. Calculation of C14</t>
  </si>
  <si>
    <t>C Stern =</t>
  </si>
  <si>
    <t>C14 =</t>
  </si>
  <si>
    <t>1+0,011Cstern</t>
  </si>
  <si>
    <t>=</t>
  </si>
  <si>
    <t>c. Calculation of Form Factor</t>
  </si>
  <si>
    <t>1+k1 =</t>
  </si>
  <si>
    <t>2. Calculation of Wetted Surface Area</t>
  </si>
  <si>
    <t xml:space="preserve">Cbwl = </t>
  </si>
  <si>
    <t>(Lpp x Cb)/Lwl</t>
  </si>
  <si>
    <t>Cwp =</t>
  </si>
  <si>
    <t>0,248+0,778 Cbwl</t>
  </si>
  <si>
    <t>*ABT = 0 BecauseThis ship doesn’t have Bulbuos Bow</t>
  </si>
  <si>
    <t>S =</t>
  </si>
  <si>
    <t>3. Calculation of Additional Resistance (Rapp)</t>
  </si>
  <si>
    <t>a. Additional Resistance for WSA</t>
  </si>
  <si>
    <t xml:space="preserve">Sapp = </t>
  </si>
  <si>
    <r>
      <t>b. Calculation For 1+K</t>
    </r>
    <r>
      <rPr>
        <vertAlign val="subscript"/>
        <sz val="11"/>
        <color theme="1"/>
        <rFont val="Calibri"/>
        <family val="2"/>
        <scheme val="minor"/>
      </rPr>
      <t>2</t>
    </r>
  </si>
  <si>
    <t>1+K2 for rudder behind the stern =</t>
  </si>
  <si>
    <t>c. Additional Resistance Calculation</t>
  </si>
  <si>
    <t>V</t>
  </si>
  <si>
    <t>Cf</t>
  </si>
  <si>
    <t>Added Rapp</t>
  </si>
  <si>
    <t>4. Calculation of Wave Resistance</t>
  </si>
  <si>
    <t>a. Calculation of C7</t>
  </si>
  <si>
    <t>C7 =</t>
  </si>
  <si>
    <t>B/L</t>
  </si>
  <si>
    <t>b. Calculation of iE</t>
  </si>
  <si>
    <t xml:space="preserve">Sudut masuk </t>
  </si>
  <si>
    <t>iE =</t>
  </si>
  <si>
    <t>c. Calculation of C1</t>
  </si>
  <si>
    <t>C1 =</t>
  </si>
  <si>
    <t>d. Calculation of C3</t>
  </si>
  <si>
    <t>No bulbuos bow</t>
  </si>
  <si>
    <t>C3 =</t>
  </si>
  <si>
    <t>e. Calculation of C2</t>
  </si>
  <si>
    <t>C2 =</t>
  </si>
  <si>
    <t>f. Calculation of C5</t>
  </si>
  <si>
    <t>Because the ship isn't Transom, so AT = 0</t>
  </si>
  <si>
    <t>C5 =</t>
  </si>
  <si>
    <t>g. Calculation of C16</t>
  </si>
  <si>
    <t>C16 =</t>
  </si>
  <si>
    <t>h. Calculation of M1</t>
  </si>
  <si>
    <t>m1 =</t>
  </si>
  <si>
    <t>i. Calculation of C15</t>
  </si>
  <si>
    <t>C15 =</t>
  </si>
  <si>
    <t>*For ship that 𝐿^3/∇ less than 512, C15 = -1,69385</t>
  </si>
  <si>
    <t>j. Calculation of M2</t>
  </si>
  <si>
    <t>M2</t>
  </si>
  <si>
    <t>k. Calculation for λ</t>
  </si>
  <si>
    <t>λ =</t>
  </si>
  <si>
    <t>l. Calculation for Wave Resistance</t>
  </si>
  <si>
    <t>*d = -0,9</t>
  </si>
  <si>
    <t>Rw (kN)</t>
  </si>
  <si>
    <t>5. Calculation of Ship Bulbuos Bow Resistance</t>
  </si>
  <si>
    <t>This ship doesn’t have Bulbuos Bow so RB = 0</t>
  </si>
  <si>
    <t>6. Calculation of Ship Transom Resistance</t>
  </si>
  <si>
    <t>This ship stern is not Transom so RTR = 0</t>
  </si>
  <si>
    <t>7. Calculation of Ship Corelation Resistance</t>
  </si>
  <si>
    <t>a. Calculation of C4</t>
  </si>
  <si>
    <t>Tf/L =</t>
  </si>
  <si>
    <t>That means Tf/L &gt; 0,04</t>
  </si>
  <si>
    <t>so, C4 =</t>
  </si>
  <si>
    <t>b. Calculation of CA</t>
  </si>
  <si>
    <t>CA =</t>
  </si>
  <si>
    <t>c. Calculation of RA</t>
  </si>
  <si>
    <t>RA</t>
  </si>
  <si>
    <t>8. Calculation of Friction Coefficient (Cf) and Friction Resistance (Rf) ITTC 1957</t>
  </si>
  <si>
    <t>Rf</t>
  </si>
  <si>
    <t>9. Calculation of Total Resistance</t>
  </si>
  <si>
    <t>Total Resistance (kN)</t>
  </si>
  <si>
    <t>Rt</t>
  </si>
  <si>
    <t>Rtmargin</t>
  </si>
  <si>
    <t>V (knot)</t>
  </si>
  <si>
    <t>Rt (Guldhammer)</t>
  </si>
  <si>
    <t>Rt (Holtrop)</t>
  </si>
  <si>
    <t>Rt (Maxsurf)</t>
  </si>
  <si>
    <t>Data Kapal</t>
  </si>
  <si>
    <t>Data berdasarkan desain 1</t>
  </si>
  <si>
    <t>Nama Kapal</t>
  </si>
  <si>
    <t>MINYAK</t>
  </si>
  <si>
    <t>DWT</t>
  </si>
  <si>
    <t>Kecepatan (Vs)</t>
  </si>
  <si>
    <t>Endurance</t>
  </si>
  <si>
    <t>day</t>
  </si>
  <si>
    <t>Perhitungan</t>
  </si>
  <si>
    <t>LDISP</t>
  </si>
  <si>
    <t>CB (δ)</t>
  </si>
  <si>
    <t>CM (ẞ)</t>
  </si>
  <si>
    <t>CP (ϕ)</t>
  </si>
  <si>
    <t>SLR</t>
  </si>
  <si>
    <t>Vdisp (▽)</t>
  </si>
  <si>
    <t>m3</t>
  </si>
  <si>
    <t>Wdisp (▲)</t>
  </si>
  <si>
    <t>Perhitungan Koefisien Gesek</t>
  </si>
  <si>
    <t>1. Reynold Number</t>
  </si>
  <si>
    <t xml:space="preserve">viskositas (vk) = </t>
  </si>
  <si>
    <t>Data V</t>
  </si>
  <si>
    <t>Knot</t>
  </si>
  <si>
    <t>Rn</t>
  </si>
  <si>
    <t>Vs+1</t>
  </si>
  <si>
    <t>Vs-1</t>
  </si>
  <si>
    <t>Vs-2</t>
  </si>
  <si>
    <t>Vs-3</t>
  </si>
  <si>
    <t>Vs-4</t>
  </si>
  <si>
    <t>Vs-5</t>
  </si>
  <si>
    <t>2. Koefisien Tahanan Gesek</t>
  </si>
  <si>
    <t>ITTC 1957</t>
  </si>
  <si>
    <t>Harvald, Tahanan dan Propulsi Kapal, hal 118</t>
  </si>
  <si>
    <t>Perhitungan Koefisien Sisa</t>
  </si>
  <si>
    <t>1. Froude Number</t>
  </si>
  <si>
    <t>Fn</t>
  </si>
  <si>
    <r>
      <t>2. Calculate L / ▽</t>
    </r>
    <r>
      <rPr>
        <vertAlign val="superscript"/>
        <sz val="12"/>
        <color theme="1"/>
        <rFont val="Calibri"/>
        <family val="2"/>
        <scheme val="minor"/>
      </rPr>
      <t>1/3</t>
    </r>
  </si>
  <si>
    <t>3. Menentukan Cr dari Grafik  L / ▽1/3</t>
  </si>
  <si>
    <t>grafik 4.5 (10^3)</t>
  </si>
  <si>
    <t>grafik 5.0 (10^3)</t>
  </si>
  <si>
    <t>Cr1 10^3</t>
  </si>
  <si>
    <t>Cr1</t>
  </si>
  <si>
    <t>4. Koreksi Cr B/T</t>
  </si>
  <si>
    <t>Cr2 =</t>
  </si>
  <si>
    <t>5. Koreksi LCB</t>
  </si>
  <si>
    <t>LCB =</t>
  </si>
  <si>
    <t>%</t>
  </si>
  <si>
    <t>LCB/Lpp =</t>
  </si>
  <si>
    <t>LCB Standar</t>
  </si>
  <si>
    <t>∆LCB</t>
  </si>
  <si>
    <t xml:space="preserve">Mencari Nilai Koef </t>
  </si>
  <si>
    <t>dari grafik</t>
  </si>
  <si>
    <t>Nilai Cr3</t>
  </si>
  <si>
    <t>Cr3</t>
  </si>
  <si>
    <t>Nilai Cr</t>
  </si>
  <si>
    <t>10^3 Cr1</t>
  </si>
  <si>
    <t>Cr2</t>
  </si>
  <si>
    <t>10^3 Cr Real</t>
  </si>
  <si>
    <t>Cr Real</t>
  </si>
  <si>
    <t>6. Tahanan Tambahan</t>
  </si>
  <si>
    <t>.Harvard "tahanan dan propulsi kapal " hal.132</t>
  </si>
  <si>
    <t>L</t>
  </si>
  <si>
    <t>10^3 CA</t>
  </si>
  <si>
    <t>CA</t>
  </si>
  <si>
    <t>7. Tahanan Udara</t>
  </si>
  <si>
    <t>.Halvard "tahanan dan propulsi kapal " hal.132</t>
  </si>
  <si>
    <t>Caa =</t>
  </si>
  <si>
    <t>8. Tahanan Kemudi</t>
  </si>
  <si>
    <t xml:space="preserve"> (HAlVALD 5.5.26 hal 132)</t>
  </si>
  <si>
    <t>Cas =</t>
  </si>
  <si>
    <t>Resistance Total Calculation</t>
  </si>
  <si>
    <t>1. Koef Total</t>
  </si>
  <si>
    <t>Koef Total Air</t>
  </si>
  <si>
    <t>Ct air = Cf + Cr + CA + Cas</t>
  </si>
  <si>
    <t>Cr</t>
  </si>
  <si>
    <t>Cas</t>
  </si>
  <si>
    <t>Ct water</t>
  </si>
  <si>
    <t>2. Menghitung tahanan Air (water)</t>
  </si>
  <si>
    <t>Luas Permukaan Basah</t>
  </si>
  <si>
    <t>1.025 x Lwl x (( ẟ x B ) + ( 1.7 x T ))</t>
  </si>
  <si>
    <t>m2</t>
  </si>
  <si>
    <t>Tahanan Air</t>
  </si>
  <si>
    <t>V (Knot)</t>
  </si>
  <si>
    <t>V (m/s)</t>
  </si>
  <si>
    <t>Ct Air</t>
  </si>
  <si>
    <t>Rt Air (kN)</t>
  </si>
  <si>
    <t>Perhitungan Tahanan Udara</t>
  </si>
  <si>
    <t>0.5*B^2</t>
  </si>
  <si>
    <t>Tahanan Udara</t>
  </si>
  <si>
    <t>Ct udara</t>
  </si>
  <si>
    <t>Rt Udara (kN)</t>
  </si>
  <si>
    <t>Tahanan Total</t>
  </si>
  <si>
    <t>Rt Air</t>
  </si>
  <si>
    <t>Rt Udara</t>
  </si>
  <si>
    <t>Rtotal (kN)</t>
  </si>
  <si>
    <t>Rt + Margin</t>
  </si>
  <si>
    <t>Fn Lwl</t>
  </si>
  <si>
    <t>Fn Vol</t>
  </si>
  <si>
    <t>RT (kN)</t>
  </si>
  <si>
    <t>RT Margin (kN)</t>
  </si>
  <si>
    <t>Propulsion power required prediction</t>
  </si>
  <si>
    <t>HOLTROP</t>
  </si>
  <si>
    <t>MAXSURF</t>
  </si>
  <si>
    <t>1.  Effective Horse Power</t>
  </si>
  <si>
    <t>1 km =</t>
  </si>
  <si>
    <t>Nautical Mile</t>
  </si>
  <si>
    <t>The power that would have to use to tow the ship without propulsive system</t>
  </si>
  <si>
    <t>The power we would have to use to tow the ship without propulsive system</t>
  </si>
  <si>
    <t>1 m =</t>
  </si>
  <si>
    <t>feet</t>
  </si>
  <si>
    <t>Rt Vs =</t>
  </si>
  <si>
    <t>KN</t>
  </si>
  <si>
    <t>1 Knots =</t>
  </si>
  <si>
    <t>Vs =</t>
  </si>
  <si>
    <t>1 HP =</t>
  </si>
  <si>
    <t>kW</t>
  </si>
  <si>
    <t>1 kW =</t>
  </si>
  <si>
    <t>HP</t>
  </si>
  <si>
    <t xml:space="preserve"> 1 m3 =</t>
  </si>
  <si>
    <t>Liters</t>
  </si>
  <si>
    <t>US Gallons</t>
  </si>
  <si>
    <t>EHP =</t>
  </si>
  <si>
    <t>Rt Vs x Vs</t>
  </si>
  <si>
    <t>KW</t>
  </si>
  <si>
    <t>2. Delivery Horse Power</t>
  </si>
  <si>
    <t>Power that is absorbed by Propeller from shafting system or the power that is delivered from shafting system to the propeller to be changed into Thrust power.</t>
  </si>
  <si>
    <t>DHP =</t>
  </si>
  <si>
    <t>EHP/Pc</t>
  </si>
  <si>
    <t>Where, Pc is propulsive coefficient</t>
  </si>
  <si>
    <t>Pc = ηH x ηrr x ηo</t>
  </si>
  <si>
    <t>a. hull efficiency ( ηH )</t>
  </si>
  <si>
    <t xml:space="preserve"> ηH =</t>
  </si>
  <si>
    <t>(1-t)/(1-w)</t>
  </si>
  <si>
    <t>t =</t>
  </si>
  <si>
    <t>thrust deduction fraction</t>
  </si>
  <si>
    <t>w =</t>
  </si>
  <si>
    <t>wake fraction</t>
  </si>
  <si>
    <t xml:space="preserve">(1). </t>
  </si>
  <si>
    <t>Calculating Wake Friction (w)</t>
  </si>
  <si>
    <t>Wake friction atau arus ikut merupakan perbandingan antara kecepatan kapal dengan kecepatan air yang menuju ke propeller.  The value of wake fraction is based on the Taylor Experiment, these are the result:</t>
  </si>
  <si>
    <t>So, in order to find the value of w of a ship with Cb used, we must interpolate it:</t>
  </si>
  <si>
    <t>w</t>
  </si>
  <si>
    <t>x</t>
  </si>
  <si>
    <t>0.7759 - 0.75</t>
  </si>
  <si>
    <t>w - 0.314</t>
  </si>
  <si>
    <t>0.8-0,75</t>
  </si>
  <si>
    <t>0.354-0,314</t>
  </si>
  <si>
    <t>(Principal of Naval Architecture Vol. 2, Pg.158 )</t>
  </si>
  <si>
    <t>Cb =</t>
  </si>
  <si>
    <t xml:space="preserve">(2). </t>
  </si>
  <si>
    <t>Calclating Thrust Deduction Factor (t)</t>
  </si>
  <si>
    <t>Nilai t dapat dicari dari nilai w yang telah diketahui yaitu :</t>
  </si>
  <si>
    <t>for a ship with single rudder plate</t>
  </si>
  <si>
    <t>k.w</t>
  </si>
  <si>
    <t xml:space="preserve">Value k among 0.7 ~ 0.9 and taken  k = </t>
  </si>
  <si>
    <t xml:space="preserve">Value k between 0.7 ~ 0.9 and taken </t>
  </si>
  <si>
    <t>k =</t>
  </si>
  <si>
    <t>(Principal of Naval Architecture Vol. 2, Pg.159 )</t>
  </si>
  <si>
    <t>ηH =</t>
  </si>
  <si>
    <t>b. Efisiensi Relatif Rotatif (ηrr)</t>
  </si>
  <si>
    <t>Harga ηrr untuk kapal dengan propeller tipe single screw berkisar 1.0-1.1. (Principal of Naval Architecture Vol. 2, Pg. 152 ) pada perencanaan propeller dan tabung poros propeller ini diambil harga :</t>
  </si>
  <si>
    <t>ηrr =</t>
  </si>
  <si>
    <t>c. Efisiensi Propulsi (ηo)</t>
  </si>
  <si>
    <t>Adalah open water efficiency yaitu efficiency dari propeller pada saat dilakukan open water test. Nilainya antara 40-70%, dan diambil :</t>
  </si>
  <si>
    <t>ηo=</t>
  </si>
  <si>
    <t>d. Coeffisien Propulsif (Pc)</t>
  </si>
  <si>
    <t>Pc =</t>
  </si>
  <si>
    <t>ηH x ηrr x ηo</t>
  </si>
  <si>
    <t>e. Delivery Horse Power</t>
  </si>
  <si>
    <t>Maka daya pada tabung poros baling-baling dihitung dari perbandingan antara daya efektif dengan koefisien propulsif yaitu :</t>
  </si>
  <si>
    <t>3. Shaft Horse Power</t>
  </si>
  <si>
    <t>Shaft horse power is the power that is absorbed by shaft from main engine aft of the gearing and thrust block and delivered to propeller. and have relation to the Delivery Horse Power as:</t>
  </si>
  <si>
    <t>SHP =</t>
  </si>
  <si>
    <t>DHP/ηsηb</t>
  </si>
  <si>
    <t xml:space="preserve">where </t>
  </si>
  <si>
    <t>ηs =</t>
  </si>
  <si>
    <t>shaft efficiency</t>
  </si>
  <si>
    <t>ηb =</t>
  </si>
  <si>
    <t>bearing efficiency</t>
  </si>
  <si>
    <t>For the ship that have engine room located in aft, the shaft transmission losses will be 2%. Then, For the ship that have engine room located in amidship , the shaft transmission losses will be  3%.(“Principal of Naval Architecture Vol. 2, Pg.131”). In this design, the ship engine room located in the aft of the ship. so, the shaft transmission losses is 2%</t>
  </si>
  <si>
    <t>so, the shaft efficiency is,</t>
  </si>
  <si>
    <t>and the bearing is still not applied for now.</t>
  </si>
  <si>
    <t>3. calculating the required main Brake Horse Power</t>
  </si>
  <si>
    <t>a.BHP scr</t>
  </si>
  <si>
    <t>Brake Horse Power at Service cruise is the power that engine generate in service condition, and delivered to gearbox system (if used) and then deliverd to propulsion by transmission or shafting system.</t>
  </si>
  <si>
    <t>BHPscr =</t>
  </si>
  <si>
    <t>SHP / Gearbox efficiency</t>
  </si>
  <si>
    <t>This project is using gearbox predicted with loss 2%, so, ηG = 0,98</t>
  </si>
  <si>
    <t>b. BHP mcr TARGET</t>
  </si>
  <si>
    <t>b. BHP mcr</t>
  </si>
  <si>
    <t xml:space="preserve">Brake Horse Power at maximum continous rating is theMaximum power that engine can generate. the value is BHP Service plus  engine margin that is 15%-20% of Service BHP. If the BHP scr has been included Sea margin, engine margin is used  depend on the total margin target and depen on the engine that is choosen .
</t>
  </si>
  <si>
    <t>Brake Horse Power at maximum continous rating is theMaximum power that engine can generate. the value is BHP Service plus  engine margin that is 15%-20% of Service BHP. If the BHP scr has been included Sea margin, engine margin is used  depend on the total margin target and depen on the engine that is choosen .</t>
  </si>
  <si>
    <t>Engine margin commonly used</t>
  </si>
  <si>
    <t xml:space="preserve">%BHPscr </t>
  </si>
  <si>
    <t>BHP mcr =</t>
  </si>
  <si>
    <t>BHP scr / engine margin</t>
  </si>
  <si>
    <t>rps</t>
  </si>
  <si>
    <t>BHP mcr Maxsurf &gt; BHP mcr Holtrop</t>
  </si>
  <si>
    <t>Main Engine &amp; Gear Box</t>
  </si>
  <si>
    <t>Gear box</t>
  </si>
  <si>
    <t>General</t>
  </si>
  <si>
    <t>Type</t>
  </si>
  <si>
    <t>ZF W83100 NR - C Duty</t>
  </si>
  <si>
    <t>Maker</t>
  </si>
  <si>
    <t>MAN BW</t>
  </si>
  <si>
    <t>Reducing Ratio</t>
  </si>
  <si>
    <t>L32/44CR</t>
  </si>
  <si>
    <t>Max power/rpm</t>
  </si>
  <si>
    <t>kW/rpm</t>
  </si>
  <si>
    <t>Stroke</t>
  </si>
  <si>
    <t>Weight</t>
  </si>
  <si>
    <t>kg</t>
  </si>
  <si>
    <t>NO. Cylinder</t>
  </si>
  <si>
    <t>Max RPM</t>
  </si>
  <si>
    <t>rpm</t>
  </si>
  <si>
    <t>Length of Stroke</t>
  </si>
  <si>
    <t>mm</t>
  </si>
  <si>
    <t>Output RPM</t>
  </si>
  <si>
    <t>Bore</t>
  </si>
  <si>
    <t>Power</t>
  </si>
  <si>
    <t>RPM</t>
  </si>
  <si>
    <t>r/min</t>
  </si>
  <si>
    <t>MEP</t>
  </si>
  <si>
    <t>bar</t>
  </si>
  <si>
    <t>SFOC</t>
  </si>
  <si>
    <t>g/kWh</t>
  </si>
  <si>
    <t>Ton</t>
  </si>
  <si>
    <t>BHP</t>
  </si>
  <si>
    <t>Dimensi</t>
  </si>
  <si>
    <t>SHP</t>
  </si>
  <si>
    <t>Length</t>
  </si>
  <si>
    <t>DHP</t>
  </si>
  <si>
    <t>Width</t>
  </si>
  <si>
    <t>EHP</t>
  </si>
  <si>
    <t>Height</t>
  </si>
  <si>
    <t xml:space="preserve"> ∛(BHPscr x (RPMmesin^3)/DAYAmesin)</t>
  </si>
  <si>
    <t>PC</t>
  </si>
  <si>
    <t>no</t>
  </si>
  <si>
    <t>MAN B&amp;W</t>
  </si>
  <si>
    <t>NO NEED</t>
  </si>
  <si>
    <t>S30ME-B9</t>
  </si>
  <si>
    <t>No. Cylinder</t>
  </si>
  <si>
    <t>CAT</t>
  </si>
  <si>
    <t>M 32 C</t>
  </si>
  <si>
    <t>Wartsila</t>
  </si>
  <si>
    <t>7L32</t>
  </si>
  <si>
    <t>Dengan kesamaan T hull dan T prop maka kita hitung Kt</t>
  </si>
  <si>
    <t>Sea margin</t>
  </si>
  <si>
    <t>Ct</t>
  </si>
  <si>
    <t>-</t>
  </si>
  <si>
    <t xml:space="preserve">S </t>
  </si>
  <si>
    <t>M^2</t>
  </si>
  <si>
    <t>(1-t)</t>
  </si>
  <si>
    <t>(1-w)</t>
  </si>
  <si>
    <t>Va</t>
  </si>
  <si>
    <t>Kt load</t>
  </si>
  <si>
    <t>alpha</t>
  </si>
  <si>
    <t>J^4</t>
  </si>
  <si>
    <t>beta</t>
  </si>
  <si>
    <t>J^2</t>
  </si>
  <si>
    <t>PEMILIHAN MAIN ENGINE</t>
  </si>
  <si>
    <t>MAIN ENGINE 1</t>
  </si>
  <si>
    <t>Spesifikasi Utama</t>
  </si>
  <si>
    <t>Merk</t>
  </si>
  <si>
    <t>Tipe</t>
  </si>
  <si>
    <t>W 7L32</t>
  </si>
  <si>
    <t>Kondisi</t>
  </si>
  <si>
    <t>Daya</t>
  </si>
  <si>
    <t>Continuos</t>
  </si>
  <si>
    <t>Lubang Silinder</t>
  </si>
  <si>
    <t>JENIS</t>
  </si>
  <si>
    <t>Piston stroke</t>
  </si>
  <si>
    <t>MSDE</t>
  </si>
  <si>
    <t>Jumlah Silinder</t>
  </si>
  <si>
    <t>Berat</t>
  </si>
  <si>
    <t>Dimensi Engine 1</t>
  </si>
  <si>
    <t>Perhitungan Daya Engine dan Gearbox yang Dipilih</t>
  </si>
  <si>
    <r>
      <t>BHP</t>
    </r>
    <r>
      <rPr>
        <vertAlign val="subscript"/>
        <sz val="11"/>
        <rFont val="Calibri"/>
        <family val="2"/>
        <scheme val="minor"/>
      </rPr>
      <t>MCR</t>
    </r>
    <r>
      <rPr>
        <sz val="11"/>
        <rFont val="Calibri"/>
        <family val="2"/>
        <scheme val="minor"/>
      </rPr>
      <t xml:space="preserve"> =</t>
    </r>
  </si>
  <si>
    <t>Data Gear Box</t>
  </si>
  <si>
    <t>REINTJES</t>
  </si>
  <si>
    <t>ZF</t>
  </si>
  <si>
    <t>WAF5645</t>
  </si>
  <si>
    <r>
      <t>BHP</t>
    </r>
    <r>
      <rPr>
        <vertAlign val="subscript"/>
        <sz val="11"/>
        <rFont val="Calibri"/>
        <family val="2"/>
        <scheme val="minor"/>
      </rPr>
      <t>SCR</t>
    </r>
    <r>
      <rPr>
        <sz val="11"/>
        <rFont val="Calibri"/>
        <family val="2"/>
        <scheme val="minor"/>
      </rPr>
      <t xml:space="preserve"> =</t>
    </r>
  </si>
  <si>
    <r>
      <t>BHP</t>
    </r>
    <r>
      <rPr>
        <vertAlign val="subscript"/>
        <sz val="11"/>
        <rFont val="Calibri"/>
        <family val="2"/>
        <scheme val="minor"/>
      </rPr>
      <t>MCR</t>
    </r>
    <r>
      <rPr>
        <sz val="11"/>
        <rFont val="Calibri"/>
        <family val="2"/>
        <scheme val="minor"/>
      </rPr>
      <t xml:space="preserve"> x 0,85</t>
    </r>
  </si>
  <si>
    <t>W 83000 NC</t>
  </si>
  <si>
    <t>Daya Max</t>
  </si>
  <si>
    <t>Ratio</t>
  </si>
  <si>
    <t>ZF W83100 NC2</t>
  </si>
  <si>
    <t>Rpm max</t>
  </si>
  <si>
    <t>BHPscr / Effisiensi Gearbox</t>
  </si>
  <si>
    <t>Kg</t>
  </si>
  <si>
    <t>kG</t>
  </si>
  <si>
    <t>Rpm Out</t>
  </si>
  <si>
    <t>SHP x ηSηB</t>
  </si>
  <si>
    <t>RPM OUT</t>
  </si>
  <si>
    <t xml:space="preserve"> =</t>
  </si>
  <si>
    <t>DHP x Pc</t>
  </si>
  <si>
    <t>THP =</t>
  </si>
  <si>
    <t>EHP x ƞh</t>
  </si>
  <si>
    <t>ZF W63100 NR - C Duty</t>
  </si>
  <si>
    <t>MAIN ENGINE 2</t>
  </si>
  <si>
    <t>7L32/40</t>
  </si>
  <si>
    <t>Dimensi Engine 2</t>
  </si>
  <si>
    <t>W33100NC2</t>
  </si>
  <si>
    <t>MAIN ENGINE 4</t>
  </si>
  <si>
    <t>S26MC</t>
  </si>
  <si>
    <t>Dimensi Engine 4</t>
  </si>
  <si>
    <t>Draft</t>
  </si>
  <si>
    <t>WL 8</t>
  </si>
  <si>
    <t>WL 7</t>
  </si>
  <si>
    <t>WL 6</t>
  </si>
  <si>
    <t>WL 5</t>
  </si>
  <si>
    <t>WL 4</t>
  </si>
  <si>
    <t>WL 3</t>
  </si>
  <si>
    <t>WL 2</t>
  </si>
  <si>
    <t>WL 1</t>
  </si>
  <si>
    <t>WL 0.5</t>
  </si>
  <si>
    <t>Station</t>
  </si>
  <si>
    <t>Area</t>
  </si>
  <si>
    <t>Area/2</t>
  </si>
  <si>
    <t>Fs</t>
  </si>
  <si>
    <t>A x Fs</t>
  </si>
  <si>
    <t>AP</t>
  </si>
  <si>
    <t>FP</t>
  </si>
  <si>
    <t>∑ A x Fs</t>
  </si>
  <si>
    <t>V Displacement</t>
  </si>
  <si>
    <t>Displacement</t>
  </si>
  <si>
    <t>lpp</t>
  </si>
  <si>
    <t xml:space="preserve">h lpp </t>
  </si>
  <si>
    <r>
      <rPr>
        <sz val="11"/>
        <rFont val="Times New Roman"/>
        <family val="1"/>
      </rPr>
      <t>ρ</t>
    </r>
    <r>
      <rPr>
        <sz val="11"/>
        <rFont val="Calibri"/>
        <family val="2"/>
        <charset val="1"/>
      </rPr>
      <t xml:space="preserve"> air laut </t>
    </r>
  </si>
  <si>
    <t>PROPELLER TERPILIH</t>
  </si>
  <si>
    <t>DATA KAPAL</t>
  </si>
  <si>
    <r>
      <t>D</t>
    </r>
    <r>
      <rPr>
        <vertAlign val="subscript"/>
        <sz val="11"/>
        <color theme="7" tint="0.59999389629810485"/>
        <rFont val="Calibri"/>
        <family val="2"/>
        <scheme val="minor"/>
      </rPr>
      <t xml:space="preserve">b </t>
    </r>
    <r>
      <rPr>
        <sz val="11"/>
        <color theme="7" tint="0.59999389629810485"/>
        <rFont val="Calibri"/>
        <family val="2"/>
        <scheme val="minor"/>
      </rPr>
      <t>(m)</t>
    </r>
  </si>
  <si>
    <r>
      <t>P/D</t>
    </r>
    <r>
      <rPr>
        <vertAlign val="subscript"/>
        <sz val="11"/>
        <color theme="7" tint="0.59999389629810485"/>
        <rFont val="Calibri"/>
        <family val="2"/>
        <scheme val="minor"/>
      </rPr>
      <t>b</t>
    </r>
  </si>
  <si>
    <r>
      <t>η</t>
    </r>
    <r>
      <rPr>
        <vertAlign val="subscript"/>
        <sz val="11"/>
        <color theme="7" tint="0.59999389629810485"/>
        <rFont val="Calibri"/>
        <family val="2"/>
        <scheme val="minor"/>
      </rPr>
      <t>b</t>
    </r>
  </si>
  <si>
    <r>
      <t>n</t>
    </r>
    <r>
      <rPr>
        <vertAlign val="subscript"/>
        <sz val="11"/>
        <color theme="7" tint="0.59999389629810485"/>
        <rFont val="Calibri"/>
        <family val="2"/>
        <scheme val="minor"/>
      </rPr>
      <t xml:space="preserve">prop </t>
    </r>
    <r>
      <rPr>
        <sz val="11"/>
        <color theme="7" tint="0.59999389629810485"/>
        <rFont val="Calibri"/>
        <family val="2"/>
        <scheme val="minor"/>
      </rPr>
      <t>(RPS)</t>
    </r>
  </si>
  <si>
    <t>Tipe Kapal</t>
  </si>
  <si>
    <t>Db(m)</t>
  </si>
  <si>
    <r>
      <t>P/D</t>
    </r>
    <r>
      <rPr>
        <b/>
        <vertAlign val="subscript"/>
        <sz val="11"/>
        <color theme="7" tint="0.59999389629810485"/>
        <rFont val="Calibri"/>
        <family val="2"/>
        <scheme val="minor"/>
      </rPr>
      <t>b</t>
    </r>
  </si>
  <si>
    <t>ηb</t>
  </si>
  <si>
    <t>B4-70</t>
  </si>
  <si>
    <t xml:space="preserve">Panjang (Lpp)         </t>
  </si>
  <si>
    <t>meter</t>
  </si>
  <si>
    <t xml:space="preserve">Lebar (B)                  </t>
  </si>
  <si>
    <t>B5-75</t>
  </si>
  <si>
    <t>Perhitungan Beta (β)</t>
  </si>
  <si>
    <t xml:space="preserve">Sarat air (T)             </t>
  </si>
  <si>
    <t>B3-65</t>
  </si>
  <si>
    <t>β</t>
  </si>
  <si>
    <r>
      <t>(0,5*Ct*S) / {(1-t)*(1-w)</t>
    </r>
    <r>
      <rPr>
        <vertAlign val="superscript"/>
        <sz val="11"/>
        <color indexed="8"/>
        <rFont val="Calibri"/>
        <family val="2"/>
        <scheme val="minor"/>
      </rPr>
      <t xml:space="preserve">2 </t>
    </r>
    <r>
      <rPr>
        <sz val="11"/>
        <color indexed="8"/>
        <rFont val="Calibri"/>
        <family val="2"/>
        <scheme val="minor"/>
      </rPr>
      <t>D</t>
    </r>
    <r>
      <rPr>
        <vertAlign val="superscript"/>
        <sz val="11"/>
        <color indexed="8"/>
        <rFont val="Calibri"/>
        <family val="2"/>
        <scheme val="minor"/>
      </rPr>
      <t>2</t>
    </r>
    <r>
      <rPr>
        <sz val="11"/>
        <color indexed="8"/>
        <rFont val="Calibri"/>
        <family val="2"/>
        <scheme val="minor"/>
      </rPr>
      <t>}</t>
    </r>
  </si>
  <si>
    <t xml:space="preserve">Kec. Dinas (Vs)     </t>
  </si>
  <si>
    <t>B4-85</t>
  </si>
  <si>
    <t>t   =</t>
  </si>
  <si>
    <t>B4-100</t>
  </si>
  <si>
    <t>Vs (knot)</t>
  </si>
  <si>
    <t>Vs (m/s)</t>
  </si>
  <si>
    <t>Rt trial (kN)</t>
  </si>
  <si>
    <t>R t sm (kN)</t>
  </si>
  <si>
    <t>Ct trial</t>
  </si>
  <si>
    <t>Ctsm</t>
  </si>
  <si>
    <t>βtrial</t>
  </si>
  <si>
    <t>βservice</t>
  </si>
  <si>
    <t>w  =</t>
  </si>
  <si>
    <t>B5-90</t>
  </si>
  <si>
    <t>S   =</t>
  </si>
  <si>
    <r>
      <t>m</t>
    </r>
    <r>
      <rPr>
        <vertAlign val="superscript"/>
        <sz val="11"/>
        <color theme="1"/>
        <rFont val="Calibri"/>
        <family val="2"/>
        <scheme val="minor"/>
      </rPr>
      <t>2</t>
    </r>
  </si>
  <si>
    <t>B5-105</t>
  </si>
  <si>
    <t>B6-80</t>
  </si>
  <si>
    <t>B6-95</t>
  </si>
  <si>
    <t>Menghitung KT (Koefisien Thrust) Trial</t>
  </si>
  <si>
    <t>J =</t>
  </si>
  <si>
    <t>Va/n*Db</t>
  </si>
  <si>
    <r>
      <t>K</t>
    </r>
    <r>
      <rPr>
        <vertAlign val="subscript"/>
        <sz val="11"/>
        <color theme="1"/>
        <rFont val="Calibri"/>
        <family val="2"/>
        <scheme val="minor"/>
      </rPr>
      <t>T</t>
    </r>
    <r>
      <rPr>
        <sz val="11"/>
        <color theme="1"/>
        <rFont val="Calibri"/>
        <family val="2"/>
        <scheme val="minor"/>
      </rPr>
      <t xml:space="preserve"> =</t>
    </r>
  </si>
  <si>
    <r>
      <t>β x J</t>
    </r>
    <r>
      <rPr>
        <vertAlign val="superscript"/>
        <sz val="11"/>
        <color indexed="8"/>
        <rFont val="Calibri"/>
        <family val="2"/>
        <scheme val="minor"/>
      </rPr>
      <t>2</t>
    </r>
  </si>
  <si>
    <t>Trial</t>
  </si>
  <si>
    <t>J</t>
  </si>
  <si>
    <r>
      <t>K</t>
    </r>
    <r>
      <rPr>
        <sz val="7"/>
        <color theme="1"/>
        <rFont val="Calibri"/>
        <family val="2"/>
        <scheme val="minor"/>
      </rPr>
      <t>T</t>
    </r>
    <r>
      <rPr>
        <sz val="11"/>
        <color theme="1"/>
        <rFont val="Calibri"/>
        <family val="2"/>
        <scheme val="minor"/>
      </rPr>
      <t xml:space="preserve"> pada Vs</t>
    </r>
  </si>
  <si>
    <t>Menghitung KT (Koefisien Thrust) Rough Hull</t>
  </si>
  <si>
    <t>Va/nD</t>
  </si>
  <si>
    <t>Rough Hull (20% Sea Margin)</t>
  </si>
  <si>
    <r>
      <t>K</t>
    </r>
    <r>
      <rPr>
        <sz val="7"/>
        <color theme="1"/>
        <rFont val="Calibri"/>
        <family val="2"/>
        <scheme val="minor"/>
      </rPr>
      <t>T</t>
    </r>
    <r>
      <rPr>
        <sz val="11"/>
        <color theme="1"/>
        <rFont val="Calibri"/>
        <family val="2"/>
        <scheme val="minor"/>
      </rPr>
      <t xml:space="preserve"> pada Kecepatan</t>
    </r>
  </si>
  <si>
    <t>Va (knot)</t>
  </si>
  <si>
    <t>Va (m/s)</t>
  </si>
  <si>
    <t>Membuat Diagram KT KQ J</t>
  </si>
  <si>
    <t>Berdasarkan grafik KT KQ J Propeller B4-70, didapatkan data-data sebagai berikut guna mengambarkan diagram KT KQ J dengan nilai P/D = 0.7454</t>
  </si>
  <si>
    <r>
      <t>K</t>
    </r>
    <r>
      <rPr>
        <vertAlign val="subscript"/>
        <sz val="11"/>
        <color theme="7" tint="0.59999389629810485"/>
        <rFont val="Calibri"/>
        <family val="2"/>
        <scheme val="minor"/>
      </rPr>
      <t>T</t>
    </r>
  </si>
  <si>
    <r>
      <t>10K</t>
    </r>
    <r>
      <rPr>
        <vertAlign val="subscript"/>
        <sz val="11"/>
        <color theme="7" tint="0.59999389629810485"/>
        <rFont val="Calibri"/>
        <family val="2"/>
        <scheme val="minor"/>
      </rPr>
      <t>Q</t>
    </r>
  </si>
  <si>
    <t>ηo</t>
  </si>
  <si>
    <t>KT</t>
  </si>
  <si>
    <t>10KQ</t>
  </si>
  <si>
    <t>Eff</t>
  </si>
  <si>
    <t>Clean Hull</t>
  </si>
  <si>
    <t>Rough Hull</t>
  </si>
  <si>
    <t>Kondisi Trial (Clean Hull)</t>
  </si>
  <si>
    <t>KQ</t>
  </si>
  <si>
    <t>η</t>
  </si>
  <si>
    <t>Np (rpm)</t>
  </si>
  <si>
    <t>Va/J*D</t>
  </si>
  <si>
    <t>Np (rps)</t>
  </si>
  <si>
    <t>Q (kNm)</t>
  </si>
  <si>
    <r>
      <t>BHP</t>
    </r>
    <r>
      <rPr>
        <vertAlign val="subscript"/>
        <sz val="10"/>
        <color theme="7" tint="0.59999389629810485"/>
        <rFont val="Calibri"/>
        <family val="2"/>
        <charset val="1"/>
        <scheme val="minor"/>
      </rPr>
      <t xml:space="preserve">SCR </t>
    </r>
    <r>
      <rPr>
        <sz val="10"/>
        <color theme="7" tint="0.59999389629810485"/>
        <rFont val="Calibri"/>
        <family val="2"/>
        <charset val="1"/>
        <scheme val="minor"/>
      </rPr>
      <t>(kW)</t>
    </r>
  </si>
  <si>
    <r>
      <t>BHP</t>
    </r>
    <r>
      <rPr>
        <vertAlign val="subscript"/>
        <sz val="10"/>
        <color theme="7" tint="0.59999389629810485"/>
        <rFont val="Calibri"/>
        <family val="2"/>
        <charset val="1"/>
        <scheme val="minor"/>
      </rPr>
      <t xml:space="preserve"> </t>
    </r>
    <r>
      <rPr>
        <sz val="10"/>
        <color theme="7" tint="0.59999389629810485"/>
        <rFont val="Calibri"/>
        <family val="2"/>
        <charset val="1"/>
        <scheme val="minor"/>
      </rPr>
      <t>(kW)</t>
    </r>
  </si>
  <si>
    <t>% BHP</t>
  </si>
  <si>
    <t>% RPM</t>
  </si>
  <si>
    <r>
      <t>KQ.</t>
    </r>
    <r>
      <rPr>
        <sz val="10"/>
        <color theme="7" tint="0.59999389629810485"/>
        <rFont val="Calibri"/>
        <family val="2"/>
        <charset val="1"/>
      </rPr>
      <t>ρ.n</t>
    </r>
    <r>
      <rPr>
        <vertAlign val="superscript"/>
        <sz val="10"/>
        <color theme="7" tint="0.59999389629810485"/>
        <rFont val="Calibri"/>
        <family val="2"/>
        <charset val="1"/>
      </rPr>
      <t>2</t>
    </r>
    <r>
      <rPr>
        <sz val="10"/>
        <color theme="7" tint="0.59999389629810485"/>
        <rFont val="Calibri"/>
        <family val="2"/>
        <charset val="1"/>
      </rPr>
      <t>.D</t>
    </r>
    <r>
      <rPr>
        <vertAlign val="superscript"/>
        <sz val="10"/>
        <color theme="7" tint="0.59999389629810485"/>
        <rFont val="Calibri"/>
        <family val="2"/>
        <charset val="1"/>
      </rPr>
      <t>5</t>
    </r>
  </si>
  <si>
    <r>
      <t>2</t>
    </r>
    <r>
      <rPr>
        <sz val="10"/>
        <color theme="7" tint="0.59999389629810485"/>
        <rFont val="Calibri"/>
        <family val="2"/>
        <charset val="1"/>
      </rPr>
      <t>π.Q.n</t>
    </r>
  </si>
  <si>
    <r>
      <t>DHP/</t>
    </r>
    <r>
      <rPr>
        <sz val="10"/>
        <color theme="7" tint="0.59999389629810485"/>
        <rFont val="Arial"/>
        <family val="2"/>
      </rPr>
      <t>ɳ</t>
    </r>
    <r>
      <rPr>
        <vertAlign val="subscript"/>
        <sz val="10"/>
        <color theme="7" tint="0.59999389629810485"/>
        <rFont val="Calibri"/>
        <family val="2"/>
        <charset val="1"/>
      </rPr>
      <t>s</t>
    </r>
    <r>
      <rPr>
        <sz val="10"/>
        <color theme="7" tint="0.59999389629810485"/>
        <rFont val="Calibri"/>
        <family val="2"/>
      </rPr>
      <t>ɳ</t>
    </r>
    <r>
      <rPr>
        <vertAlign val="subscript"/>
        <sz val="10"/>
        <color theme="7" tint="0.59999389629810485"/>
        <rFont val="Calibri"/>
        <family val="2"/>
        <charset val="1"/>
      </rPr>
      <t>b</t>
    </r>
  </si>
  <si>
    <r>
      <t>SHP/ɳ</t>
    </r>
    <r>
      <rPr>
        <vertAlign val="subscript"/>
        <sz val="10"/>
        <color theme="7" tint="0.59999389629810485"/>
        <rFont val="Calibri"/>
        <family val="2"/>
        <scheme val="minor"/>
      </rPr>
      <t>G</t>
    </r>
  </si>
  <si>
    <t>BHP/cyl</t>
  </si>
  <si>
    <t>Kondisi Service (Rough Hull)</t>
  </si>
  <si>
    <t>4. Engine Propeller Matching</t>
  </si>
  <si>
    <t>ENGINE SPECIFICATION</t>
  </si>
  <si>
    <t>n</t>
  </si>
  <si>
    <t>Rough</t>
  </si>
  <si>
    <t>Clean</t>
  </si>
  <si>
    <t>Engine (Overload)</t>
  </si>
  <si>
    <t>CSR (85%)</t>
  </si>
  <si>
    <t>RPM %</t>
  </si>
  <si>
    <t>BHP %</t>
  </si>
  <si>
    <t>HOLTROP EQUATION:</t>
  </si>
  <si>
    <t>Detail of Calculation on Ship Resistance</t>
  </si>
  <si>
    <t>MAXSURF RT</t>
  </si>
  <si>
    <t>k = 0.7</t>
  </si>
  <si>
    <t>Nilainya antara 40-70%, dan diambil :</t>
  </si>
  <si>
    <t>Detail of Calculation on Engine Seletion</t>
  </si>
  <si>
    <t>Detail of Main Engine Seletion</t>
  </si>
  <si>
    <t>Various types of engines were considered one by one until the matching engine was found based on the calculation of power in the previous section and the support system requirement. After finishing multiple consideration of engine and the support system, the selected engine for the ship is Wartsila 7 L32 edition 32. The engine dimension and weight is shown on figure 1 below, also the graph of Engine Propeller Matching is shown on figure 2 below.</t>
  </si>
  <si>
    <t>Figure 1. Main engine Drawing</t>
  </si>
  <si>
    <t>Figure 2. EPM Graph</t>
  </si>
  <si>
    <t>Main Deck</t>
  </si>
  <si>
    <t>Calculation of Gross Tonnage, Amount of Crew, Fresh Water, Fuel Oil and Lubricants</t>
  </si>
  <si>
    <t>SHIP DATA</t>
  </si>
  <si>
    <t>Type : Oil Tanker</t>
  </si>
  <si>
    <t xml:space="preserve">LPP </t>
  </si>
  <si>
    <t xml:space="preserve">Main Engine Power </t>
  </si>
  <si>
    <t>Volume Disp</t>
  </si>
  <si>
    <r>
      <t>m</t>
    </r>
    <r>
      <rPr>
        <vertAlign val="superscript"/>
        <sz val="11"/>
        <rFont val="Calibri"/>
        <family val="2"/>
        <scheme val="minor"/>
      </rPr>
      <t>3</t>
    </r>
  </si>
  <si>
    <t>Ldisp</t>
  </si>
  <si>
    <t>days</t>
  </si>
  <si>
    <t xml:space="preserve">Weight Tonnage </t>
  </si>
  <si>
    <t>A. Calculation of Gross Tonnage</t>
  </si>
  <si>
    <t>1. Calculation of the Volume Displacement below WL</t>
  </si>
  <si>
    <t xml:space="preserve"> = </t>
  </si>
  <si>
    <t>2. Calculation volume displacement from LWL until main deck</t>
  </si>
  <si>
    <t>wl</t>
  </si>
  <si>
    <t>Total</t>
  </si>
  <si>
    <t>Volume</t>
  </si>
  <si>
    <t>h x Total</t>
  </si>
  <si>
    <t>3. Calculation volume of the poop deck</t>
  </si>
  <si>
    <t xml:space="preserve">   =</t>
  </si>
  <si>
    <t>4. Calculation volume of the forecastle deck</t>
  </si>
  <si>
    <t>5. Calculation volume of superstructure</t>
  </si>
  <si>
    <t>t</t>
  </si>
  <si>
    <t>volume</t>
  </si>
  <si>
    <t>bridge</t>
  </si>
  <si>
    <t>boat</t>
  </si>
  <si>
    <t>navigation</t>
  </si>
  <si>
    <t>Total Volume =</t>
  </si>
  <si>
    <t>7. Calculation of the gross tonnage</t>
  </si>
  <si>
    <t>Based on International convention of tonnage measurement of ships, annex 1 reg 3,  the formula to find GT is mentioned below:</t>
  </si>
  <si>
    <t>K1</t>
  </si>
  <si>
    <t>0.2 + 0.02 log10 V</t>
  </si>
  <si>
    <t>As it mentioned before, that the volume, included in GT calculation are volume of displacement, volume of freeboard and superstructure volume</t>
  </si>
  <si>
    <t>GT</t>
  </si>
  <si>
    <t>K1 x V</t>
  </si>
  <si>
    <t>According to KM 70 tahun 1998, the amount of crew is stated below, with 1 crew extra added as the third engineer.</t>
  </si>
  <si>
    <t>Deck and Service Deptartment</t>
  </si>
  <si>
    <t>Engine Department</t>
  </si>
  <si>
    <t>No</t>
  </si>
  <si>
    <t>CREW</t>
  </si>
  <si>
    <t>Amount</t>
  </si>
  <si>
    <t>Chief Engineer</t>
  </si>
  <si>
    <t>Master</t>
  </si>
  <si>
    <t>2nd Engineer</t>
  </si>
  <si>
    <t>Chief Officer</t>
  </si>
  <si>
    <t>3rd Engineer</t>
  </si>
  <si>
    <t>2nd Officer</t>
  </si>
  <si>
    <t>4 Engineer</t>
  </si>
  <si>
    <t>3rd Officer</t>
  </si>
  <si>
    <t>Eng. Foreman</t>
  </si>
  <si>
    <t>Radio Officer</t>
  </si>
  <si>
    <t>Oiler</t>
  </si>
  <si>
    <t>Boatswain</t>
  </si>
  <si>
    <t>Wiper</t>
  </si>
  <si>
    <t>Quarter Master</t>
  </si>
  <si>
    <t>SUM</t>
  </si>
  <si>
    <t>Sailor</t>
  </si>
  <si>
    <t>Cook</t>
  </si>
  <si>
    <t>Mess Boy</t>
  </si>
  <si>
    <t>Main Data Required to Calculate the Consumption Mass</t>
  </si>
  <si>
    <t>Product=</t>
  </si>
  <si>
    <t>Crude Oil</t>
  </si>
  <si>
    <t>Route=</t>
  </si>
  <si>
    <t>S=</t>
  </si>
  <si>
    <t>Vs=</t>
  </si>
  <si>
    <t>t=</t>
  </si>
  <si>
    <t>hours</t>
  </si>
  <si>
    <t>C=</t>
  </si>
  <si>
    <t>Options Correction (1,3-1,5)</t>
  </si>
  <si>
    <t>Crew =</t>
  </si>
  <si>
    <t>persons</t>
  </si>
  <si>
    <t>B. Calculation of Consumable Mass</t>
  </si>
  <si>
    <t>1. Main Engine Fuel Oil Tank</t>
  </si>
  <si>
    <t xml:space="preserve">Weight of MDO for engine is depended on endurance of the ship. The value </t>
  </si>
  <si>
    <t>of SFOC is known from the project guide of the ship. And the density of the ship</t>
  </si>
  <si>
    <t xml:space="preserve"> is also known from the project guide of the engine. The calculation is :</t>
  </si>
  <si>
    <t xml:space="preserve"> </t>
  </si>
  <si>
    <t>VMDO</t>
  </si>
  <si>
    <t>WMDO/</t>
  </si>
  <si>
    <t xml:space="preserve">There will be an additional tank volume about 2% because </t>
  </si>
  <si>
    <t xml:space="preserve">of the double bottom and other 2% because of the heat expansion. So, the </t>
  </si>
  <si>
    <t>MDO tank capacity value :</t>
  </si>
  <si>
    <t>VMDO'</t>
  </si>
  <si>
    <t>VMDO + 2% VMDO</t>
  </si>
  <si>
    <t>VMDO’'</t>
  </si>
  <si>
    <t>VMDO’ + 2% VMDO’</t>
  </si>
  <si>
    <t>2. Marine Diesel Oil Tank (For Auxilliary Engine)</t>
  </si>
  <si>
    <t>0.2 x Wfo</t>
  </si>
  <si>
    <t>Auxilliary Engine Fuel Tank Addition :</t>
  </si>
  <si>
    <t>Vtank (Wfb) = 104 % . V MDO</t>
  </si>
  <si>
    <t xml:space="preserve">     = </t>
  </si>
  <si>
    <t>3. Lubricating Oil in Main Engine Requirement</t>
  </si>
  <si>
    <t>WLO</t>
  </si>
  <si>
    <t>BHP x b L0 x t x 10-6 x C   [ton]</t>
  </si>
  <si>
    <t>VLO</t>
  </si>
  <si>
    <t>WLO/p</t>
  </si>
  <si>
    <t>There will be an additional tank volume about 4% because of the construction</t>
  </si>
  <si>
    <t>So, the Lubrication Oil tank capacity value :</t>
  </si>
  <si>
    <t>4. Fresh Water Requirement (for sanitary, cleaning, washing and etc)</t>
  </si>
  <si>
    <t>Vfw</t>
  </si>
  <si>
    <t>(150 x Number of crew x endurance)/24</t>
  </si>
  <si>
    <t>Wfw</t>
  </si>
  <si>
    <t xml:space="preserve">5. Drinking Water Requirement (for cooking and drinking) </t>
  </si>
  <si>
    <t>(7 x Number of crew x endurance)/24</t>
  </si>
  <si>
    <t>3 L/ day</t>
  </si>
  <si>
    <t>5. Weight of Crew's Provisions</t>
  </si>
  <si>
    <t>crew</t>
  </si>
  <si>
    <t>luggage</t>
  </si>
  <si>
    <t>25 kg/crew</t>
  </si>
  <si>
    <t>Wcp  =</t>
  </si>
  <si>
    <t>(crew + luggage ) x total crew</t>
  </si>
  <si>
    <t xml:space="preserve">  =</t>
  </si>
  <si>
    <t>6. Weight of Crew's Food</t>
  </si>
  <si>
    <t>Wp</t>
  </si>
  <si>
    <t>(5 x Total crew x endurance) / 24</t>
  </si>
  <si>
    <t>7. Reserved Weight (for another needs)</t>
  </si>
  <si>
    <t>Wr</t>
  </si>
  <si>
    <t>(0.5-1.5)% x Displacement (ton)</t>
  </si>
  <si>
    <t>7. Total Mass Consumable</t>
  </si>
  <si>
    <t>total consumption= WHFO storage + Wmdo + WLO + Wfw+Vdw + Wcp + Wp + Wr</t>
  </si>
  <si>
    <t>Using Simpson rules from Design 2:</t>
  </si>
  <si>
    <t xml:space="preserve">Vol </t>
  </si>
  <si>
    <t>Using Simpson rules:</t>
  </si>
  <si>
    <t>Name : MV. Minyak</t>
  </si>
  <si>
    <t>6. Total value of the volume in ship</t>
  </si>
  <si>
    <t xml:space="preserve">TANK CAPACITY AND PAYLOAD </t>
  </si>
  <si>
    <t>A. LWT Calculation</t>
  </si>
  <si>
    <t>1. Ship Steel Weight</t>
  </si>
  <si>
    <t>The calculation of ship steel weight based on the formula from Watson, RINA(Practical Ship Design, DGM Watson):</t>
  </si>
  <si>
    <t>E(Llyod's equipment num) = Lpp(B+T)+ 0.85 Lpp(H-T)+0.85{(L1.h1)+0.75(L2.h2)}</t>
  </si>
  <si>
    <t>In which:</t>
  </si>
  <si>
    <t>L1</t>
  </si>
  <si>
    <t>Forecastle deck length</t>
  </si>
  <si>
    <t>h1</t>
  </si>
  <si>
    <t>Forecastle height</t>
  </si>
  <si>
    <t>L2</t>
  </si>
  <si>
    <t>Poopdeck length</t>
  </si>
  <si>
    <t>h2</t>
  </si>
  <si>
    <t>Poopdeck height</t>
  </si>
  <si>
    <t>So, the value of E</t>
  </si>
  <si>
    <t>Ship Steel Weight(Wst)</t>
  </si>
  <si>
    <t>Wst = K x E^1.36</t>
  </si>
  <si>
    <t>Which K value can be obtained from the table which is stated in practical ship design page 85</t>
  </si>
  <si>
    <t>based on the table on Practical Ship Design by Watson</t>
  </si>
  <si>
    <t>Wst</t>
  </si>
  <si>
    <t>K x E^1.36</t>
  </si>
  <si>
    <t>(estimated)</t>
  </si>
  <si>
    <t>2. Outfit and Accomodation</t>
  </si>
  <si>
    <t>WOA</t>
  </si>
  <si>
    <t>0.4 x Lpp x B</t>
  </si>
  <si>
    <t>(Practical Ship Design Page. 100 DGM Watson)</t>
  </si>
  <si>
    <t>3. Engine Installation Weight</t>
  </si>
  <si>
    <t>Wmt</t>
  </si>
  <si>
    <t>0.72 x MCR^0.78</t>
  </si>
  <si>
    <t>4. Reserved Weight (WRes)</t>
  </si>
  <si>
    <t>Wres</t>
  </si>
  <si>
    <t>2.5%(Wst+WOA+Wmt)</t>
  </si>
  <si>
    <t>5. Total LWT</t>
  </si>
  <si>
    <t>LWT</t>
  </si>
  <si>
    <t>Wst+Woa+Wmt+Wres</t>
  </si>
  <si>
    <t xml:space="preserve">DWT </t>
  </si>
  <si>
    <t>Displacement - LWT</t>
  </si>
  <si>
    <t xml:space="preserve">6. Payload </t>
  </si>
  <si>
    <t xml:space="preserve">Payload </t>
  </si>
  <si>
    <t>DWT - WT</t>
  </si>
  <si>
    <t>Density</t>
  </si>
  <si>
    <t>1. Crude Oil</t>
  </si>
  <si>
    <t>ton/m3</t>
  </si>
  <si>
    <t>Payload x Density</t>
  </si>
  <si>
    <t>(Crude Oil)</t>
  </si>
  <si>
    <t>B. Calculation of Framing</t>
  </si>
  <si>
    <t>1. Calculation of Standard Frame Spacing</t>
  </si>
  <si>
    <t>Taken</t>
  </si>
  <si>
    <t>Sb and Cb</t>
  </si>
  <si>
    <t>(Aft. Sterntube Blkh. and Before Collision Blkh.)</t>
  </si>
  <si>
    <t>2. Calculation of Double Bottom</t>
  </si>
  <si>
    <t>Double Side Width (m)</t>
  </si>
  <si>
    <t>0.5 +  DW/20000</t>
  </si>
  <si>
    <t>Double Bottom Height (m)</t>
  </si>
  <si>
    <t>h</t>
  </si>
  <si>
    <t>Depth</t>
  </si>
  <si>
    <t xml:space="preserve">Taken </t>
  </si>
  <si>
    <t>3. Calculation of Bulkhead</t>
  </si>
  <si>
    <t>a. Sterntube Bulkhead (AP Bulkhead)</t>
  </si>
  <si>
    <t>The bulkhead afterpeak is located 0.35 T + at least 3 frame distances in front of the stern</t>
  </si>
  <si>
    <t xml:space="preserve">Stern (from AP) </t>
  </si>
  <si>
    <t>+3 frame</t>
  </si>
  <si>
    <t xml:space="preserve">b. Engine Room Bulkhead </t>
  </si>
  <si>
    <t>The location of the bulkhead engine room is estimated to be 17% s / d 20%</t>
  </si>
  <si>
    <t>Lpp as measured from the AP line.</t>
  </si>
  <si>
    <t>Engine room bulkhead placed between (17-20)% Lpp from AP</t>
  </si>
  <si>
    <t>18%Lpp</t>
  </si>
  <si>
    <t>c. Collision Bulkhead</t>
  </si>
  <si>
    <t xml:space="preserve">The placement of Collision Bulkhead is 0.05 – 0.08 Lc that measured </t>
  </si>
  <si>
    <t>From FP</t>
  </si>
  <si>
    <t>0.05Lpp</t>
  </si>
  <si>
    <t>0.06Lpp</t>
  </si>
  <si>
    <t>0.07Lpp</t>
  </si>
  <si>
    <t>0.08Lpp</t>
  </si>
  <si>
    <t>d. Amount of Cargo Bulkhead / Cargo Hold Bulkhead</t>
  </si>
  <si>
    <t xml:space="preserve">Which means, according to the table above, must be equipped </t>
  </si>
  <si>
    <t>located behind.</t>
  </si>
  <si>
    <t>Slop tanks are present onboard tanker to store oily water mixture from cargo tank washing</t>
  </si>
  <si>
    <t>3% x cargo tank volume</t>
  </si>
  <si>
    <t>Breadth</t>
  </si>
  <si>
    <t xml:space="preserve">Volume </t>
  </si>
  <si>
    <t>V L.O.</t>
  </si>
  <si>
    <t>(from Doc 2 GT and Wt Calculation)</t>
  </si>
  <si>
    <t>FW Volume</t>
  </si>
  <si>
    <t>According to Marpol Annex 1, Unified Interpretations Reg. 17, 8.1 about Sludge Tank Capacity,  the minimum capacity of sludge tank can be determined by :</t>
  </si>
  <si>
    <t>V1</t>
  </si>
  <si>
    <t xml:space="preserve">K1 x C x D </t>
  </si>
  <si>
    <t>So :</t>
  </si>
  <si>
    <t>C</t>
  </si>
  <si>
    <t>D</t>
  </si>
  <si>
    <r>
      <t>m</t>
    </r>
    <r>
      <rPr>
        <vertAlign val="superscript"/>
        <sz val="11"/>
        <rFont val="Calibri"/>
        <family val="2"/>
        <scheme val="minor"/>
      </rPr>
      <t xml:space="preserve">3 </t>
    </r>
  </si>
  <si>
    <t>According to Annex IV of MARPOL 73/78 Reg 9. Equipment for the prevention of</t>
  </si>
  <si>
    <t xml:space="preserve"> pollution by sewage, the capacity of the holding tank is to comply with the</t>
  </si>
  <si>
    <t xml:space="preserve"> following formula:</t>
  </si>
  <si>
    <t xml:space="preserve">Cr </t>
  </si>
  <si>
    <t xml:space="preserve">≥ </t>
  </si>
  <si>
    <t xml:space="preserve">A x Np x Da </t>
  </si>
  <si>
    <t>Where :</t>
  </si>
  <si>
    <t>capacity of the holding tank (m3 )</t>
  </si>
  <si>
    <t>A</t>
  </si>
  <si>
    <t>0.06 (m3 /person/day) Value of A may reduce according</t>
  </si>
  <si>
    <t xml:space="preserve"> to the flushing system etc</t>
  </si>
  <si>
    <t>Np</t>
  </si>
  <si>
    <t>the total number of persons on board</t>
  </si>
  <si>
    <t>Da</t>
  </si>
  <si>
    <t>the maximum number of days operating in areas where the discharge  of sewage which is not comminuted or disinfected into the sea  is prohibited (minimum 1 day)</t>
  </si>
  <si>
    <t xml:space="preserve">So, </t>
  </si>
  <si>
    <t>m3/person/day</t>
  </si>
  <si>
    <t>Person</t>
  </si>
  <si>
    <t>Day</t>
  </si>
  <si>
    <r>
      <t>According to</t>
    </r>
    <r>
      <rPr>
        <i/>
        <sz val="11"/>
        <rFont val="Calibri"/>
        <family val="2"/>
        <scheme val="minor"/>
      </rPr>
      <t xml:space="preserve"> IMO, 2008 REVISED GUIDELINES FOR SYSTEMS FOR HANDLING OILY WASTES</t>
    </r>
    <r>
      <rPr>
        <sz val="11"/>
        <rFont val="Calibri"/>
        <family val="2"/>
        <scheme val="minor"/>
      </rPr>
      <t xml:space="preserve">  IN MACHINERY SPACES OF SHIPS INCORPORATING GUIDANCE NOTES FOR AN INTEGRATED  BILGE WATER TREATMENT SYSTEM (IBTS) page 3</t>
    </r>
  </si>
  <si>
    <t>The recommended capacity of oily bilge water holding tanks should be as follows:</t>
  </si>
  <si>
    <t>Main engine rating (kW)</t>
  </si>
  <si>
    <t>Capacity (m3)</t>
  </si>
  <si>
    <t>up to 1,000</t>
  </si>
  <si>
    <t>Above 1,000 up to 20,000</t>
  </si>
  <si>
    <t>P/250</t>
  </si>
  <si>
    <t>P</t>
  </si>
  <si>
    <t xml:space="preserve"> main engine rating in kW</t>
  </si>
  <si>
    <t>ME Power</t>
  </si>
  <si>
    <t xml:space="preserve">So, the Bilge tank recommended capacity is : </t>
  </si>
  <si>
    <t>Sea Chest Water is needed to fullfil the required water for ship operation</t>
  </si>
  <si>
    <t>Assumption of 1m3 volume for 750 kW engine, so :</t>
  </si>
  <si>
    <t>Vol Needed</t>
  </si>
  <si>
    <t>P/750</t>
  </si>
  <si>
    <t>or w = 2 whichever is the lesser, but not less than 1 m</t>
  </si>
  <si>
    <t>Wt</t>
  </si>
  <si>
    <t>W. Total of Consumable</t>
  </si>
  <si>
    <t>2.08*L + 438</t>
  </si>
  <si>
    <t>S</t>
  </si>
  <si>
    <t>From ABS Rules</t>
  </si>
  <si>
    <t xml:space="preserve">According to ABS Rules Part 3, Hull Construction and Equipment , Tanker Ships of 5000 deadweight and above shall have double hull in the entire cargo tank length with arrangement as follows: </t>
  </si>
  <si>
    <t>32B + 190 (d)^0.5</t>
  </si>
  <si>
    <t xml:space="preserve">From Sterntube </t>
  </si>
  <si>
    <t>Frame Space</t>
  </si>
  <si>
    <t>No. of Frame</t>
  </si>
  <si>
    <t>Length Taken</t>
  </si>
  <si>
    <t>payload</t>
  </si>
  <si>
    <t>ballast</t>
  </si>
  <si>
    <t>total</t>
  </si>
  <si>
    <t>fs</t>
  </si>
  <si>
    <t>area x fs</t>
  </si>
  <si>
    <t>vol</t>
  </si>
  <si>
    <t>Ballast double bottom</t>
  </si>
  <si>
    <t>vol total</t>
  </si>
  <si>
    <t>total cargo+doubel bottom+wing tank</t>
  </si>
  <si>
    <t>1/2 area</t>
  </si>
  <si>
    <t>vol double bottom + wing tank</t>
  </si>
  <si>
    <t>vol cargo tank</t>
  </si>
  <si>
    <t>Ballast Wing tank</t>
  </si>
  <si>
    <t>cargo tank lebih</t>
  </si>
  <si>
    <t>slop tank</t>
  </si>
  <si>
    <t>HFO bunker</t>
  </si>
  <si>
    <t>HFO Settling</t>
  </si>
  <si>
    <t>HFO Service</t>
  </si>
  <si>
    <t>BUSAN</t>
  </si>
  <si>
    <t>SARAT KAPAL KOSONG ENGINE MAN L32/44CR</t>
  </si>
  <si>
    <t>SARAT KAPAL KOSONG ENGINE CAT M 32 C</t>
  </si>
  <si>
    <t>SARAT KAPAL KOSONG ENGINE WARTSILA 7L32</t>
  </si>
  <si>
    <t>Perhitungan Berat Kebutuhan Tangki</t>
  </si>
  <si>
    <t>1.</t>
  </si>
  <si>
    <t>Berat Bahan Bakar Mesin Induk</t>
  </si>
  <si>
    <r>
      <t>W</t>
    </r>
    <r>
      <rPr>
        <vertAlign val="subscript"/>
        <sz val="11"/>
        <color theme="1"/>
        <rFont val="Calibri"/>
        <family val="2"/>
        <scheme val="minor"/>
      </rPr>
      <t>FO</t>
    </r>
  </si>
  <si>
    <r>
      <t>BHP</t>
    </r>
    <r>
      <rPr>
        <vertAlign val="subscript"/>
        <sz val="11"/>
        <color theme="1"/>
        <rFont val="Calibri"/>
        <family val="2"/>
        <scheme val="minor"/>
      </rPr>
      <t>ME</t>
    </r>
    <r>
      <rPr>
        <sz val="11"/>
        <color theme="1"/>
        <rFont val="Calibri"/>
        <family val="2"/>
        <scheme val="minor"/>
      </rPr>
      <t xml:space="preserve"> . b</t>
    </r>
    <r>
      <rPr>
        <vertAlign val="subscript"/>
        <sz val="11"/>
        <color theme="1"/>
        <rFont val="Calibri"/>
        <family val="2"/>
        <scheme val="minor"/>
      </rPr>
      <t>ME</t>
    </r>
    <r>
      <rPr>
        <sz val="11"/>
        <color theme="1"/>
        <rFont val="Calibri"/>
        <family val="2"/>
        <scheme val="minor"/>
      </rPr>
      <t xml:space="preserve"> . (S/Vs) . 10</t>
    </r>
    <r>
      <rPr>
        <vertAlign val="superscript"/>
        <sz val="11"/>
        <color theme="1"/>
        <rFont val="Calibri"/>
        <family val="2"/>
        <scheme val="minor"/>
      </rPr>
      <t>-6</t>
    </r>
    <r>
      <rPr>
        <sz val="11"/>
        <color theme="1"/>
        <rFont val="Calibri"/>
        <family val="2"/>
        <scheme val="minor"/>
      </rPr>
      <t xml:space="preserve"> . C</t>
    </r>
  </si>
  <si>
    <t>(Ton)</t>
  </si>
  <si>
    <t>Keterangan :</t>
  </si>
  <si>
    <r>
      <t>BHP</t>
    </r>
    <r>
      <rPr>
        <vertAlign val="subscript"/>
        <sz val="11"/>
        <color theme="1"/>
        <rFont val="Calibri"/>
        <family val="2"/>
        <scheme val="minor"/>
      </rPr>
      <t>ME</t>
    </r>
  </si>
  <si>
    <t>BHP Mesin utama dari catalog (kW)</t>
  </si>
  <si>
    <t>waktu tempuh</t>
  </si>
  <si>
    <t>jam</t>
  </si>
  <si>
    <r>
      <t>b</t>
    </r>
    <r>
      <rPr>
        <vertAlign val="subscript"/>
        <sz val="11"/>
        <color theme="1"/>
        <rFont val="Calibri"/>
        <family val="2"/>
        <scheme val="minor"/>
      </rPr>
      <t>ME</t>
    </r>
  </si>
  <si>
    <t>Spesifik konsumsi bahan bakar mesin induk =178 g/kWh</t>
  </si>
  <si>
    <t>Rute Pelayaran (Nautical Miles)</t>
  </si>
  <si>
    <t>Kecepatan Kapal (Knots)</t>
  </si>
  <si>
    <t xml:space="preserve">C </t>
  </si>
  <si>
    <t>Koreksi Cadangan (1.3-1.5)</t>
  </si>
  <si>
    <t>nm</t>
  </si>
  <si>
    <t>km</t>
  </si>
  <si>
    <r>
      <t>4480  . 178 . 3391/13 . 10</t>
    </r>
    <r>
      <rPr>
        <vertAlign val="superscript"/>
        <sz val="11"/>
        <color theme="1"/>
        <rFont val="Calibri"/>
        <family val="2"/>
        <scheme val="minor"/>
      </rPr>
      <t>-6</t>
    </r>
    <r>
      <rPr>
        <sz val="11"/>
        <color theme="1"/>
        <rFont val="Calibri"/>
        <family val="2"/>
        <scheme val="minor"/>
      </rPr>
      <t xml:space="preserve"> . 1,5</t>
    </r>
  </si>
  <si>
    <t>km/h</t>
  </si>
  <si>
    <r>
      <t>3840  . 177 . 3391/13 . 10</t>
    </r>
    <r>
      <rPr>
        <vertAlign val="superscript"/>
        <sz val="11"/>
        <color theme="1"/>
        <rFont val="Calibri"/>
        <family val="2"/>
        <scheme val="minor"/>
      </rPr>
      <t>-6</t>
    </r>
    <r>
      <rPr>
        <sz val="11"/>
        <color theme="1"/>
        <rFont val="Calibri"/>
        <family val="2"/>
        <scheme val="minor"/>
      </rPr>
      <t xml:space="preserve"> . 1,5</t>
    </r>
  </si>
  <si>
    <r>
      <t>4060  . 185. 3391/13 . 10</t>
    </r>
    <r>
      <rPr>
        <vertAlign val="superscript"/>
        <sz val="11"/>
        <color theme="1"/>
        <rFont val="Calibri"/>
        <family val="2"/>
        <scheme val="minor"/>
      </rPr>
      <t>-6</t>
    </r>
    <r>
      <rPr>
        <sz val="11"/>
        <color theme="1"/>
        <rFont val="Calibri"/>
        <family val="2"/>
        <scheme val="minor"/>
      </rPr>
      <t xml:space="preserve"> . 1,5</t>
    </r>
  </si>
  <si>
    <t>"Tentang Rencana Umum" Gaguk Suhardjito 2006 hal 16</t>
  </si>
  <si>
    <t>2.</t>
  </si>
  <si>
    <t>Volume Bahan Bakar Mesin Induk</t>
  </si>
  <si>
    <r>
      <t>V(W</t>
    </r>
    <r>
      <rPr>
        <vertAlign val="subscript"/>
        <sz val="11"/>
        <color theme="1"/>
        <rFont val="Calibri"/>
        <family val="2"/>
        <scheme val="minor"/>
      </rPr>
      <t>FO</t>
    </r>
    <r>
      <rPr>
        <sz val="11"/>
        <color theme="1"/>
        <rFont val="Calibri"/>
        <family val="2"/>
        <scheme val="minor"/>
      </rPr>
      <t>)</t>
    </r>
  </si>
  <si>
    <r>
      <t>W</t>
    </r>
    <r>
      <rPr>
        <vertAlign val="subscript"/>
        <sz val="11"/>
        <color theme="1"/>
        <rFont val="Calibri"/>
        <family val="2"/>
        <scheme val="minor"/>
      </rPr>
      <t>FO</t>
    </r>
    <r>
      <rPr>
        <sz val="11"/>
        <color theme="1"/>
        <rFont val="Calibri"/>
        <family val="2"/>
        <scheme val="minor"/>
      </rPr>
      <t xml:space="preserve"> / ρ</t>
    </r>
  </si>
  <si>
    <r>
      <t>(m</t>
    </r>
    <r>
      <rPr>
        <vertAlign val="superscript"/>
        <sz val="11"/>
        <color theme="1"/>
        <rFont val="Calibri"/>
        <family val="2"/>
        <scheme val="minor"/>
      </rPr>
      <t>3</t>
    </r>
    <r>
      <rPr>
        <sz val="11"/>
        <color theme="1"/>
        <rFont val="Calibri"/>
        <family val="2"/>
        <scheme val="minor"/>
      </rPr>
      <t>)</t>
    </r>
  </si>
  <si>
    <t>Dimana ρ diesel =</t>
  </si>
  <si>
    <t>Liter</t>
  </si>
  <si>
    <t>3.</t>
  </si>
  <si>
    <t>Koreksi Volume Tambahan Bahan Bakar Mesin Induk</t>
  </si>
  <si>
    <r>
      <t>V</t>
    </r>
    <r>
      <rPr>
        <vertAlign val="subscript"/>
        <sz val="11"/>
        <color theme="1"/>
        <rFont val="Calibri"/>
        <family val="2"/>
        <scheme val="minor"/>
      </rPr>
      <t>2</t>
    </r>
    <r>
      <rPr>
        <sz val="11"/>
        <color theme="1"/>
        <rFont val="Calibri"/>
        <family val="2"/>
        <scheme val="minor"/>
      </rPr>
      <t xml:space="preserve"> (W</t>
    </r>
    <r>
      <rPr>
        <vertAlign val="subscript"/>
        <sz val="11"/>
        <color theme="1"/>
        <rFont val="Calibri"/>
        <family val="2"/>
        <scheme val="minor"/>
      </rPr>
      <t>FO</t>
    </r>
    <r>
      <rPr>
        <sz val="11"/>
        <color theme="1"/>
        <rFont val="Calibri"/>
        <family val="2"/>
        <scheme val="minor"/>
      </rPr>
      <t>)</t>
    </r>
  </si>
  <si>
    <r>
      <t>102% . V (W</t>
    </r>
    <r>
      <rPr>
        <vertAlign val="subscript"/>
        <sz val="11"/>
        <color theme="1"/>
        <rFont val="Calibri"/>
        <family val="2"/>
        <scheme val="minor"/>
      </rPr>
      <t>FO</t>
    </r>
    <r>
      <rPr>
        <sz val="11"/>
        <color theme="1"/>
        <rFont val="Calibri"/>
        <family val="2"/>
        <scheme val="minor"/>
      </rPr>
      <t>)</t>
    </r>
  </si>
  <si>
    <t>(Koreksi untuk Double Bottom)</t>
  </si>
  <si>
    <r>
      <t>V</t>
    </r>
    <r>
      <rPr>
        <vertAlign val="subscript"/>
        <sz val="11"/>
        <color theme="1"/>
        <rFont val="Calibri"/>
        <family val="2"/>
        <scheme val="minor"/>
      </rPr>
      <t>3</t>
    </r>
    <r>
      <rPr>
        <sz val="11"/>
        <color theme="1"/>
        <rFont val="Calibri"/>
        <family val="2"/>
        <scheme val="minor"/>
      </rPr>
      <t xml:space="preserve"> (W</t>
    </r>
    <r>
      <rPr>
        <vertAlign val="subscript"/>
        <sz val="11"/>
        <color theme="1"/>
        <rFont val="Calibri"/>
        <family val="2"/>
        <scheme val="minor"/>
      </rPr>
      <t>FO</t>
    </r>
    <r>
      <rPr>
        <sz val="11"/>
        <color theme="1"/>
        <rFont val="Calibri"/>
        <family val="2"/>
        <scheme val="minor"/>
      </rPr>
      <t>)</t>
    </r>
  </si>
  <si>
    <r>
      <t>102% . V</t>
    </r>
    <r>
      <rPr>
        <vertAlign val="subscript"/>
        <sz val="11"/>
        <color theme="1"/>
        <rFont val="Calibri"/>
        <family val="2"/>
        <scheme val="minor"/>
      </rPr>
      <t>2</t>
    </r>
    <r>
      <rPr>
        <sz val="11"/>
        <color theme="1"/>
        <rFont val="Calibri"/>
        <family val="2"/>
        <scheme val="minor"/>
      </rPr>
      <t xml:space="preserve"> (W</t>
    </r>
    <r>
      <rPr>
        <sz val="8"/>
        <color theme="1"/>
        <rFont val="Calibri"/>
        <family val="2"/>
        <scheme val="minor"/>
      </rPr>
      <t>FO</t>
    </r>
    <r>
      <rPr>
        <sz val="11"/>
        <color theme="1"/>
        <rFont val="Calibri"/>
        <family val="2"/>
        <scheme val="minor"/>
      </rPr>
      <t>)</t>
    </r>
  </si>
  <si>
    <t>(Koreksi untuk Ekspansi karena Panas)</t>
  </si>
  <si>
    <r>
      <t>Maka V(W</t>
    </r>
    <r>
      <rPr>
        <sz val="8"/>
        <color theme="1"/>
        <rFont val="Calibri"/>
        <family val="2"/>
        <scheme val="minor"/>
      </rPr>
      <t>FO</t>
    </r>
    <r>
      <rPr>
        <sz val="11"/>
        <color theme="1"/>
        <rFont val="Calibri"/>
        <family val="2"/>
        <scheme val="minor"/>
      </rPr>
      <t>)</t>
    </r>
  </si>
  <si>
    <t>4.</t>
  </si>
  <si>
    <t>Berat Bahan Bakar Mesin Bantu</t>
  </si>
  <si>
    <r>
      <t>W</t>
    </r>
    <r>
      <rPr>
        <vertAlign val="subscript"/>
        <sz val="11"/>
        <color theme="1"/>
        <rFont val="Calibri"/>
        <family val="2"/>
        <scheme val="minor"/>
      </rPr>
      <t>FB</t>
    </r>
  </si>
  <si>
    <r>
      <t>(0,1-</t>
    </r>
    <r>
      <rPr>
        <sz val="11"/>
        <color theme="1"/>
        <rFont val="Calibri"/>
        <family val="2"/>
        <scheme val="minor"/>
      </rPr>
      <t>0,2) W</t>
    </r>
    <r>
      <rPr>
        <vertAlign val="subscript"/>
        <sz val="11"/>
        <color theme="1"/>
        <rFont val="Calibri"/>
        <family val="2"/>
        <scheme val="minor"/>
      </rPr>
      <t>FO</t>
    </r>
  </si>
  <si>
    <r>
      <t>0,1</t>
    </r>
    <r>
      <rPr>
        <sz val="11"/>
        <color theme="1"/>
        <rFont val="Calibri"/>
        <family val="2"/>
      </rPr>
      <t>5</t>
    </r>
    <r>
      <rPr>
        <sz val="11"/>
        <color theme="1"/>
        <rFont val="Calibri"/>
        <family val="2"/>
        <scheme val="minor"/>
      </rPr>
      <t>W</t>
    </r>
    <r>
      <rPr>
        <vertAlign val="subscript"/>
        <sz val="11"/>
        <color theme="1"/>
        <rFont val="Calibri"/>
        <family val="2"/>
        <scheme val="minor"/>
      </rPr>
      <t>FO</t>
    </r>
  </si>
  <si>
    <t>5.</t>
  </si>
  <si>
    <t>Volume Bahan Bakar Mesin Bantu</t>
  </si>
  <si>
    <r>
      <t>V (W</t>
    </r>
    <r>
      <rPr>
        <vertAlign val="subscript"/>
        <sz val="11"/>
        <color theme="1"/>
        <rFont val="Calibri"/>
        <family val="2"/>
        <scheme val="minor"/>
      </rPr>
      <t>FB</t>
    </r>
    <r>
      <rPr>
        <sz val="11"/>
        <color theme="1"/>
        <rFont val="Calibri"/>
        <family val="2"/>
        <scheme val="minor"/>
      </rPr>
      <t>)</t>
    </r>
  </si>
  <si>
    <r>
      <t>W</t>
    </r>
    <r>
      <rPr>
        <vertAlign val="subscript"/>
        <sz val="11"/>
        <color theme="1"/>
        <rFont val="Calibri"/>
        <family val="2"/>
        <scheme val="minor"/>
      </rPr>
      <t>FB</t>
    </r>
    <r>
      <rPr>
        <sz val="11"/>
        <color theme="1"/>
        <rFont val="Calibri"/>
        <family val="2"/>
        <scheme val="minor"/>
      </rPr>
      <t xml:space="preserve"> / ρ</t>
    </r>
  </si>
  <si>
    <t>Dimana ρ diesel</t>
  </si>
  <si>
    <r>
      <t>Ton/m</t>
    </r>
    <r>
      <rPr>
        <vertAlign val="superscript"/>
        <sz val="11"/>
        <color theme="1"/>
        <rFont val="Calibri"/>
        <family val="2"/>
        <scheme val="minor"/>
      </rPr>
      <t>3</t>
    </r>
  </si>
  <si>
    <t>6.</t>
  </si>
  <si>
    <t>Penambahan Volume Tanki Bahan Bakar Mesin Bantu</t>
  </si>
  <si>
    <r>
      <t>V</t>
    </r>
    <r>
      <rPr>
        <vertAlign val="subscript"/>
        <sz val="11"/>
        <color theme="1"/>
        <rFont val="Calibri"/>
        <family val="2"/>
        <scheme val="minor"/>
      </rPr>
      <t>Tank</t>
    </r>
    <r>
      <rPr>
        <sz val="11"/>
        <color theme="1"/>
        <rFont val="Calibri"/>
        <family val="2"/>
        <scheme val="minor"/>
      </rPr>
      <t xml:space="preserve"> (W</t>
    </r>
    <r>
      <rPr>
        <vertAlign val="subscript"/>
        <sz val="11"/>
        <color theme="1"/>
        <rFont val="Calibri"/>
        <family val="2"/>
        <scheme val="minor"/>
      </rPr>
      <t>FB</t>
    </r>
    <r>
      <rPr>
        <sz val="11"/>
        <color theme="1"/>
        <rFont val="Calibri"/>
        <family val="2"/>
        <scheme val="minor"/>
      </rPr>
      <t>)</t>
    </r>
  </si>
  <si>
    <r>
      <t>104% . V (W</t>
    </r>
    <r>
      <rPr>
        <vertAlign val="subscript"/>
        <sz val="11"/>
        <color theme="1"/>
        <rFont val="Calibri"/>
        <family val="2"/>
        <scheme val="minor"/>
      </rPr>
      <t>FB</t>
    </r>
    <r>
      <rPr>
        <sz val="11"/>
        <color theme="1"/>
        <rFont val="Calibri"/>
        <family val="2"/>
        <scheme val="minor"/>
      </rPr>
      <t>)</t>
    </r>
  </si>
  <si>
    <t>7.</t>
  </si>
  <si>
    <t>Berat Minyak Pelumas</t>
  </si>
  <si>
    <r>
      <t>W</t>
    </r>
    <r>
      <rPr>
        <vertAlign val="subscript"/>
        <sz val="11"/>
        <color theme="1"/>
        <rFont val="Calibri"/>
        <family val="2"/>
        <scheme val="minor"/>
      </rPr>
      <t>LO</t>
    </r>
  </si>
  <si>
    <r>
      <t>BHP</t>
    </r>
    <r>
      <rPr>
        <vertAlign val="subscript"/>
        <sz val="11"/>
        <color theme="1"/>
        <rFont val="Calibri"/>
        <family val="2"/>
        <scheme val="minor"/>
      </rPr>
      <t>ME</t>
    </r>
    <r>
      <rPr>
        <sz val="11"/>
        <color theme="1"/>
        <rFont val="Calibri"/>
        <family val="2"/>
        <scheme val="minor"/>
      </rPr>
      <t xml:space="preserve"> . b</t>
    </r>
    <r>
      <rPr>
        <vertAlign val="subscript"/>
        <sz val="11"/>
        <color theme="1"/>
        <rFont val="Calibri"/>
        <family val="2"/>
        <scheme val="minor"/>
      </rPr>
      <t>LO</t>
    </r>
    <r>
      <rPr>
        <sz val="11"/>
        <color theme="1"/>
        <rFont val="Calibri"/>
        <family val="2"/>
        <scheme val="minor"/>
      </rPr>
      <t xml:space="preserve"> . (S/Vs) . 10</t>
    </r>
    <r>
      <rPr>
        <vertAlign val="superscript"/>
        <sz val="11"/>
        <color theme="1"/>
        <rFont val="Calibri"/>
        <family val="2"/>
        <scheme val="minor"/>
      </rPr>
      <t>-6</t>
    </r>
    <r>
      <rPr>
        <sz val="11"/>
        <color theme="1"/>
        <rFont val="Calibri"/>
        <family val="2"/>
        <scheme val="minor"/>
      </rPr>
      <t xml:space="preserve"> . C</t>
    </r>
  </si>
  <si>
    <r>
      <t>b</t>
    </r>
    <r>
      <rPr>
        <vertAlign val="subscript"/>
        <sz val="11"/>
        <color theme="1"/>
        <rFont val="Calibri"/>
        <family val="2"/>
        <scheme val="minor"/>
      </rPr>
      <t>LO</t>
    </r>
    <r>
      <rPr>
        <sz val="11"/>
        <color theme="1"/>
        <rFont val="Calibri"/>
        <family val="2"/>
        <scheme val="minor"/>
      </rPr>
      <t xml:space="preserve"> </t>
    </r>
  </si>
  <si>
    <t>8.</t>
  </si>
  <si>
    <t>Volume Minyak Pelumas</t>
  </si>
  <si>
    <r>
      <t>V(W</t>
    </r>
    <r>
      <rPr>
        <vertAlign val="subscript"/>
        <sz val="11"/>
        <color theme="1"/>
        <rFont val="Calibri"/>
        <family val="2"/>
        <scheme val="minor"/>
      </rPr>
      <t>LO</t>
    </r>
    <r>
      <rPr>
        <sz val="11"/>
        <color theme="1"/>
        <rFont val="Calibri"/>
        <family val="2"/>
        <scheme val="minor"/>
      </rPr>
      <t>)</t>
    </r>
  </si>
  <si>
    <r>
      <t>W</t>
    </r>
    <r>
      <rPr>
        <vertAlign val="subscript"/>
        <sz val="11"/>
        <color theme="1"/>
        <rFont val="Calibri"/>
        <family val="2"/>
        <scheme val="minor"/>
      </rPr>
      <t>LO</t>
    </r>
    <r>
      <rPr>
        <sz val="11"/>
        <color theme="1"/>
        <rFont val="Calibri"/>
        <family val="2"/>
        <scheme val="minor"/>
      </rPr>
      <t xml:space="preserve"> / ρ</t>
    </r>
  </si>
  <si>
    <t>Dimana ρ lube oil</t>
  </si>
  <si>
    <t>9.</t>
  </si>
  <si>
    <t>Penambahan Volume Tanki Minyak Pelumas</t>
  </si>
  <si>
    <r>
      <t>V</t>
    </r>
    <r>
      <rPr>
        <vertAlign val="subscript"/>
        <sz val="11"/>
        <color theme="1"/>
        <rFont val="Calibri"/>
        <family val="2"/>
        <scheme val="minor"/>
      </rPr>
      <t>Tank</t>
    </r>
    <r>
      <rPr>
        <sz val="11"/>
        <color theme="1"/>
        <rFont val="Calibri"/>
        <family val="2"/>
        <scheme val="minor"/>
      </rPr>
      <t xml:space="preserve"> (W</t>
    </r>
    <r>
      <rPr>
        <vertAlign val="subscript"/>
        <sz val="11"/>
        <color theme="1"/>
        <rFont val="Calibri"/>
        <family val="2"/>
        <scheme val="minor"/>
      </rPr>
      <t>LO</t>
    </r>
    <r>
      <rPr>
        <sz val="11"/>
        <color theme="1"/>
        <rFont val="Calibri"/>
        <family val="2"/>
        <scheme val="minor"/>
      </rPr>
      <t>)</t>
    </r>
  </si>
  <si>
    <r>
      <t>104% . V(W</t>
    </r>
    <r>
      <rPr>
        <vertAlign val="subscript"/>
        <sz val="11"/>
        <color theme="1"/>
        <rFont val="Calibri"/>
        <family val="2"/>
        <scheme val="minor"/>
      </rPr>
      <t>LO</t>
    </r>
    <r>
      <rPr>
        <sz val="11"/>
        <color theme="1"/>
        <rFont val="Calibri"/>
        <family val="2"/>
        <scheme val="minor"/>
      </rPr>
      <t>)</t>
    </r>
  </si>
  <si>
    <t>Berat Fresh Water</t>
  </si>
  <si>
    <t>Air Minum</t>
  </si>
  <si>
    <t>a</t>
  </si>
  <si>
    <r>
      <t>((10</t>
    </r>
    <r>
      <rPr>
        <sz val="11"/>
        <color theme="1"/>
        <rFont val="Calibri"/>
        <family val="2"/>
      </rPr>
      <t>~</t>
    </r>
    <r>
      <rPr>
        <sz val="11"/>
        <color theme="1"/>
        <rFont val="Calibri"/>
        <family val="2"/>
        <scheme val="minor"/>
      </rPr>
      <t>20) . Total Crew . S</t>
    </r>
    <r>
      <rPr>
        <vertAlign val="subscript"/>
        <sz val="11"/>
        <color theme="1"/>
        <rFont val="Calibri"/>
        <family val="2"/>
        <scheme val="minor"/>
      </rPr>
      <t>(km)</t>
    </r>
    <r>
      <rPr>
        <sz val="11"/>
        <color theme="1"/>
        <rFont val="Calibri"/>
        <family val="2"/>
        <scheme val="minor"/>
      </rPr>
      <t xml:space="preserve">) / 24 . Vs </t>
    </r>
    <r>
      <rPr>
        <vertAlign val="subscript"/>
        <sz val="11"/>
        <color theme="1"/>
        <rFont val="Calibri"/>
        <family val="2"/>
        <scheme val="minor"/>
      </rPr>
      <t>(km/h)</t>
    </r>
  </si>
  <si>
    <r>
      <t>(20 . 10 . S</t>
    </r>
    <r>
      <rPr>
        <vertAlign val="subscript"/>
        <sz val="11"/>
        <color theme="1"/>
        <rFont val="Calibri"/>
        <family val="2"/>
        <scheme val="minor"/>
      </rPr>
      <t>(km)</t>
    </r>
    <r>
      <rPr>
        <sz val="11"/>
        <color theme="1"/>
        <rFont val="Calibri"/>
        <family val="2"/>
        <scheme val="minor"/>
      </rPr>
      <t xml:space="preserve">)/24 . Vs </t>
    </r>
    <r>
      <rPr>
        <vertAlign val="subscript"/>
        <sz val="11"/>
        <color theme="1"/>
        <rFont val="Calibri"/>
        <family val="2"/>
        <scheme val="minor"/>
      </rPr>
      <t>(km/h)</t>
    </r>
  </si>
  <si>
    <t>"Tentang Rencana Umum" Gaguk Suhardjito 2006 hal 17</t>
  </si>
  <si>
    <t>Air Cuci</t>
  </si>
  <si>
    <t>b</t>
  </si>
  <si>
    <r>
      <t>((80-200) . Total Crew . S</t>
    </r>
    <r>
      <rPr>
        <vertAlign val="subscript"/>
        <sz val="11"/>
        <color theme="1"/>
        <rFont val="Calibri"/>
        <family val="2"/>
        <scheme val="minor"/>
      </rPr>
      <t>(km)</t>
    </r>
    <r>
      <rPr>
        <sz val="11"/>
        <color theme="1"/>
        <rFont val="Calibri"/>
        <family val="2"/>
        <scheme val="minor"/>
      </rPr>
      <t xml:space="preserve">) / 24 . Vs </t>
    </r>
    <r>
      <rPr>
        <vertAlign val="subscript"/>
        <sz val="11"/>
        <color theme="1"/>
        <rFont val="Calibri"/>
        <family val="2"/>
        <scheme val="minor"/>
      </rPr>
      <t>(km/h)</t>
    </r>
  </si>
  <si>
    <r>
      <t>(200. 20 . S</t>
    </r>
    <r>
      <rPr>
        <vertAlign val="subscript"/>
        <sz val="11"/>
        <color theme="1"/>
        <rFont val="Calibri"/>
        <family val="2"/>
        <scheme val="minor"/>
      </rPr>
      <t>(km)</t>
    </r>
    <r>
      <rPr>
        <sz val="11"/>
        <color theme="1"/>
        <rFont val="Calibri"/>
        <family val="2"/>
        <scheme val="minor"/>
      </rPr>
      <t xml:space="preserve">) / 24 . Vs </t>
    </r>
    <r>
      <rPr>
        <vertAlign val="subscript"/>
        <sz val="11"/>
        <color theme="1"/>
        <rFont val="Calibri"/>
        <family val="2"/>
        <scheme val="minor"/>
      </rPr>
      <t>(km/h)</t>
    </r>
  </si>
  <si>
    <t>Air Pendinginan Mesin</t>
  </si>
  <si>
    <t>c</t>
  </si>
  <si>
    <r>
      <t>BHP</t>
    </r>
    <r>
      <rPr>
        <vertAlign val="subscript"/>
        <sz val="11"/>
        <color theme="1"/>
        <rFont val="Calibri"/>
        <family val="2"/>
        <scheme val="minor"/>
      </rPr>
      <t>ME</t>
    </r>
    <r>
      <rPr>
        <sz val="11"/>
        <color theme="1"/>
        <rFont val="Calibri"/>
        <family val="2"/>
        <scheme val="minor"/>
      </rPr>
      <t xml:space="preserve"> . 4 . (S/Vs) . 10</t>
    </r>
    <r>
      <rPr>
        <vertAlign val="superscript"/>
        <sz val="11"/>
        <color theme="1"/>
        <rFont val="Calibri"/>
        <family val="2"/>
        <scheme val="minor"/>
      </rPr>
      <t>-6</t>
    </r>
  </si>
  <si>
    <t>(ton)</t>
  </si>
  <si>
    <t>Total Berat Fresh Water</t>
  </si>
  <si>
    <r>
      <t>W</t>
    </r>
    <r>
      <rPr>
        <vertAlign val="subscript"/>
        <sz val="11"/>
        <color theme="1"/>
        <rFont val="Calibri"/>
        <family val="2"/>
        <scheme val="minor"/>
      </rPr>
      <t>FW</t>
    </r>
    <r>
      <rPr>
        <sz val="11"/>
        <color theme="1"/>
        <rFont val="Calibri"/>
        <family val="2"/>
        <scheme val="minor"/>
      </rPr>
      <t xml:space="preserve"> </t>
    </r>
  </si>
  <si>
    <t>a + b + c</t>
  </si>
  <si>
    <t>Berat Bahan Makanan</t>
  </si>
  <si>
    <r>
      <t>W</t>
    </r>
    <r>
      <rPr>
        <vertAlign val="subscript"/>
        <sz val="11"/>
        <color theme="1"/>
        <rFont val="Calibri"/>
        <family val="2"/>
        <scheme val="minor"/>
      </rPr>
      <t>P</t>
    </r>
  </si>
  <si>
    <r>
      <t>(5 . Total Crew . S</t>
    </r>
    <r>
      <rPr>
        <vertAlign val="subscript"/>
        <sz val="11"/>
        <color theme="1"/>
        <rFont val="Calibri"/>
        <family val="2"/>
        <scheme val="minor"/>
      </rPr>
      <t>(km)</t>
    </r>
    <r>
      <rPr>
        <sz val="11"/>
        <color theme="1"/>
        <rFont val="Calibri"/>
        <family val="2"/>
        <scheme val="minor"/>
      </rPr>
      <t xml:space="preserve">) / 24 . Vs </t>
    </r>
    <r>
      <rPr>
        <vertAlign val="subscript"/>
        <sz val="11"/>
        <color theme="1"/>
        <rFont val="Calibri"/>
        <family val="2"/>
        <scheme val="minor"/>
      </rPr>
      <t>(km/h)</t>
    </r>
  </si>
  <si>
    <t>0rang</t>
  </si>
  <si>
    <t>Berat Crew dan Barang Bawaan</t>
  </si>
  <si>
    <t>Crew</t>
  </si>
  <si>
    <t>kg/crew</t>
  </si>
  <si>
    <t>Bawaan</t>
  </si>
  <si>
    <r>
      <t>W</t>
    </r>
    <r>
      <rPr>
        <vertAlign val="subscript"/>
        <sz val="11"/>
        <color theme="1"/>
        <rFont val="Calibri"/>
        <family val="2"/>
        <scheme val="minor"/>
      </rPr>
      <t>CP</t>
    </r>
  </si>
  <si>
    <t>(Crew + Bawaan) . Total Crew</t>
  </si>
  <si>
    <t>Berat Cadangan</t>
  </si>
  <si>
    <r>
      <t>W</t>
    </r>
    <r>
      <rPr>
        <vertAlign val="subscript"/>
        <sz val="11"/>
        <color theme="1"/>
        <rFont val="Calibri"/>
        <family val="2"/>
        <scheme val="minor"/>
      </rPr>
      <t>R</t>
    </r>
    <r>
      <rPr>
        <sz val="11"/>
        <color theme="1"/>
        <rFont val="Calibri"/>
        <family val="2"/>
        <scheme val="minor"/>
      </rPr>
      <t xml:space="preserve"> </t>
    </r>
  </si>
  <si>
    <r>
      <t>(0.5</t>
    </r>
    <r>
      <rPr>
        <sz val="11"/>
        <color theme="1"/>
        <rFont val="Calibri"/>
        <family val="2"/>
      </rPr>
      <t>~</t>
    </r>
    <r>
      <rPr>
        <sz val="11"/>
        <color theme="1"/>
        <rFont val="Calibri"/>
        <family val="2"/>
        <scheme val="minor"/>
      </rPr>
      <t>1.5)% . Vdisp</t>
    </r>
  </si>
  <si>
    <t>1,5% . Vdisp</t>
  </si>
  <si>
    <t>Berat Total Kebutuhan :</t>
  </si>
  <si>
    <r>
      <t>W</t>
    </r>
    <r>
      <rPr>
        <sz val="8"/>
        <color theme="1"/>
        <rFont val="Calibri"/>
        <family val="2"/>
        <scheme val="minor"/>
      </rPr>
      <t>t</t>
    </r>
  </si>
  <si>
    <r>
      <t>W</t>
    </r>
    <r>
      <rPr>
        <sz val="8"/>
        <color theme="1"/>
        <rFont val="Calibri"/>
        <family val="2"/>
        <scheme val="minor"/>
      </rPr>
      <t>FO</t>
    </r>
    <r>
      <rPr>
        <sz val="11"/>
        <color theme="1"/>
        <rFont val="Calibri"/>
        <family val="2"/>
        <scheme val="minor"/>
      </rPr>
      <t xml:space="preserve"> + W</t>
    </r>
    <r>
      <rPr>
        <sz val="8"/>
        <color theme="1"/>
        <rFont val="Calibri"/>
        <family val="2"/>
        <scheme val="minor"/>
      </rPr>
      <t xml:space="preserve">FB </t>
    </r>
    <r>
      <rPr>
        <sz val="11"/>
        <color theme="1"/>
        <rFont val="Calibri"/>
        <family val="2"/>
        <scheme val="minor"/>
      </rPr>
      <t>+ W</t>
    </r>
    <r>
      <rPr>
        <sz val="8"/>
        <color theme="1"/>
        <rFont val="Calibri"/>
        <family val="2"/>
        <scheme val="minor"/>
      </rPr>
      <t>LO</t>
    </r>
    <r>
      <rPr>
        <sz val="11"/>
        <color theme="1"/>
        <rFont val="Calibri"/>
        <family val="2"/>
        <scheme val="minor"/>
      </rPr>
      <t xml:space="preserve"> + W</t>
    </r>
    <r>
      <rPr>
        <sz val="8"/>
        <color theme="1"/>
        <rFont val="Calibri"/>
        <family val="2"/>
        <scheme val="minor"/>
      </rPr>
      <t>FW</t>
    </r>
    <r>
      <rPr>
        <sz val="11"/>
        <color theme="1"/>
        <rFont val="Calibri"/>
        <family val="2"/>
        <scheme val="minor"/>
      </rPr>
      <t xml:space="preserve"> + W</t>
    </r>
    <r>
      <rPr>
        <sz val="8"/>
        <color theme="1"/>
        <rFont val="Calibri"/>
        <family val="2"/>
        <scheme val="minor"/>
      </rPr>
      <t>P</t>
    </r>
    <r>
      <rPr>
        <sz val="11"/>
        <color theme="1"/>
        <rFont val="Calibri"/>
        <family val="2"/>
        <scheme val="minor"/>
      </rPr>
      <t xml:space="preserve"> + W</t>
    </r>
    <r>
      <rPr>
        <sz val="8"/>
        <color theme="1"/>
        <rFont val="Calibri"/>
        <family val="2"/>
        <scheme val="minor"/>
      </rPr>
      <t>CP</t>
    </r>
    <r>
      <rPr>
        <sz val="11"/>
        <color theme="1"/>
        <rFont val="Calibri"/>
        <family val="2"/>
        <scheme val="minor"/>
      </rPr>
      <t xml:space="preserve"> + W</t>
    </r>
    <r>
      <rPr>
        <sz val="8"/>
        <color theme="1"/>
        <rFont val="Calibri"/>
        <family val="2"/>
        <scheme val="minor"/>
      </rPr>
      <t>R</t>
    </r>
  </si>
  <si>
    <t>LWT Calculation</t>
  </si>
  <si>
    <t>1. Berat Baja Kapal (Wst)</t>
  </si>
  <si>
    <t>Perhitungan berat baja kapal berdasarkan formula dari Watson, RINA (Practical Ship Design, DGM Watson) :</t>
  </si>
  <si>
    <t>E (Llyod's equipment num)</t>
  </si>
  <si>
    <r>
      <t>L</t>
    </r>
    <r>
      <rPr>
        <vertAlign val="subscript"/>
        <sz val="11"/>
        <color theme="1"/>
        <rFont val="Calibri"/>
        <family val="2"/>
        <scheme val="minor"/>
      </rPr>
      <t>1</t>
    </r>
  </si>
  <si>
    <t>= panjang forcastle deck</t>
  </si>
  <si>
    <r>
      <t>h</t>
    </r>
    <r>
      <rPr>
        <vertAlign val="subscript"/>
        <sz val="11"/>
        <color theme="1"/>
        <rFont val="Calibri"/>
        <family val="2"/>
        <scheme val="minor"/>
      </rPr>
      <t>1</t>
    </r>
  </si>
  <si>
    <t>= tinggi forcastle</t>
  </si>
  <si>
    <r>
      <t>L</t>
    </r>
    <r>
      <rPr>
        <vertAlign val="subscript"/>
        <sz val="11"/>
        <color theme="1"/>
        <rFont val="Calibri"/>
        <family val="2"/>
        <scheme val="minor"/>
      </rPr>
      <t>2</t>
    </r>
  </si>
  <si>
    <t>= panjang poopdeck</t>
  </si>
  <si>
    <r>
      <t>h</t>
    </r>
    <r>
      <rPr>
        <vertAlign val="subscript"/>
        <sz val="11"/>
        <color theme="1"/>
        <rFont val="Calibri"/>
        <family val="2"/>
        <scheme val="minor"/>
      </rPr>
      <t>2</t>
    </r>
  </si>
  <si>
    <t>= tinggi bangunan atas</t>
  </si>
  <si>
    <t>(perkiraan)</t>
  </si>
  <si>
    <t>E</t>
  </si>
  <si>
    <t>112.49(19.6925+9.029)+0,85x112.49(11.033-9.029)+0,85((9.868x2.45)+0,75(12x21.7))</t>
  </si>
  <si>
    <t>Berat baja kapal(Wst)</t>
  </si>
  <si>
    <t xml:space="preserve">Wst </t>
  </si>
  <si>
    <r>
      <t xml:space="preserve"> K x E</t>
    </r>
    <r>
      <rPr>
        <vertAlign val="superscript"/>
        <sz val="11"/>
        <color theme="1"/>
        <rFont val="Calibri"/>
        <family val="2"/>
        <scheme val="minor"/>
      </rPr>
      <t>1,36</t>
    </r>
  </si>
  <si>
    <t>Dimana nilai K  didapat dari Tabel yang terdapat pada buku practical ship design hal 85.</t>
  </si>
  <si>
    <t>K</t>
  </si>
  <si>
    <t>0,032 ± 0,003</t>
  </si>
  <si>
    <t xml:space="preserve">2. Berat Outfit dan Akomodasi (Woa) </t>
  </si>
  <si>
    <r>
      <t>W</t>
    </r>
    <r>
      <rPr>
        <vertAlign val="subscript"/>
        <sz val="11"/>
        <color theme="1"/>
        <rFont val="Calibri"/>
        <family val="2"/>
        <scheme val="minor"/>
      </rPr>
      <t>OA</t>
    </r>
    <r>
      <rPr>
        <sz val="11"/>
        <color theme="1"/>
        <rFont val="Calibri"/>
        <family val="2"/>
        <scheme val="minor"/>
      </rPr>
      <t xml:space="preserve"> </t>
    </r>
  </si>
  <si>
    <t>0,4 x Lpp x B</t>
  </si>
  <si>
    <t>3. Berat Instalasi Permesinan (Wmt)</t>
  </si>
  <si>
    <r>
      <t>0,72 x MCR</t>
    </r>
    <r>
      <rPr>
        <vertAlign val="superscript"/>
        <sz val="11"/>
        <color theme="1"/>
        <rFont val="Calibri"/>
        <family val="2"/>
        <scheme val="minor"/>
      </rPr>
      <t xml:space="preserve"> 0,78</t>
    </r>
  </si>
  <si>
    <r>
      <t>,dimana BHP</t>
    </r>
    <r>
      <rPr>
        <vertAlign val="subscript"/>
        <sz val="11"/>
        <color theme="1"/>
        <rFont val="Calibri"/>
        <family val="2"/>
        <scheme val="minor"/>
      </rPr>
      <t xml:space="preserve"> MCR</t>
    </r>
    <r>
      <rPr>
        <sz val="11"/>
        <color theme="1"/>
        <rFont val="Calibri"/>
        <family val="2"/>
        <scheme val="minor"/>
      </rPr>
      <t xml:space="preserve"> =</t>
    </r>
  </si>
  <si>
    <t>4. Berat Cadangan (Wres)</t>
  </si>
  <si>
    <t>Untuk menghindari kesalahan pada perencanaan akibat perkiraan yang kurang tepat dalam hal perhitungan serta hal-hal yang sebelumnya belum dimasukkan dalam perhitungan, maka perlu faktor penambahan berat (2 - 3) % LWT, diambil angka penambahan sebesar 3%.</t>
  </si>
  <si>
    <t xml:space="preserve">WRes </t>
  </si>
  <si>
    <t>3% (Wst+WOA+Wmt)</t>
  </si>
  <si>
    <t>Maka LWT :</t>
  </si>
  <si>
    <t>Berat Air Ballast</t>
  </si>
  <si>
    <t>Berat air Ballast diestimasikan 10-20% dari berat displacement kapal, pada desain ini diambil 20% dari berat displacement Kapal.</t>
  </si>
  <si>
    <t>Δ</t>
  </si>
  <si>
    <r>
      <t>W</t>
    </r>
    <r>
      <rPr>
        <sz val="8"/>
        <color theme="1"/>
        <rFont val="Calibri"/>
        <family val="2"/>
        <scheme val="minor"/>
      </rPr>
      <t>ballast</t>
    </r>
  </si>
  <si>
    <t>20% x Δ</t>
  </si>
  <si>
    <t>V(Wballast)</t>
  </si>
  <si>
    <t>Wballast/ ρ air laut</t>
  </si>
  <si>
    <t>ρ air laut</t>
  </si>
  <si>
    <t>Koreksi c untuk penambahan volume air ballast karena konstruksi tangki pada double bottom dan pemanasan sebesar 4% V(Wballast)</t>
  </si>
  <si>
    <t>V(Wballast) + (4% V(Wballast))</t>
  </si>
  <si>
    <t>Perhitungan DWT</t>
  </si>
  <si>
    <t>Berat Displacement (Δ) - LWT</t>
  </si>
  <si>
    <t>Perhitungan Payload</t>
  </si>
  <si>
    <t>Payload</t>
  </si>
  <si>
    <t>DWT-Wt</t>
  </si>
  <si>
    <t>Perhitungan Sarat Air Kapal Tanpa Muatan (Sarat Kosong)</t>
  </si>
  <si>
    <t>Perhitungan Sarat Air Kapal Tanpa Muatan</t>
  </si>
  <si>
    <r>
      <t>W</t>
    </r>
    <r>
      <rPr>
        <sz val="9"/>
        <color theme="1"/>
        <rFont val="Calibri"/>
        <family val="2"/>
        <scheme val="minor"/>
      </rPr>
      <t>sarat kosong</t>
    </r>
  </si>
  <si>
    <t xml:space="preserve"> ΔLWT+WT+Wballast</t>
  </si>
  <si>
    <t xml:space="preserve"> ΔLWT+WT</t>
  </si>
  <si>
    <t>Dari Perhitungan Kurva Bonjean saat Desain I maka didapatkan :</t>
  </si>
  <si>
    <t>Sarat (WL)</t>
  </si>
  <si>
    <t>Volume Disp (m3)</t>
  </si>
  <si>
    <t>Berat Disp (ton)</t>
  </si>
  <si>
    <t>Sarat</t>
  </si>
  <si>
    <t>Berat Disp</t>
  </si>
  <si>
    <t>Volume Displacement x ρ</t>
  </si>
  <si>
    <t>9.05 (T)</t>
  </si>
  <si>
    <t>Berat sarat kosong terdapat di antara Sarat 4 - 5 m, sehingga dilakukan interpolasi :</t>
  </si>
  <si>
    <t>T(m)</t>
  </si>
  <si>
    <t>Δ(Ton)</t>
  </si>
  <si>
    <t>y</t>
  </si>
  <si>
    <t>Tx</t>
  </si>
  <si>
    <t>BHPmcr</t>
  </si>
  <si>
    <t>Jarak Pulang-Pergi</t>
  </si>
  <si>
    <t>nautical miles</t>
  </si>
  <si>
    <t>Volume HFO Settling Tank</t>
  </si>
  <si>
    <t>W =</t>
  </si>
  <si>
    <t>Vol =</t>
  </si>
  <si>
    <t>Volume HFO Service Tank</t>
  </si>
  <si>
    <t>W=</t>
  </si>
  <si>
    <t>Vol=</t>
  </si>
  <si>
    <t>8 jam</t>
  </si>
  <si>
    <t>24 jam</t>
  </si>
  <si>
    <t>Engine room bulkhead ke cargo bulkhead</t>
  </si>
  <si>
    <t>Ballast Double Bottom</t>
  </si>
  <si>
    <t>Tank 1</t>
  </si>
  <si>
    <t>Tank 2</t>
  </si>
  <si>
    <t>Tank 3</t>
  </si>
  <si>
    <t>Tank 4</t>
  </si>
  <si>
    <t>Tank 5</t>
  </si>
  <si>
    <t>Tank 6</t>
  </si>
  <si>
    <t>Tank 7</t>
  </si>
  <si>
    <t>Total Double Bottom</t>
  </si>
  <si>
    <t>Total Wing Tank</t>
  </si>
  <si>
    <t>Cargo Tank</t>
  </si>
  <si>
    <t>Total Ballast</t>
  </si>
  <si>
    <t>TOTAL</t>
  </si>
  <si>
    <t>SLOP TANK</t>
  </si>
  <si>
    <t>HFO BUNKER TANK</t>
  </si>
  <si>
    <t>MDO Service</t>
  </si>
  <si>
    <t>MDO Storage</t>
  </si>
  <si>
    <t>LO Tank</t>
  </si>
  <si>
    <t>Fresh Water Tank</t>
  </si>
  <si>
    <t>Sludge Tank</t>
  </si>
  <si>
    <t>Oily Bilge Tank</t>
  </si>
  <si>
    <t>Sewage</t>
  </si>
  <si>
    <t>Sea Chest</t>
  </si>
  <si>
    <t>SEA CHEST</t>
  </si>
  <si>
    <t>&gt;</t>
  </si>
  <si>
    <t>SLUDGE TANK</t>
  </si>
  <si>
    <t>SEWAGE TANK</t>
  </si>
  <si>
    <t>OILY BILGE TANK</t>
  </si>
  <si>
    <t>MDO STORAGE TANK</t>
  </si>
  <si>
    <t>X</t>
  </si>
  <si>
    <t>TANK 1 P&amp;S</t>
  </si>
  <si>
    <t>TANK 2 P&amp;S</t>
  </si>
  <si>
    <t>TANK 4 P&amp;S</t>
  </si>
  <si>
    <t>TANK 5 P&amp;S</t>
  </si>
  <si>
    <t>TANK 6 P&amp;S</t>
  </si>
  <si>
    <t>TANK 7 P&amp;S</t>
  </si>
  <si>
    <t>TANK 3 P&amp;S</t>
  </si>
  <si>
    <t xml:space="preserve">TOTAL </t>
  </si>
  <si>
    <t>TOTAL VOLUME CAPACITY</t>
  </si>
  <si>
    <t>with a transverse bulkhead of at least 6 if the  engine room is</t>
  </si>
  <si>
    <t>Anchor Plan, Anchor Chain, and Mooring System</t>
  </si>
  <si>
    <t>A. Anchor Calculation</t>
  </si>
  <si>
    <t>1. Equipment Number</t>
  </si>
  <si>
    <t>(based on measurement on autocad)</t>
  </si>
  <si>
    <t>Eq. N</t>
  </si>
  <si>
    <t xml:space="preserve">From the table above, the ship will use anchor, chain, and rope as following : </t>
  </si>
  <si>
    <t>a. Anchor</t>
  </si>
  <si>
    <t>Brand</t>
  </si>
  <si>
    <t>AC-14 Stockless HHP Anchor</t>
  </si>
  <si>
    <t>Mass Req.</t>
  </si>
  <si>
    <t>lb</t>
  </si>
  <si>
    <t>Mass</t>
  </si>
  <si>
    <t>b. Chain</t>
  </si>
  <si>
    <t>Diameter</t>
  </si>
  <si>
    <t>L Min</t>
  </si>
  <si>
    <t>Break Load</t>
  </si>
  <si>
    <t>kN</t>
  </si>
  <si>
    <t>L min</t>
  </si>
  <si>
    <t>2. Chain Locker</t>
  </si>
  <si>
    <t>Based on GL Hull i-1-1 Section 18: E. Chain Locker, the minimum required stowage capacity without mudbox for the two bow anchor chains is as follow :</t>
  </si>
  <si>
    <t>a. Volume of chain locker</t>
  </si>
  <si>
    <t>d</t>
  </si>
  <si>
    <t>Chain diameter</t>
  </si>
  <si>
    <t>(mm)</t>
  </si>
  <si>
    <t>l</t>
  </si>
  <si>
    <t>Chain Length</t>
  </si>
  <si>
    <t>(m)</t>
  </si>
  <si>
    <t>b. Minimum Base Area Calculation</t>
  </si>
  <si>
    <t>Calulate minimum base area of chain locker and mud box :</t>
  </si>
  <si>
    <t>In this design, the chain locker will have dimension of :</t>
  </si>
  <si>
    <t>For two bow anchor, the total volume of  chain lockers are :</t>
  </si>
  <si>
    <t>Total Vol</t>
  </si>
  <si>
    <t>the bottom side there is addition for mud box with heigth of 700 mm and addition 300 mm for cement</t>
  </si>
  <si>
    <t>And for mud box with 700 mm heigth is :</t>
  </si>
  <si>
    <t>3. Windlass Pulling Force:</t>
  </si>
  <si>
    <t>Pulling Force for one Anchor determined by the following data :</t>
  </si>
  <si>
    <t>a. Anchor Weight (Ga)</t>
  </si>
  <si>
    <t>Ga</t>
  </si>
  <si>
    <t>b. Chain block diameter(dc)</t>
  </si>
  <si>
    <t>(based on DNV GL - RU SHIP - Part 3 Chapter 11 Section 1: 6.3 Mechanical Design)</t>
  </si>
  <si>
    <t>So, windlass pulling force :</t>
  </si>
  <si>
    <t>Z</t>
  </si>
  <si>
    <t>N</t>
  </si>
  <si>
    <t>(Z+50%)</t>
  </si>
  <si>
    <t>MORDEC</t>
  </si>
  <si>
    <t>Duty Pull</t>
  </si>
  <si>
    <t>m/minutes</t>
  </si>
  <si>
    <t>E. Motor</t>
  </si>
  <si>
    <t>B. Steering Gear</t>
  </si>
  <si>
    <t>1. Steering Gear Equipment</t>
  </si>
  <si>
    <t>a. rudder area :</t>
  </si>
  <si>
    <t>Dimana :</t>
  </si>
  <si>
    <t>C1</t>
  </si>
  <si>
    <t>factor for the ship type:</t>
  </si>
  <si>
    <t xml:space="preserve">1.0 in generals </t>
  </si>
  <si>
    <t>0.9 for bulk carriers and tankers having a displacement of more than 50 000 ton</t>
  </si>
  <si>
    <t xml:space="preserve">1.7 for tugs and trawlers </t>
  </si>
  <si>
    <t>C2</t>
  </si>
  <si>
    <t>factor for the rudder type</t>
  </si>
  <si>
    <t>1.0 in general</t>
  </si>
  <si>
    <t>0.9 for semi-spade rudders</t>
  </si>
  <si>
    <t>0.7 for high lift rudders</t>
  </si>
  <si>
    <t>C3</t>
  </si>
  <si>
    <t>factor for the rudder profile :</t>
  </si>
  <si>
    <t>1.0 for NACA-profiles and plate rudder</t>
  </si>
  <si>
    <t>0.8 for hollow profiles and mix profiles</t>
  </si>
  <si>
    <t>C4</t>
  </si>
  <si>
    <t>factor for the rudder arrangement</t>
  </si>
  <si>
    <t>1.0 for rudders in the propeller jet</t>
  </si>
  <si>
    <t>1.5 for rudders outside the propeller jet</t>
  </si>
  <si>
    <t>Choosen Value</t>
  </si>
  <si>
    <t xml:space="preserve">1*1*1*1 </t>
  </si>
  <si>
    <t>(1.75*</t>
  </si>
  <si>
    <t>*</t>
  </si>
  <si>
    <t>/</t>
  </si>
  <si>
    <t>100)</t>
  </si>
  <si>
    <t>b. Dimension of Rudder</t>
  </si>
  <si>
    <t>Rudder Area (on Autocad)</t>
  </si>
  <si>
    <t>c. Determine Force Acting on Rudder</t>
  </si>
  <si>
    <t>So, based on the description above, the value of each variable is</t>
  </si>
  <si>
    <t>So, the Cr Value is</t>
  </si>
  <si>
    <t>d. Determine Torque Acting on Rudder</t>
  </si>
  <si>
    <t>r</t>
  </si>
  <si>
    <t>c x (α - k)</t>
  </si>
  <si>
    <t>α</t>
  </si>
  <si>
    <t>ahead condition</t>
  </si>
  <si>
    <t>astern condition (general)</t>
  </si>
  <si>
    <t>Af/A</t>
  </si>
  <si>
    <t>Nm</t>
  </si>
  <si>
    <t>e. Diameter rudder stock</t>
  </si>
  <si>
    <t>Kr</t>
  </si>
  <si>
    <t>So the diameter of rudder stock is</t>
  </si>
  <si>
    <t>g. Steering Gear Selection</t>
  </si>
  <si>
    <t>Max Torque</t>
  </si>
  <si>
    <t>kNm</t>
  </si>
  <si>
    <t>Rudder Angle</t>
  </si>
  <si>
    <t>degree</t>
  </si>
  <si>
    <t>2 x 12.2 KWh</t>
  </si>
  <si>
    <t>C. Calculation of Construction and Machineries</t>
  </si>
  <si>
    <t>1. Ship Steel Weight (construction weight)</t>
  </si>
  <si>
    <t>K x E1.36</t>
  </si>
  <si>
    <t>(from Doc 3)</t>
  </si>
  <si>
    <t>(from Doc 2)</t>
  </si>
  <si>
    <t>3%(Wst+WOA+Wmt)</t>
  </si>
  <si>
    <t>D. Crane Selection</t>
  </si>
  <si>
    <t>1. Provision &amp; Spare Part Crane</t>
  </si>
  <si>
    <t>Days</t>
  </si>
  <si>
    <t>Provision</t>
  </si>
  <si>
    <t>/Person</t>
  </si>
  <si>
    <t>Food</t>
  </si>
  <si>
    <t>The Safety Weight Load is considering the heaviest item that will be lifted. Assuming the crane will lift all Provision together. Also Assume that the heaviest item that will be lifted from the engine is the cylinder head, which is under 1 ton</t>
  </si>
  <si>
    <t>So, crane with 1 Ton SWL is will be enough</t>
  </si>
  <si>
    <t>Crane Selected :</t>
  </si>
  <si>
    <t>HPC-01-08</t>
  </si>
  <si>
    <t>SWL</t>
  </si>
  <si>
    <t>Radius</t>
  </si>
  <si>
    <t>max 8 m and min 1.8 m</t>
  </si>
  <si>
    <t>Hoist Speed</t>
  </si>
  <si>
    <t>Slewing Sp.</t>
  </si>
  <si>
    <t>2. Hose Handling Crane</t>
  </si>
  <si>
    <t>Crane for hose handling, provision and another spareparts</t>
  </si>
  <si>
    <t>Crane Seletcted :</t>
  </si>
  <si>
    <t>HPC-02-18</t>
  </si>
  <si>
    <t>max 18 m and min 3.6 m</t>
  </si>
  <si>
    <t>for HHP, min 75 % of recommended mass</t>
  </si>
  <si>
    <t>(Grade 1)</t>
  </si>
  <si>
    <t>(Grade 2)</t>
  </si>
  <si>
    <t>(Grade 3)</t>
  </si>
  <si>
    <t>c. Windlass Pulling Force</t>
  </si>
  <si>
    <t>d. Windlass Selection</t>
  </si>
  <si>
    <t>(based on ABS Rules Part 3 Chapter 2 section 14)</t>
  </si>
  <si>
    <t>Based Van Lamerens "Resistance, propulsion and steering of the ship" for leaf rudder on vessels with a single propeller has an area in front of the steering axis of the shaft leaves (balansir) less than 23% of A.</t>
  </si>
  <si>
    <t>kR</t>
  </si>
  <si>
    <t>(b^2/At+2)/3</t>
  </si>
  <si>
    <t>kc</t>
  </si>
  <si>
    <t>kl</t>
  </si>
  <si>
    <t>k</t>
  </si>
  <si>
    <t>Af</t>
  </si>
  <si>
    <t>(235/400) ^ 0.75</t>
  </si>
  <si>
    <t>From the data, will be used LMS Product WDEG Windlass with specification table on attachment IX specification of equipments</t>
  </si>
  <si>
    <t>YS Marines</t>
  </si>
  <si>
    <t>https://www.ysmarines.com/products/detail/ac-14-high-holding-power-hhp-anchor.html#:~:text=AC%2D14%20High%20Holding%20Power(HHP)%20Anchor,-AC%2D14%20anchor&amp;text=The%20lighter%20weight%20which%20is,ships%2C%20car%20carries%20and%20supertankers.</t>
  </si>
  <si>
    <t>Sumber Anchor</t>
  </si>
  <si>
    <t>d. Hawser</t>
  </si>
  <si>
    <t>c. Towline</t>
  </si>
  <si>
    <t>Rolls Royce</t>
  </si>
  <si>
    <t>2 X 72</t>
  </si>
  <si>
    <t>SR 723</t>
  </si>
  <si>
    <t>WDEG</t>
  </si>
  <si>
    <t>LOADING- UNLOADING SYSTEM BASED ON CARGO AND HATCH COVER</t>
  </si>
  <si>
    <t>A. CARGO OIL SYSTEM</t>
  </si>
  <si>
    <t>Estimated Time for Loading/Unloading :</t>
  </si>
  <si>
    <t>Q</t>
  </si>
  <si>
    <t xml:space="preserve">  = </t>
  </si>
  <si>
    <t>Vcargo</t>
  </si>
  <si>
    <t>m3/hour</t>
  </si>
  <si>
    <t>m3/s</t>
  </si>
  <si>
    <t>2. Diameter of Cargo Oil Main Pipe</t>
  </si>
  <si>
    <t>Flow rate of water</t>
  </si>
  <si>
    <t>Av</t>
  </si>
  <si>
    <t>Q/v</t>
  </si>
  <si>
    <t>√((4Q)/(vπ))</t>
  </si>
  <si>
    <t>inch</t>
  </si>
  <si>
    <t>take D</t>
  </si>
  <si>
    <t>(based on table)</t>
  </si>
  <si>
    <t>Nominal Pipe Size</t>
  </si>
  <si>
    <t>:</t>
  </si>
  <si>
    <t>Outside Diameter</t>
  </si>
  <si>
    <t>Inside Diameter</t>
  </si>
  <si>
    <t>Thickness</t>
  </si>
  <si>
    <t>Material</t>
  </si>
  <si>
    <t>Standard</t>
  </si>
  <si>
    <t>3. Head of Cargo Oil Pump</t>
  </si>
  <si>
    <t>Hs + Hp + Hv + Total Headloss</t>
  </si>
  <si>
    <t>Hs</t>
  </si>
  <si>
    <t>from suction well to shore connection</t>
  </si>
  <si>
    <t>Z2-Z1</t>
  </si>
  <si>
    <t>Z2:</t>
  </si>
  <si>
    <t>Discharge</t>
  </si>
  <si>
    <t>Z1:</t>
  </si>
  <si>
    <t>Suction</t>
  </si>
  <si>
    <t>Hp</t>
  </si>
  <si>
    <r>
      <t>P</t>
    </r>
    <r>
      <rPr>
        <vertAlign val="subscript"/>
        <sz val="11"/>
        <color theme="1"/>
        <rFont val="Calibri"/>
        <family val="2"/>
        <scheme val="minor"/>
      </rPr>
      <t>discharge</t>
    </r>
    <r>
      <rPr>
        <sz val="11"/>
        <color theme="1"/>
        <rFont val="Calibri"/>
        <family val="2"/>
        <scheme val="minor"/>
      </rPr>
      <t>-P</t>
    </r>
    <r>
      <rPr>
        <vertAlign val="subscript"/>
        <sz val="11"/>
        <color theme="1"/>
        <rFont val="Calibri"/>
        <family val="2"/>
        <scheme val="minor"/>
      </rPr>
      <t>suction</t>
    </r>
  </si>
  <si>
    <t>ρg</t>
  </si>
  <si>
    <t>(pressure at discharge and suction are same)</t>
  </si>
  <si>
    <t>Hv</t>
  </si>
  <si>
    <r>
      <t>(v</t>
    </r>
    <r>
      <rPr>
        <vertAlign val="subscript"/>
        <sz val="11"/>
        <color theme="1"/>
        <rFont val="Calibri"/>
        <family val="2"/>
        <scheme val="minor"/>
      </rPr>
      <t>discharge</t>
    </r>
    <r>
      <rPr>
        <vertAlign val="superscript"/>
        <sz val="11"/>
        <color theme="1"/>
        <rFont val="Calibri"/>
        <family val="2"/>
        <scheme val="minor"/>
      </rPr>
      <t>2</t>
    </r>
    <r>
      <rPr>
        <sz val="11"/>
        <color theme="1"/>
        <rFont val="Calibri"/>
        <family val="2"/>
        <scheme val="minor"/>
      </rPr>
      <t>-v</t>
    </r>
    <r>
      <rPr>
        <vertAlign val="subscript"/>
        <sz val="11"/>
        <color theme="1"/>
        <rFont val="Calibri"/>
        <family val="2"/>
        <scheme val="minor"/>
      </rPr>
      <t>suction</t>
    </r>
    <r>
      <rPr>
        <vertAlign val="superscript"/>
        <sz val="11"/>
        <color theme="1"/>
        <rFont val="Calibri"/>
        <family val="2"/>
        <scheme val="minor"/>
      </rPr>
      <t>2</t>
    </r>
    <r>
      <rPr>
        <sz val="11"/>
        <color theme="1"/>
        <rFont val="Calibri"/>
        <family val="2"/>
        <scheme val="minor"/>
      </rPr>
      <t>)</t>
    </r>
  </si>
  <si>
    <t>2g</t>
  </si>
  <si>
    <t>(flow rate ate discharge and suction are same)</t>
  </si>
  <si>
    <t>Total Headloss</t>
  </si>
  <si>
    <t>Suction Side</t>
  </si>
  <si>
    <t>Headloss Major</t>
  </si>
  <si>
    <t>Viscosity Crude Oil of 22,3 API at</t>
  </si>
  <si>
    <t>D*v</t>
  </si>
  <si>
    <r>
      <t>40</t>
    </r>
    <r>
      <rPr>
        <vertAlign val="superscript"/>
        <sz val="11"/>
        <color theme="1"/>
        <rFont val="Calibri"/>
        <family val="2"/>
        <scheme val="minor"/>
      </rPr>
      <t>o</t>
    </r>
    <r>
      <rPr>
        <sz val="11"/>
        <color theme="1"/>
        <rFont val="Calibri"/>
        <family val="2"/>
        <scheme val="minor"/>
      </rPr>
      <t>C</t>
    </r>
  </si>
  <si>
    <t>is</t>
  </si>
  <si>
    <t>m2/s</t>
  </si>
  <si>
    <t>Viscosity</t>
  </si>
  <si>
    <t>cs</t>
  </si>
  <si>
    <t>Material coefficient.</t>
  </si>
  <si>
    <t>Carbon steel, so the material</t>
  </si>
  <si>
    <t>coefficient is</t>
  </si>
  <si>
    <t xml:space="preserve">Relative Roughness </t>
  </si>
  <si>
    <t xml:space="preserve">After getting the relative roughness and reynolds number, we can get the </t>
  </si>
  <si>
    <t>friction losses (f) by seeing the moody diagram.</t>
  </si>
  <si>
    <t>Friction losses (f)</t>
  </si>
  <si>
    <t>f</t>
  </si>
  <si>
    <t>Hlmajor</t>
  </si>
  <si>
    <t>f*L*v2/(D*2g)</t>
  </si>
  <si>
    <t>where:</t>
  </si>
  <si>
    <t>L:</t>
  </si>
  <si>
    <t>Suction side length</t>
  </si>
  <si>
    <t>V:</t>
  </si>
  <si>
    <t>flow rate</t>
  </si>
  <si>
    <t>Headloss Minor</t>
  </si>
  <si>
    <t>Accesories</t>
  </si>
  <si>
    <t>n*k</t>
  </si>
  <si>
    <t>Globe Valve</t>
  </si>
  <si>
    <t>Elbow 90</t>
  </si>
  <si>
    <t>Strainer</t>
  </si>
  <si>
    <t>T Joint</t>
  </si>
  <si>
    <t>Σn*k</t>
  </si>
  <si>
    <t>Hlminor</t>
  </si>
  <si>
    <r>
      <t>(Σn*k)*v</t>
    </r>
    <r>
      <rPr>
        <vertAlign val="superscript"/>
        <sz val="11"/>
        <color theme="1"/>
        <rFont val="Calibri"/>
        <family val="2"/>
        <scheme val="minor"/>
      </rPr>
      <t>2</t>
    </r>
    <r>
      <rPr>
        <sz val="11"/>
        <color theme="1"/>
        <rFont val="Calibri"/>
        <family val="2"/>
        <scheme val="minor"/>
      </rPr>
      <t>/2g</t>
    </r>
  </si>
  <si>
    <t>Discharge Side</t>
  </si>
  <si>
    <t>Turbulent</t>
  </si>
  <si>
    <t>Rn&gt;2300</t>
  </si>
  <si>
    <t>Discharge Length</t>
  </si>
  <si>
    <t>Total System Head</t>
  </si>
  <si>
    <t>ASME B36.19M-1985</t>
  </si>
  <si>
    <t>Stainless Steel</t>
  </si>
  <si>
    <t>1. Cargo Oil Main Pump Capacity</t>
  </si>
  <si>
    <t>2%*Vcargo</t>
  </si>
  <si>
    <t>Rn&gt;3500</t>
  </si>
  <si>
    <t>Rn&gt;35000</t>
  </si>
  <si>
    <t>stainless steel pipe ASME B36.19M-1985</t>
  </si>
  <si>
    <t>4. Cargo Oil Stripping Pump Capacity</t>
  </si>
  <si>
    <t>5. Diameter of Cargo Oil Main Pipe</t>
  </si>
  <si>
    <t>6. Head of Cargo Oil Pump</t>
  </si>
  <si>
    <t>1. SLOP Tank</t>
  </si>
  <si>
    <t>2. LO tank</t>
  </si>
  <si>
    <t>3. Fresh Water Tank</t>
  </si>
  <si>
    <t>4. Sludge Tank</t>
  </si>
  <si>
    <t xml:space="preserve">5. Sewage Tank </t>
  </si>
  <si>
    <t>6. Bilge Tank</t>
  </si>
  <si>
    <t>7. Sea Chest Tank</t>
  </si>
  <si>
    <t>m/v</t>
  </si>
  <si>
    <t>page</t>
  </si>
  <si>
    <t>Vs + 3</t>
  </si>
  <si>
    <t>Vs + 2</t>
  </si>
  <si>
    <t>Vs + 4</t>
  </si>
  <si>
    <t>Singapore (Pulau Bukom) - Tokyo</t>
  </si>
  <si>
    <t>the density of MDO</t>
  </si>
  <si>
    <t xml:space="preserve"> ton/m3</t>
  </si>
  <si>
    <t>BHPmcr * SFOC * (S/Vs) * 10^-6 * C</t>
  </si>
  <si>
    <r>
      <t>m</t>
    </r>
    <r>
      <rPr>
        <vertAlign val="superscript"/>
        <sz val="11"/>
        <rFont val="Consolas"/>
        <family val="3"/>
      </rPr>
      <t>3</t>
    </r>
  </si>
  <si>
    <r>
      <t>BHP</t>
    </r>
    <r>
      <rPr>
        <vertAlign val="subscript"/>
        <sz val="12"/>
        <rFont val="Consolas"/>
        <family val="3"/>
      </rPr>
      <t>ME</t>
    </r>
    <r>
      <rPr>
        <sz val="12"/>
        <rFont val="Consolas"/>
        <family val="3"/>
      </rPr>
      <t xml:space="preserve"> =</t>
    </r>
  </si>
  <si>
    <r>
      <t>b</t>
    </r>
    <r>
      <rPr>
        <vertAlign val="subscript"/>
        <sz val="12"/>
        <rFont val="Consolas"/>
        <family val="3"/>
      </rPr>
      <t>ME</t>
    </r>
    <r>
      <rPr>
        <sz val="12"/>
        <rFont val="Consolas"/>
        <family val="3"/>
      </rPr>
      <t xml:space="preserve"> =</t>
    </r>
  </si>
  <si>
    <r>
      <t>b</t>
    </r>
    <r>
      <rPr>
        <vertAlign val="subscript"/>
        <sz val="12"/>
        <rFont val="Consolas"/>
        <family val="3"/>
      </rPr>
      <t>LO</t>
    </r>
    <r>
      <rPr>
        <sz val="12"/>
        <rFont val="Consolas"/>
        <family val="3"/>
      </rPr>
      <t xml:space="preserve"> =</t>
    </r>
  </si>
  <si>
    <r>
      <t>W</t>
    </r>
    <r>
      <rPr>
        <vertAlign val="subscript"/>
        <sz val="10"/>
        <rFont val="Consolas"/>
        <family val="3"/>
      </rPr>
      <t>MDO</t>
    </r>
    <r>
      <rPr>
        <sz val="10"/>
        <rFont val="Consolas"/>
        <family val="3"/>
      </rPr>
      <t xml:space="preserve"> =  </t>
    </r>
  </si>
  <si>
    <r>
      <t>V</t>
    </r>
    <r>
      <rPr>
        <vertAlign val="subscript"/>
        <sz val="10"/>
        <rFont val="Consolas"/>
        <family val="3"/>
      </rPr>
      <t>MDO</t>
    </r>
    <r>
      <rPr>
        <sz val="10"/>
        <rFont val="Consolas"/>
        <family val="3"/>
      </rPr>
      <t xml:space="preserve"> = </t>
    </r>
  </si>
  <si>
    <r>
      <t>W</t>
    </r>
    <r>
      <rPr>
        <vertAlign val="subscript"/>
        <sz val="10"/>
        <rFont val="Consolas"/>
        <family val="3"/>
      </rPr>
      <t>MDO</t>
    </r>
    <r>
      <rPr>
        <sz val="10"/>
        <rFont val="Consolas"/>
        <family val="3"/>
      </rPr>
      <t xml:space="preserve"> /  </t>
    </r>
  </si>
  <si>
    <r>
      <t>the density of MDO = 0.95 ton/m</t>
    </r>
    <r>
      <rPr>
        <vertAlign val="superscript"/>
        <sz val="10"/>
        <rFont val="Consolas"/>
        <family val="3"/>
      </rPr>
      <t>3</t>
    </r>
  </si>
  <si>
    <r>
      <t>the density of LO = 0.9 ton/m</t>
    </r>
    <r>
      <rPr>
        <vertAlign val="superscript"/>
        <sz val="10"/>
        <rFont val="Consolas"/>
        <family val="3"/>
      </rPr>
      <t>3</t>
    </r>
  </si>
  <si>
    <r>
      <t>V</t>
    </r>
    <r>
      <rPr>
        <vertAlign val="subscript"/>
        <sz val="10"/>
        <rFont val="Consolas"/>
        <family val="3"/>
      </rPr>
      <t>LO</t>
    </r>
  </si>
  <si>
    <r>
      <t>V</t>
    </r>
    <r>
      <rPr>
        <vertAlign val="subscript"/>
        <sz val="10"/>
        <rFont val="Consolas"/>
        <family val="3"/>
      </rPr>
      <t>HLO</t>
    </r>
    <r>
      <rPr>
        <sz val="10"/>
        <rFont val="Consolas"/>
        <family val="3"/>
      </rPr>
      <t xml:space="preserve"> + 4% V</t>
    </r>
    <r>
      <rPr>
        <vertAlign val="subscript"/>
        <sz val="10"/>
        <rFont val="Consolas"/>
        <family val="3"/>
      </rPr>
      <t>HLO</t>
    </r>
  </si>
  <si>
    <r>
      <t>the density of FW = 1 ton/m</t>
    </r>
    <r>
      <rPr>
        <vertAlign val="superscript"/>
        <sz val="10"/>
        <rFont val="Consolas"/>
        <family val="3"/>
      </rPr>
      <t>3</t>
    </r>
  </si>
  <si>
    <r>
      <t>the density of DW = 1 ton/m</t>
    </r>
    <r>
      <rPr>
        <vertAlign val="superscript"/>
        <sz val="10"/>
        <rFont val="Consolas"/>
        <family val="3"/>
      </rPr>
      <t>3</t>
    </r>
  </si>
  <si>
    <t>m^3</t>
  </si>
  <si>
    <t>LWL * B * T * Cb</t>
  </si>
  <si>
    <t>L Main Deck</t>
  </si>
  <si>
    <t>Lmain * B * (H-T) * Cb</t>
  </si>
  <si>
    <t>GT is used for knowing the amount of crew, not only GT, but also the power of the ship is considered to calculate the amount of crew. Ship Main Engine power is 8400 KW</t>
  </si>
  <si>
    <t>The total number of crew in MV. Minyak  are</t>
  </si>
  <si>
    <t>crews</t>
  </si>
  <si>
    <t>Assume weight</t>
  </si>
  <si>
    <t>m^2</t>
  </si>
  <si>
    <t>BKI - Rule of additional equipment - 4. Hull Scantlings</t>
  </si>
  <si>
    <t>Table 2.1 Minimum net thickness of integratedtanks</t>
  </si>
  <si>
    <t>Strength deck</t>
  </si>
  <si>
    <t>4.4 + 0.016 * LPP * k^(0.5)</t>
  </si>
  <si>
    <t>Tank Bulkheads</t>
  </si>
  <si>
    <t>0.8 * LPP * k^(0.5) + 3.6 * s</t>
  </si>
  <si>
    <t>Watertight bulkhead</t>
  </si>
  <si>
    <t>Wash bulkhead</t>
  </si>
  <si>
    <t>0.68 * LPP^(1/3) * k^(0.5) + 3.6 * s</t>
  </si>
  <si>
    <t>0.64 + 0.011 * LPP * k^(0.5) + 3.6 * s</t>
  </si>
  <si>
    <t>4.2 Bottom and inner bottom structures 4.2.1 Minimum net thickness of web plating</t>
  </si>
  <si>
    <t>The net thickness [mm] of the web plating of ordinary stiffeners is to be not less than:</t>
  </si>
  <si>
    <t>for L&lt; 120 m</t>
  </si>
  <si>
    <t>for L ≥ 120 m</t>
  </si>
  <si>
    <t>t = 3.9 * k^(0.5) + s</t>
  </si>
  <si>
    <t>t = 1.63 + 0.004 * LPP * k^(0.5) + 4.5 * s</t>
  </si>
  <si>
    <t>The net thickness [mm] of the web plating of ordinary stiffeners of tankers type C and N is to be not less
than:</t>
  </si>
  <si>
    <t>Main deck</t>
  </si>
  <si>
    <t>0.25 * B</t>
  </si>
  <si>
    <t>Ss</t>
  </si>
  <si>
    <t>Deckhouse</t>
  </si>
  <si>
    <t>h3</t>
  </si>
  <si>
    <t>B/8</t>
  </si>
  <si>
    <t>A1</t>
  </si>
  <si>
    <t>==</t>
  </si>
  <si>
    <t>Area profile forecastle</t>
  </si>
  <si>
    <t>h4</t>
  </si>
  <si>
    <t>navigation deck</t>
  </si>
  <si>
    <t>Medicine</t>
  </si>
  <si>
    <r>
      <t>m</t>
    </r>
    <r>
      <rPr>
        <vertAlign val="superscript"/>
        <sz val="11"/>
        <rFont val="Consolas"/>
        <family val="3"/>
      </rPr>
      <t>2</t>
    </r>
  </si>
  <si>
    <r>
      <t>K * Δ</t>
    </r>
    <r>
      <rPr>
        <vertAlign val="superscript"/>
        <sz val="11"/>
        <rFont val="Consolas"/>
        <family val="3"/>
      </rPr>
      <t>2/3</t>
    </r>
    <r>
      <rPr>
        <sz val="11"/>
        <rFont val="Consolas"/>
        <family val="3"/>
      </rPr>
      <t xml:space="preserve"> + m * B * H + n * A</t>
    </r>
  </si>
  <si>
    <r>
      <t>1.1 * d</t>
    </r>
    <r>
      <rPr>
        <vertAlign val="superscript"/>
        <sz val="11"/>
        <rFont val="Consolas"/>
        <family val="3"/>
      </rPr>
      <t>2</t>
    </r>
    <r>
      <rPr>
        <sz val="11"/>
        <rFont val="Consolas"/>
        <family val="3"/>
      </rPr>
      <t xml:space="preserve"> * l / 10</t>
    </r>
    <r>
      <rPr>
        <vertAlign val="superscript"/>
        <sz val="11"/>
        <rFont val="Consolas"/>
        <family val="3"/>
      </rPr>
      <t>5</t>
    </r>
  </si>
  <si>
    <r>
      <t>( m</t>
    </r>
    <r>
      <rPr>
        <vertAlign val="superscript"/>
        <sz val="11"/>
        <rFont val="Consolas"/>
        <family val="3"/>
      </rPr>
      <t xml:space="preserve">3 </t>
    </r>
    <r>
      <rPr>
        <sz val="11"/>
        <rFont val="Consolas"/>
        <family val="3"/>
      </rPr>
      <t>)</t>
    </r>
  </si>
  <si>
    <r>
      <t>A</t>
    </r>
    <r>
      <rPr>
        <vertAlign val="subscript"/>
        <sz val="11"/>
        <rFont val="Consolas"/>
        <family val="3"/>
      </rPr>
      <t>min</t>
    </r>
  </si>
  <si>
    <r>
      <t>33 x dchain</t>
    </r>
    <r>
      <rPr>
        <vertAlign val="superscript"/>
        <sz val="11"/>
        <rFont val="Consolas"/>
        <family val="3"/>
      </rPr>
      <t>2</t>
    </r>
  </si>
  <si>
    <r>
      <t>37.5 * dc</t>
    </r>
    <r>
      <rPr>
        <vertAlign val="superscript"/>
        <sz val="11"/>
        <rFont val="Consolas"/>
        <family val="3"/>
      </rPr>
      <t>2</t>
    </r>
  </si>
  <si>
    <r>
      <t>Z</t>
    </r>
    <r>
      <rPr>
        <vertAlign val="subscript"/>
        <sz val="11"/>
        <rFont val="Consolas"/>
        <family val="3"/>
      </rPr>
      <t>max</t>
    </r>
  </si>
  <si>
    <r>
      <t>A</t>
    </r>
    <r>
      <rPr>
        <vertAlign val="subscript"/>
        <sz val="11"/>
        <rFont val="Consolas"/>
        <family val="3"/>
      </rPr>
      <t>f</t>
    </r>
  </si>
  <si>
    <r>
      <t>Vs</t>
    </r>
    <r>
      <rPr>
        <vertAlign val="superscript"/>
        <sz val="11"/>
        <rFont val="Consolas"/>
        <family val="3"/>
      </rPr>
      <t>2</t>
    </r>
  </si>
  <si>
    <r>
      <t>(13)</t>
    </r>
    <r>
      <rPr>
        <vertAlign val="superscript"/>
        <sz val="11"/>
        <rFont val="Consolas"/>
        <family val="3"/>
      </rPr>
      <t>2</t>
    </r>
  </si>
  <si>
    <r>
      <t>C</t>
    </r>
    <r>
      <rPr>
        <vertAlign val="subscript"/>
        <sz val="10"/>
        <rFont val="Consolas"/>
        <family val="3"/>
      </rPr>
      <t>R</t>
    </r>
  </si>
  <si>
    <r>
      <t>0.132 x A x (Vs)</t>
    </r>
    <r>
      <rPr>
        <vertAlign val="superscript"/>
        <sz val="10"/>
        <rFont val="Consolas"/>
        <family val="3"/>
      </rPr>
      <t xml:space="preserve">2 </t>
    </r>
    <r>
      <rPr>
        <sz val="10"/>
        <rFont val="Consolas"/>
        <family val="3"/>
      </rPr>
      <t>x kr x kc x kl</t>
    </r>
  </si>
  <si>
    <r>
      <t>Q</t>
    </r>
    <r>
      <rPr>
        <vertAlign val="subscript"/>
        <sz val="10"/>
        <rFont val="Consolas"/>
        <family val="3"/>
      </rPr>
      <t>R</t>
    </r>
  </si>
  <si>
    <r>
      <t>Material used is S40C with strength of 550 N/mm</t>
    </r>
    <r>
      <rPr>
        <vertAlign val="superscript"/>
        <sz val="11"/>
        <rFont val="Consolas"/>
        <family val="3"/>
      </rPr>
      <t>2</t>
    </r>
  </si>
  <si>
    <r>
      <t>42 x (Q</t>
    </r>
    <r>
      <rPr>
        <sz val="8"/>
        <rFont val="Consolas"/>
        <family val="3"/>
      </rPr>
      <t xml:space="preserve">R </t>
    </r>
    <r>
      <rPr>
        <sz val="10"/>
        <rFont val="Consolas"/>
        <family val="3"/>
      </rPr>
      <t>x k)^1/3</t>
    </r>
  </si>
  <si>
    <r>
      <t>0.72 x MCR</t>
    </r>
    <r>
      <rPr>
        <vertAlign val="superscript"/>
        <sz val="11"/>
        <rFont val="Consolas"/>
        <family val="3"/>
      </rPr>
      <t xml:space="preserve"> 0.78</t>
    </r>
  </si>
  <si>
    <r>
      <t>C</t>
    </r>
    <r>
      <rPr>
        <vertAlign val="subscript"/>
        <sz val="11"/>
        <rFont val="Consolas"/>
        <family val="3"/>
      </rPr>
      <t>1</t>
    </r>
    <r>
      <rPr>
        <sz val="11"/>
        <rFont val="Consolas"/>
        <family val="3"/>
      </rPr>
      <t>C</t>
    </r>
    <r>
      <rPr>
        <vertAlign val="subscript"/>
        <sz val="11"/>
        <rFont val="Consolas"/>
        <family val="3"/>
      </rPr>
      <t>2</t>
    </r>
    <r>
      <rPr>
        <sz val="11"/>
        <rFont val="Consolas"/>
        <family val="3"/>
      </rPr>
      <t>C</t>
    </r>
    <r>
      <rPr>
        <vertAlign val="subscript"/>
        <sz val="11"/>
        <rFont val="Consolas"/>
        <family val="3"/>
      </rPr>
      <t>3</t>
    </r>
    <r>
      <rPr>
        <sz val="11"/>
        <rFont val="Consolas"/>
        <family val="3"/>
      </rPr>
      <t>C</t>
    </r>
    <r>
      <rPr>
        <vertAlign val="subscript"/>
        <sz val="11"/>
        <rFont val="Consolas"/>
        <family val="3"/>
      </rPr>
      <t>4</t>
    </r>
    <r>
      <rPr>
        <sz val="11"/>
        <rFont val="Consolas"/>
        <family val="3"/>
      </rPr>
      <t xml:space="preserve"> (1.75 * L * T /100)</t>
    </r>
  </si>
  <si>
    <t>0.20 *</t>
  </si>
  <si>
    <t>Min. Base Area *  Mud Box 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</si>
</sst>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0.000"/>
    <numFmt numFmtId="166" formatCode="0.000000000"/>
    <numFmt numFmtId="167" formatCode="0.0000000"/>
    <numFmt numFmtId="168" formatCode="0.000"/>
    <numFmt numFmtId="169" formatCode="0.0"/>
    <numFmt numFmtId="170" formatCode="0.000000"/>
    <numFmt numFmtId="171" formatCode="0.00000000"/>
    <numFmt numFmtId="172" formatCode="0.0000"/>
    <numFmt numFmtId="173" formatCode="0.0000E+00"/>
    <numFmt numFmtId="174" formatCode="0.00000"/>
    <numFmt numFmtId="175" formatCode="#,##0.00000"/>
    <numFmt numFmtId="176" formatCode="#,##0.0000"/>
    <numFmt numFmtId="177" formatCode="0.0%"/>
  </numFmts>
  <fonts count="89">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color theme="0"/>
      <name val="Calibri"/>
      <family val="2"/>
      <scheme val="minor"/>
    </font>
    <font>
      <sz val="12"/>
      <name val="Calibri"/>
      <family val="2"/>
      <scheme val="minor"/>
    </font>
    <font>
      <vertAlign val="subscript"/>
      <sz val="11"/>
      <color theme="1"/>
      <name val="Calibri"/>
      <family val="2"/>
      <scheme val="minor"/>
    </font>
    <font>
      <vertAlign val="superscript"/>
      <sz val="11"/>
      <color theme="1"/>
      <name val="Calibri"/>
      <family val="2"/>
      <scheme val="minor"/>
    </font>
    <font>
      <sz val="12"/>
      <color rgb="FF006100"/>
      <name val="Calibri"/>
      <family val="2"/>
      <scheme val="minor"/>
    </font>
    <font>
      <sz val="11"/>
      <name val="Calibri"/>
      <family val="2"/>
      <scheme val="minor"/>
    </font>
    <font>
      <sz val="11"/>
      <color theme="1"/>
      <name val="Calibri"/>
      <family val="2"/>
      <charset val="1"/>
      <scheme val="minor"/>
    </font>
    <font>
      <sz val="10"/>
      <name val="Calibri"/>
      <family val="2"/>
      <scheme val="minor"/>
    </font>
    <font>
      <vertAlign val="superscript"/>
      <sz val="12"/>
      <color theme="1"/>
      <name val="Calibri"/>
      <family val="2"/>
      <scheme val="minor"/>
    </font>
    <font>
      <u/>
      <sz val="12"/>
      <color theme="1"/>
      <name val="Calibri"/>
      <family val="2"/>
      <scheme val="minor"/>
    </font>
    <font>
      <sz val="10"/>
      <name val="Arial"/>
      <family val="2"/>
    </font>
    <font>
      <sz val="11"/>
      <color rgb="FF000000"/>
      <name val="Trebuchet MS"/>
      <family val="2"/>
    </font>
    <font>
      <i/>
      <sz val="12"/>
      <name val="Calibri"/>
      <family val="2"/>
      <scheme val="minor"/>
    </font>
    <font>
      <sz val="11"/>
      <color theme="1"/>
      <name val="Calibri"/>
      <family val="2"/>
    </font>
    <font>
      <vertAlign val="subscript"/>
      <sz val="11"/>
      <name val="Calibri"/>
      <family val="2"/>
      <scheme val="minor"/>
    </font>
    <font>
      <b/>
      <sz val="12"/>
      <name val="Calibri"/>
      <family val="2"/>
      <scheme val="minor"/>
    </font>
    <font>
      <sz val="11"/>
      <color rgb="FF000000"/>
      <name val="Calibri"/>
      <family val="2"/>
      <scheme val="minor"/>
    </font>
    <font>
      <sz val="10"/>
      <color theme="1"/>
      <name val="Calibri"/>
      <family val="2"/>
      <scheme val="minor"/>
    </font>
    <font>
      <b/>
      <sz val="12"/>
      <color theme="1"/>
      <name val="Calibri"/>
      <family val="2"/>
      <scheme val="minor"/>
    </font>
    <font>
      <sz val="10"/>
      <color theme="0"/>
      <name val="Comic Sans MS"/>
      <family val="4"/>
    </font>
    <font>
      <sz val="10"/>
      <color theme="1"/>
      <name val="Comic Sans MS"/>
      <family val="4"/>
    </font>
    <font>
      <sz val="11"/>
      <color rgb="FFFFFFFF"/>
      <name val="Calibri"/>
      <family val="2"/>
      <charset val="1"/>
      <scheme val="minor"/>
    </font>
    <font>
      <sz val="11"/>
      <name val="Calibri"/>
      <family val="2"/>
      <charset val="1"/>
      <scheme val="minor"/>
    </font>
    <font>
      <sz val="11"/>
      <color theme="1"/>
      <name val="Calibri"/>
      <family val="2"/>
      <charset val="1"/>
    </font>
    <font>
      <sz val="11"/>
      <name val="Calibri"/>
      <family val="2"/>
      <charset val="1"/>
    </font>
    <font>
      <sz val="11"/>
      <name val="Times New Roman"/>
      <family val="1"/>
    </font>
    <font>
      <sz val="11"/>
      <color theme="7" tint="0.59999389629810485"/>
      <name val="Calibri"/>
      <family val="2"/>
      <scheme val="minor"/>
    </font>
    <font>
      <vertAlign val="subscript"/>
      <sz val="11"/>
      <color theme="7" tint="0.59999389629810485"/>
      <name val="Calibri"/>
      <family val="2"/>
      <scheme val="minor"/>
    </font>
    <font>
      <b/>
      <sz val="11"/>
      <color indexed="8"/>
      <name val="Calibri"/>
      <family val="2"/>
      <charset val="134"/>
    </font>
    <font>
      <b/>
      <sz val="11"/>
      <color theme="7" tint="0.59999389629810485"/>
      <name val="Calibri"/>
      <family val="2"/>
      <scheme val="minor"/>
    </font>
    <font>
      <b/>
      <vertAlign val="subscript"/>
      <sz val="11"/>
      <color theme="7" tint="0.59999389629810485"/>
      <name val="Calibri"/>
      <family val="2"/>
      <scheme val="minor"/>
    </font>
    <font>
      <sz val="11"/>
      <color indexed="8"/>
      <name val="Calibri"/>
      <family val="2"/>
      <scheme val="minor"/>
    </font>
    <font>
      <vertAlign val="superscript"/>
      <sz val="11"/>
      <color indexed="8"/>
      <name val="Calibri"/>
      <family val="2"/>
      <scheme val="minor"/>
    </font>
    <font>
      <sz val="10"/>
      <color theme="7" tint="0.59999389629810485"/>
      <name val="Calibri"/>
      <family val="2"/>
      <scheme val="minor"/>
    </font>
    <font>
      <sz val="7"/>
      <color theme="1"/>
      <name val="Calibri"/>
      <family val="2"/>
      <scheme val="minor"/>
    </font>
    <font>
      <sz val="10.5"/>
      <color theme="1"/>
      <name val="Calibri"/>
      <family val="2"/>
      <charset val="1"/>
      <scheme val="minor"/>
    </font>
    <font>
      <sz val="10"/>
      <color theme="7" tint="0.59999389629810485"/>
      <name val="Calibri"/>
      <family val="2"/>
      <charset val="1"/>
      <scheme val="minor"/>
    </font>
    <font>
      <vertAlign val="subscript"/>
      <sz val="10"/>
      <color theme="7" tint="0.59999389629810485"/>
      <name val="Calibri"/>
      <family val="2"/>
      <charset val="1"/>
      <scheme val="minor"/>
    </font>
    <font>
      <sz val="10.5"/>
      <color theme="7" tint="0.59999389629810485"/>
      <name val="Calibri"/>
      <family val="2"/>
      <charset val="1"/>
      <scheme val="minor"/>
    </font>
    <font>
      <sz val="10"/>
      <color theme="7" tint="0.59999389629810485"/>
      <name val="Calibri"/>
      <family val="2"/>
      <charset val="1"/>
    </font>
    <font>
      <vertAlign val="superscript"/>
      <sz val="10"/>
      <color theme="7" tint="0.59999389629810485"/>
      <name val="Calibri"/>
      <family val="2"/>
      <charset val="1"/>
    </font>
    <font>
      <sz val="10"/>
      <color theme="7" tint="0.59999389629810485"/>
      <name val="Arial"/>
      <family val="2"/>
    </font>
    <font>
      <vertAlign val="subscript"/>
      <sz val="10"/>
      <color theme="7" tint="0.59999389629810485"/>
      <name val="Calibri"/>
      <family val="2"/>
      <charset val="1"/>
    </font>
    <font>
      <sz val="10"/>
      <color theme="7" tint="0.59999389629810485"/>
      <name val="Calibri"/>
      <family val="2"/>
    </font>
    <font>
      <vertAlign val="subscript"/>
      <sz val="10"/>
      <color theme="7" tint="0.59999389629810485"/>
      <name val="Calibri"/>
      <family val="2"/>
      <scheme val="minor"/>
    </font>
    <font>
      <b/>
      <sz val="11"/>
      <name val="Arial"/>
      <family val="2"/>
    </font>
    <font>
      <b/>
      <sz val="11"/>
      <name val="Calibri"/>
      <family val="2"/>
      <scheme val="minor"/>
    </font>
    <font>
      <sz val="10"/>
      <color theme="1"/>
      <name val="Calibri"/>
      <family val="2"/>
      <charset val="1"/>
      <scheme val="minor"/>
    </font>
    <font>
      <b/>
      <sz val="14"/>
      <name val="Calibri"/>
      <family val="2"/>
      <scheme val="minor"/>
    </font>
    <font>
      <vertAlign val="superscript"/>
      <sz val="11"/>
      <name val="Calibri"/>
      <family val="2"/>
      <scheme val="minor"/>
    </font>
    <font>
      <sz val="10"/>
      <color theme="1"/>
      <name val="Segoe UI"/>
      <family val="2"/>
    </font>
    <font>
      <sz val="11"/>
      <name val="Segoe UI"/>
      <family val="2"/>
    </font>
    <font>
      <i/>
      <sz val="11"/>
      <name val="Calibri"/>
      <family val="2"/>
      <scheme val="minor"/>
    </font>
    <font>
      <sz val="11"/>
      <color theme="1"/>
      <name val="Times New Roman"/>
      <family val="1"/>
    </font>
    <font>
      <b/>
      <sz val="11"/>
      <color theme="0"/>
      <name val="Calibri"/>
      <family val="2"/>
      <scheme val="minor"/>
    </font>
    <font>
      <sz val="11"/>
      <color rgb="FFFF0000"/>
      <name val="Calibri"/>
      <family val="2"/>
      <scheme val="minor"/>
    </font>
    <font>
      <sz val="11"/>
      <color theme="5"/>
      <name val="Calibri"/>
      <family val="2"/>
      <scheme val="minor"/>
    </font>
    <font>
      <i/>
      <sz val="11"/>
      <color theme="1"/>
      <name val="Calibri"/>
      <family val="2"/>
      <scheme val="minor"/>
    </font>
    <font>
      <sz val="8"/>
      <color theme="1"/>
      <name val="Calibri"/>
      <family val="2"/>
      <scheme val="minor"/>
    </font>
    <font>
      <sz val="9"/>
      <color theme="1"/>
      <name val="Calibri"/>
      <family val="2"/>
      <scheme val="minor"/>
    </font>
    <font>
      <b/>
      <sz val="12"/>
      <color theme="7" tint="0.59999389629810485"/>
      <name val="Calibri"/>
      <family val="2"/>
      <scheme val="minor"/>
    </font>
    <font>
      <sz val="8"/>
      <name val="Calibri"/>
      <family val="2"/>
      <scheme val="minor"/>
    </font>
    <font>
      <b/>
      <sz val="16"/>
      <name val="Calibri"/>
      <family val="2"/>
      <scheme val="minor"/>
    </font>
    <font>
      <b/>
      <sz val="10"/>
      <name val="Calibri"/>
      <family val="2"/>
      <scheme val="minor"/>
    </font>
    <font>
      <sz val="12"/>
      <color theme="1"/>
      <name val="Times New Roman"/>
      <family val="2"/>
      <charset val="1"/>
    </font>
    <font>
      <sz val="10"/>
      <name val="Trebuchet MS"/>
      <family val="2"/>
    </font>
    <font>
      <b/>
      <sz val="14"/>
      <name val="Consolas"/>
      <family val="3"/>
    </font>
    <font>
      <sz val="11"/>
      <name val="Consolas"/>
      <family val="3"/>
    </font>
    <font>
      <vertAlign val="superscript"/>
      <sz val="11"/>
      <name val="Consolas"/>
      <family val="3"/>
    </font>
    <font>
      <sz val="11"/>
      <color theme="1"/>
      <name val="Consolas"/>
      <family val="3"/>
    </font>
    <font>
      <sz val="10"/>
      <name val="Consolas"/>
      <family val="3"/>
    </font>
    <font>
      <sz val="7"/>
      <name val="Consolas"/>
      <family val="3"/>
    </font>
    <font>
      <sz val="12"/>
      <name val="Consolas"/>
      <family val="3"/>
    </font>
    <font>
      <b/>
      <sz val="11"/>
      <color theme="1"/>
      <name val="Consolas"/>
      <family val="3"/>
    </font>
    <font>
      <vertAlign val="subscript"/>
      <sz val="12"/>
      <name val="Consolas"/>
      <family val="3"/>
    </font>
    <font>
      <vertAlign val="subscript"/>
      <sz val="10"/>
      <name val="Consolas"/>
      <family val="3"/>
    </font>
    <font>
      <vertAlign val="superscript"/>
      <sz val="10"/>
      <name val="Consolas"/>
      <family val="3"/>
    </font>
    <font>
      <sz val="9"/>
      <name val="Consolas"/>
      <family val="3"/>
    </font>
    <font>
      <b/>
      <sz val="16"/>
      <name val="Consolas"/>
      <family val="3"/>
    </font>
    <font>
      <b/>
      <sz val="10"/>
      <name val="Consolas"/>
      <family val="3"/>
    </font>
    <font>
      <b/>
      <sz val="11"/>
      <name val="Consolas"/>
      <family val="3"/>
    </font>
    <font>
      <vertAlign val="subscript"/>
      <sz val="11"/>
      <name val="Consolas"/>
      <family val="3"/>
    </font>
    <font>
      <sz val="8"/>
      <name val="Consolas"/>
      <family val="3"/>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rgb="FFFF66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7" tint="0.79998168889431442"/>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auto="1"/>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2">
    <xf numFmtId="0" fontId="0" fillId="0" borderId="0"/>
    <xf numFmtId="0" fontId="2" fillId="3" borderId="0" applyNumberFormat="0" applyBorder="0" applyAlignment="0" applyProtection="0"/>
    <xf numFmtId="0" fontId="5" fillId="0" borderId="0"/>
    <xf numFmtId="0" fontId="1" fillId="0" borderId="0"/>
    <xf numFmtId="9" fontId="5" fillId="0" borderId="0" applyFont="0" applyFill="0" applyBorder="0" applyAlignment="0" applyProtection="0"/>
    <xf numFmtId="0" fontId="10" fillId="2" borderId="0" applyNumberFormat="0" applyBorder="0" applyAlignment="0" applyProtection="0"/>
    <xf numFmtId="0" fontId="12" fillId="0" borderId="0"/>
    <xf numFmtId="0" fontId="16" fillId="0" borderId="0"/>
    <xf numFmtId="0" fontId="1" fillId="0" borderId="0"/>
    <xf numFmtId="0" fontId="1" fillId="0" borderId="0"/>
    <xf numFmtId="0" fontId="1" fillId="0" borderId="0"/>
    <xf numFmtId="0" fontId="1" fillId="0" borderId="0"/>
    <xf numFmtId="0" fontId="1" fillId="0" borderId="0"/>
    <xf numFmtId="9" fontId="5" fillId="0" borderId="0" applyFont="0" applyFill="0" applyBorder="0" applyAlignment="0" applyProtection="0"/>
    <xf numFmtId="0" fontId="12" fillId="0" borderId="0"/>
    <xf numFmtId="9" fontId="1" fillId="0" borderId="0" applyFont="0" applyFill="0" applyBorder="0" applyAlignment="0" applyProtection="0"/>
    <xf numFmtId="164" fontId="1" fillId="0" borderId="0" applyFont="0" applyFill="0" applyBorder="0" applyAlignment="0" applyProtection="0"/>
    <xf numFmtId="0" fontId="56" fillId="0" borderId="0"/>
    <xf numFmtId="0" fontId="1" fillId="0" borderId="0"/>
    <xf numFmtId="0" fontId="70" fillId="0" borderId="0"/>
    <xf numFmtId="0" fontId="71" fillId="0" borderId="0"/>
    <xf numFmtId="9" fontId="1" fillId="0" borderId="0" applyFont="0" applyFill="0" applyBorder="0" applyAlignment="0" applyProtection="0"/>
  </cellStyleXfs>
  <cellXfs count="1002">
    <xf numFmtId="0" fontId="0" fillId="0" borderId="0" xfId="0"/>
    <xf numFmtId="0" fontId="5" fillId="0" borderId="0" xfId="2"/>
    <xf numFmtId="0" fontId="7" fillId="0" borderId="0" xfId="2" applyFont="1"/>
    <xf numFmtId="0" fontId="5" fillId="0" borderId="1" xfId="2" applyBorder="1" applyAlignment="1">
      <alignment horizontal="right"/>
    </xf>
    <xf numFmtId="0" fontId="5" fillId="0" borderId="1" xfId="2" applyBorder="1"/>
    <xf numFmtId="0" fontId="1" fillId="0" borderId="0" xfId="3" applyAlignment="1">
      <alignment vertical="center"/>
    </xf>
    <xf numFmtId="0" fontId="5" fillId="0" borderId="2" xfId="2" applyBorder="1"/>
    <xf numFmtId="165" fontId="5" fillId="0" borderId="1" xfId="2" applyNumberFormat="1" applyBorder="1"/>
    <xf numFmtId="0" fontId="5" fillId="0" borderId="1" xfId="2" applyBorder="1" applyAlignment="1">
      <alignment horizontal="left"/>
    </xf>
    <xf numFmtId="9" fontId="0" fillId="0" borderId="0" xfId="4" applyFont="1" applyFill="1"/>
    <xf numFmtId="0" fontId="5" fillId="0" borderId="0" xfId="2" applyAlignment="1">
      <alignment horizontal="right"/>
    </xf>
    <xf numFmtId="10" fontId="0" fillId="0" borderId="1" xfId="4" applyNumberFormat="1" applyFont="1" applyFill="1" applyBorder="1"/>
    <xf numFmtId="166" fontId="5" fillId="0" borderId="1" xfId="2" applyNumberFormat="1" applyBorder="1" applyAlignment="1">
      <alignment horizontal="right"/>
    </xf>
    <xf numFmtId="0" fontId="10" fillId="0" borderId="0" xfId="5" applyFill="1" applyAlignment="1">
      <alignment horizontal="center" wrapText="1"/>
    </xf>
    <xf numFmtId="0" fontId="5" fillId="0" borderId="2" xfId="2" applyBorder="1" applyAlignment="1">
      <alignment horizontal="center" vertical="center"/>
    </xf>
    <xf numFmtId="0" fontId="5" fillId="0" borderId="3" xfId="2" applyBorder="1" applyAlignment="1">
      <alignment horizontal="center" vertical="center"/>
    </xf>
    <xf numFmtId="0" fontId="5" fillId="0" borderId="5" xfId="2" applyBorder="1" applyAlignment="1">
      <alignment horizontal="center" vertical="center"/>
    </xf>
    <xf numFmtId="0" fontId="5" fillId="0" borderId="2" xfId="2" applyBorder="1" applyAlignment="1">
      <alignment horizontal="center" vertical="center" wrapText="1"/>
    </xf>
    <xf numFmtId="0" fontId="5" fillId="0" borderId="12" xfId="2" applyBorder="1" applyAlignment="1">
      <alignment horizontal="center" vertical="center"/>
    </xf>
    <xf numFmtId="0" fontId="5" fillId="0" borderId="1" xfId="2" applyBorder="1" applyAlignment="1">
      <alignment horizontal="center" vertical="center"/>
    </xf>
    <xf numFmtId="0" fontId="5" fillId="0" borderId="12" xfId="2" applyBorder="1" applyAlignment="1">
      <alignment horizontal="center" vertical="center" wrapText="1"/>
    </xf>
    <xf numFmtId="0" fontId="5" fillId="4" borderId="1" xfId="2" applyFill="1" applyBorder="1" applyAlignment="1">
      <alignment horizontal="center" vertical="center"/>
    </xf>
    <xf numFmtId="0" fontId="6" fillId="0" borderId="0" xfId="5" applyFont="1" applyFill="1" applyBorder="1" applyAlignment="1">
      <alignment vertical="top"/>
    </xf>
    <xf numFmtId="0" fontId="6" fillId="0" borderId="0" xfId="5" applyFont="1" applyFill="1"/>
    <xf numFmtId="0" fontId="10" fillId="0" borderId="0" xfId="5" applyFill="1"/>
    <xf numFmtId="0" fontId="5" fillId="0" borderId="0" xfId="2" applyAlignment="1">
      <alignment vertical="top"/>
    </xf>
    <xf numFmtId="167" fontId="5" fillId="0" borderId="0" xfId="2" applyNumberFormat="1"/>
    <xf numFmtId="168" fontId="5" fillId="0" borderId="0" xfId="2" applyNumberFormat="1"/>
    <xf numFmtId="169" fontId="5" fillId="0" borderId="0" xfId="2" applyNumberFormat="1" applyAlignment="1">
      <alignment horizontal="left"/>
    </xf>
    <xf numFmtId="170" fontId="5" fillId="0" borderId="1" xfId="2" applyNumberFormat="1" applyBorder="1" applyAlignment="1">
      <alignment horizontal="center" vertical="center"/>
    </xf>
    <xf numFmtId="171" fontId="5" fillId="0" borderId="1" xfId="2" applyNumberFormat="1" applyBorder="1"/>
    <xf numFmtId="170" fontId="5" fillId="4" borderId="1" xfId="2" applyNumberFormat="1" applyFill="1" applyBorder="1" applyAlignment="1">
      <alignment horizontal="center" vertical="center"/>
    </xf>
    <xf numFmtId="0" fontId="5" fillId="4" borderId="1" xfId="2" applyFill="1" applyBorder="1"/>
    <xf numFmtId="0" fontId="5" fillId="0" borderId="0" xfId="2" applyAlignment="1">
      <alignment horizontal="left"/>
    </xf>
    <xf numFmtId="0" fontId="11" fillId="0" borderId="0" xfId="1" applyFont="1" applyFill="1" applyAlignment="1"/>
    <xf numFmtId="0" fontId="11" fillId="0" borderId="0" xfId="1" applyFont="1" applyFill="1"/>
    <xf numFmtId="2" fontId="5" fillId="0" borderId="1" xfId="2" applyNumberFormat="1" applyBorder="1"/>
    <xf numFmtId="2" fontId="5" fillId="0" borderId="1" xfId="2" applyNumberFormat="1" applyBorder="1" applyAlignment="1">
      <alignment horizontal="center" vertical="center"/>
    </xf>
    <xf numFmtId="0" fontId="6" fillId="5" borderId="1" xfId="2" applyFont="1" applyFill="1" applyBorder="1" applyAlignment="1">
      <alignment horizontal="center" vertical="center"/>
    </xf>
    <xf numFmtId="2" fontId="6" fillId="5" borderId="1" xfId="2" applyNumberFormat="1" applyFont="1" applyFill="1" applyBorder="1" applyAlignment="1">
      <alignment horizontal="center" vertical="center"/>
    </xf>
    <xf numFmtId="0" fontId="5" fillId="0" borderId="13" xfId="2" applyBorder="1" applyAlignment="1">
      <alignment horizontal="right" vertical="center"/>
    </xf>
    <xf numFmtId="168" fontId="5" fillId="0" borderId="5" xfId="2" applyNumberFormat="1" applyBorder="1" applyAlignment="1">
      <alignment horizontal="center" vertical="center"/>
    </xf>
    <xf numFmtId="0" fontId="5" fillId="0" borderId="0" xfId="2" applyAlignment="1">
      <alignment vertical="center"/>
    </xf>
    <xf numFmtId="10" fontId="0" fillId="0" borderId="5" xfId="4" applyNumberFormat="1" applyFont="1" applyBorder="1" applyAlignment="1">
      <alignment horizontal="center" vertical="center"/>
    </xf>
    <xf numFmtId="165" fontId="5" fillId="0" borderId="0" xfId="2" applyNumberFormat="1"/>
    <xf numFmtId="166" fontId="5" fillId="0" borderId="0" xfId="2" applyNumberFormat="1" applyAlignment="1">
      <alignment horizontal="left"/>
    </xf>
    <xf numFmtId="0" fontId="5" fillId="0" borderId="1" xfId="2" applyBorder="1" applyAlignment="1">
      <alignment horizontal="center"/>
    </xf>
    <xf numFmtId="0" fontId="13" fillId="0" borderId="0" xfId="6" applyFont="1"/>
    <xf numFmtId="168" fontId="5" fillId="0" borderId="1" xfId="2" applyNumberFormat="1" applyBorder="1" applyAlignment="1">
      <alignment horizontal="center" vertical="center"/>
    </xf>
    <xf numFmtId="0" fontId="5" fillId="0" borderId="0" xfId="2" applyAlignment="1">
      <alignment horizontal="center" vertical="center"/>
    </xf>
    <xf numFmtId="0" fontId="5" fillId="0" borderId="1" xfId="2" applyBorder="1" applyAlignment="1">
      <alignment horizontal="center" vertical="center" wrapText="1"/>
    </xf>
    <xf numFmtId="0" fontId="15" fillId="0" borderId="1" xfId="2" applyFont="1" applyBorder="1" applyAlignment="1">
      <alignment horizontal="center" vertical="center"/>
    </xf>
    <xf numFmtId="168" fontId="15" fillId="0" borderId="1" xfId="2" applyNumberFormat="1" applyFont="1" applyBorder="1" applyAlignment="1">
      <alignment horizontal="center" vertical="center"/>
    </xf>
    <xf numFmtId="170" fontId="15" fillId="0" borderId="1" xfId="2" applyNumberFormat="1" applyFont="1" applyBorder="1" applyAlignment="1">
      <alignment horizontal="center" vertical="center"/>
    </xf>
    <xf numFmtId="168" fontId="5" fillId="0" borderId="0" xfId="2" applyNumberFormat="1" applyAlignment="1">
      <alignment horizontal="right"/>
    </xf>
    <xf numFmtId="2" fontId="0" fillId="0" borderId="0" xfId="4" applyNumberFormat="1" applyFont="1"/>
    <xf numFmtId="9" fontId="0" fillId="0" borderId="0" xfId="4" applyFont="1"/>
    <xf numFmtId="0" fontId="13" fillId="0" borderId="1" xfId="6" applyFont="1" applyBorder="1" applyAlignment="1">
      <alignment horizontal="center" vertical="center"/>
    </xf>
    <xf numFmtId="172" fontId="5" fillId="0" borderId="1" xfId="2" applyNumberFormat="1" applyBorder="1" applyAlignment="1">
      <alignment horizontal="center" vertical="center"/>
    </xf>
    <xf numFmtId="9" fontId="5" fillId="0" borderId="1" xfId="2" applyNumberFormat="1" applyBorder="1" applyAlignment="1">
      <alignment horizontal="center" vertical="center"/>
    </xf>
    <xf numFmtId="10" fontId="5" fillId="0" borderId="1" xfId="2" applyNumberFormat="1" applyBorder="1" applyAlignment="1">
      <alignment horizontal="center" vertical="center"/>
    </xf>
    <xf numFmtId="172" fontId="5" fillId="0" borderId="0" xfId="2" applyNumberFormat="1"/>
    <xf numFmtId="10" fontId="5" fillId="0" borderId="0" xfId="2" applyNumberFormat="1"/>
    <xf numFmtId="170" fontId="5" fillId="0" borderId="0" xfId="2" applyNumberFormat="1"/>
    <xf numFmtId="0" fontId="13" fillId="0" borderId="1" xfId="6" applyFont="1" applyBorder="1" applyAlignment="1">
      <alignment horizontal="right" vertical="center"/>
    </xf>
    <xf numFmtId="0" fontId="5" fillId="0" borderId="1" xfId="2" applyBorder="1" applyAlignment="1">
      <alignment horizontal="right" vertical="center"/>
    </xf>
    <xf numFmtId="168" fontId="5" fillId="0" borderId="1" xfId="2" applyNumberFormat="1" applyBorder="1" applyAlignment="1">
      <alignment horizontal="center"/>
    </xf>
    <xf numFmtId="2" fontId="5" fillId="0" borderId="1" xfId="2" applyNumberFormat="1" applyBorder="1" applyAlignment="1">
      <alignment horizontal="center"/>
    </xf>
    <xf numFmtId="173" fontId="5" fillId="0" borderId="1" xfId="2" applyNumberFormat="1" applyBorder="1" applyAlignment="1">
      <alignment horizontal="center" vertical="center"/>
    </xf>
    <xf numFmtId="1" fontId="5" fillId="0" borderId="1" xfId="2" applyNumberFormat="1" applyBorder="1" applyAlignment="1">
      <alignment horizontal="center" vertical="center"/>
    </xf>
    <xf numFmtId="168" fontId="5" fillId="0" borderId="0" xfId="2" applyNumberFormat="1" applyAlignment="1">
      <alignment horizontal="center" vertical="center"/>
    </xf>
    <xf numFmtId="170" fontId="5" fillId="0" borderId="0" xfId="2" applyNumberFormat="1" applyAlignment="1">
      <alignment horizontal="center" vertical="center"/>
    </xf>
    <xf numFmtId="0" fontId="5" fillId="0" borderId="0" xfId="2" applyAlignment="1">
      <alignment horizontal="left" vertical="center"/>
    </xf>
    <xf numFmtId="170" fontId="5" fillId="0" borderId="1" xfId="2" applyNumberFormat="1" applyBorder="1" applyAlignment="1">
      <alignment horizontal="center"/>
    </xf>
    <xf numFmtId="174" fontId="5" fillId="0" borderId="1" xfId="2" applyNumberFormat="1" applyBorder="1" applyAlignment="1">
      <alignment horizontal="center" vertical="center"/>
    </xf>
    <xf numFmtId="174" fontId="5" fillId="0" borderId="0" xfId="2" applyNumberFormat="1"/>
    <xf numFmtId="0" fontId="6" fillId="5" borderId="1" xfId="2" applyFont="1" applyFill="1" applyBorder="1" applyAlignment="1">
      <alignment horizontal="center"/>
    </xf>
    <xf numFmtId="0" fontId="7" fillId="0" borderId="1" xfId="2" applyFont="1" applyBorder="1" applyAlignment="1">
      <alignment horizontal="center" vertical="center"/>
    </xf>
    <xf numFmtId="0" fontId="6" fillId="0" borderId="0" xfId="2" applyFont="1" applyAlignment="1">
      <alignment horizontal="center" vertical="center"/>
    </xf>
    <xf numFmtId="0" fontId="6" fillId="0" borderId="13" xfId="2" applyFont="1" applyBorder="1" applyAlignment="1">
      <alignment horizontal="center" vertical="center"/>
    </xf>
    <xf numFmtId="0" fontId="5" fillId="0" borderId="13" xfId="2" applyBorder="1" applyAlignment="1">
      <alignment vertical="center"/>
    </xf>
    <xf numFmtId="0" fontId="3" fillId="0" borderId="0" xfId="2" applyFont="1"/>
    <xf numFmtId="0" fontId="1" fillId="0" borderId="0" xfId="2" applyFont="1"/>
    <xf numFmtId="175" fontId="7" fillId="0" borderId="0" xfId="7" applyNumberFormat="1" applyFont="1" applyAlignment="1">
      <alignment horizontal="center" vertical="center"/>
    </xf>
    <xf numFmtId="0" fontId="1" fillId="0" borderId="0" xfId="2" applyFont="1" applyAlignment="1">
      <alignment horizontal="right"/>
    </xf>
    <xf numFmtId="0" fontId="17" fillId="0" borderId="0" xfId="2" applyFont="1" applyAlignment="1">
      <alignment horizontal="right"/>
    </xf>
    <xf numFmtId="0" fontId="7" fillId="0" borderId="0" xfId="2" applyFont="1" applyAlignment="1">
      <alignment horizontal="right"/>
    </xf>
    <xf numFmtId="0" fontId="7" fillId="0" borderId="0" xfId="2" applyFont="1" applyAlignment="1">
      <alignment horizontal="center" vertical="center"/>
    </xf>
    <xf numFmtId="0" fontId="7" fillId="0" borderId="0" xfId="2" applyFont="1" applyAlignment="1">
      <alignment horizontal="left" vertical="center"/>
    </xf>
    <xf numFmtId="0" fontId="5" fillId="0" borderId="0" xfId="2" applyAlignment="1">
      <alignment horizontal="center"/>
    </xf>
    <xf numFmtId="3" fontId="5" fillId="0" borderId="0" xfId="2" applyNumberFormat="1"/>
    <xf numFmtId="0" fontId="1" fillId="0" borderId="0" xfId="2" applyFont="1" applyAlignment="1">
      <alignment horizontal="left" indent="1"/>
    </xf>
    <xf numFmtId="170" fontId="1" fillId="0" borderId="0" xfId="2" applyNumberFormat="1" applyFont="1"/>
    <xf numFmtId="174" fontId="1" fillId="0" borderId="0" xfId="2" applyNumberFormat="1" applyFont="1"/>
    <xf numFmtId="1" fontId="7" fillId="0" borderId="0" xfId="2" applyNumberFormat="1" applyFont="1" applyAlignment="1">
      <alignment horizontal="left" vertical="justify" wrapText="1"/>
    </xf>
    <xf numFmtId="1" fontId="11" fillId="0" borderId="0" xfId="2" applyNumberFormat="1" applyFont="1" applyAlignment="1">
      <alignment vertical="justify" wrapText="1"/>
    </xf>
    <xf numFmtId="1" fontId="11" fillId="0" borderId="13" xfId="2" applyNumberFormat="1" applyFont="1" applyBorder="1" applyAlignment="1">
      <alignment vertical="justify" wrapText="1"/>
    </xf>
    <xf numFmtId="0" fontId="7" fillId="0" borderId="0" xfId="2" applyFont="1" applyAlignment="1">
      <alignment vertical="justify"/>
    </xf>
    <xf numFmtId="0" fontId="7" fillId="0" borderId="0" xfId="2" applyFont="1" applyAlignment="1">
      <alignment horizontal="left"/>
    </xf>
    <xf numFmtId="0" fontId="7" fillId="0" borderId="13" xfId="2" applyFont="1" applyBorder="1"/>
    <xf numFmtId="0" fontId="7" fillId="0" borderId="0" xfId="2" applyFont="1" applyAlignment="1">
      <alignment horizontal="center"/>
    </xf>
    <xf numFmtId="0" fontId="18" fillId="0" borderId="0" xfId="2" applyFont="1"/>
    <xf numFmtId="0" fontId="7" fillId="0" borderId="0" xfId="2" applyFont="1" applyAlignment="1">
      <alignment horizontal="left" vertical="top" wrapText="1"/>
    </xf>
    <xf numFmtId="0" fontId="5" fillId="0" borderId="0" xfId="2" applyAlignment="1">
      <alignment horizontal="justify"/>
    </xf>
    <xf numFmtId="0" fontId="5" fillId="0" borderId="4" xfId="2" applyBorder="1" applyAlignment="1">
      <alignment horizontal="center" vertical="center"/>
    </xf>
    <xf numFmtId="0" fontId="5" fillId="0" borderId="10" xfId="2" applyBorder="1" applyAlignment="1">
      <alignment horizontal="center" vertical="center"/>
    </xf>
    <xf numFmtId="0" fontId="5" fillId="0" borderId="7" xfId="2" applyBorder="1" applyAlignment="1">
      <alignment horizontal="center"/>
    </xf>
    <xf numFmtId="0" fontId="5" fillId="0" borderId="0" xfId="2" applyAlignment="1">
      <alignment horizontal="right" vertical="center"/>
    </xf>
    <xf numFmtId="170" fontId="7" fillId="0" borderId="0" xfId="2" applyNumberFormat="1" applyFont="1" applyAlignment="1">
      <alignment horizontal="left"/>
    </xf>
    <xf numFmtId="172" fontId="7" fillId="0" borderId="0" xfId="2" applyNumberFormat="1" applyFont="1" applyAlignment="1">
      <alignment horizontal="left"/>
    </xf>
    <xf numFmtId="174" fontId="5" fillId="0" borderId="0" xfId="2" applyNumberFormat="1" applyAlignment="1">
      <alignment vertical="center"/>
    </xf>
    <xf numFmtId="0" fontId="7" fillId="0" borderId="13" xfId="2" applyFont="1" applyBorder="1" applyAlignment="1">
      <alignment horizontal="left"/>
    </xf>
    <xf numFmtId="0" fontId="18" fillId="0" borderId="0" xfId="2" applyFont="1" applyAlignment="1">
      <alignment horizontal="left"/>
    </xf>
    <xf numFmtId="174" fontId="7" fillId="0" borderId="0" xfId="2" applyNumberFormat="1" applyFont="1" applyAlignment="1">
      <alignment horizontal="left"/>
    </xf>
    <xf numFmtId="0" fontId="7" fillId="0" borderId="0" xfId="2" applyFont="1" applyAlignment="1">
      <alignment horizontal="left" vertical="justify"/>
    </xf>
    <xf numFmtId="0" fontId="7" fillId="0" borderId="0" xfId="2" applyFont="1" applyAlignment="1">
      <alignment horizontal="right" vertical="justify"/>
    </xf>
    <xf numFmtId="0" fontId="7" fillId="0" borderId="0" xfId="2" applyFont="1" applyAlignment="1">
      <alignment horizontal="justify" vertical="justify"/>
    </xf>
    <xf numFmtId="10" fontId="7" fillId="0" borderId="0" xfId="2" applyNumberFormat="1" applyFont="1" applyAlignment="1">
      <alignment horizontal="left"/>
    </xf>
    <xf numFmtId="0" fontId="7" fillId="0" borderId="0" xfId="2" applyFont="1" applyAlignment="1">
      <alignment horizontal="left" wrapText="1"/>
    </xf>
    <xf numFmtId="10" fontId="7" fillId="6" borderId="0" xfId="2" applyNumberFormat="1" applyFont="1" applyFill="1" applyAlignment="1">
      <alignment horizontal="left"/>
    </xf>
    <xf numFmtId="10" fontId="7" fillId="0" borderId="0" xfId="4" applyNumberFormat="1" applyFont="1" applyFill="1" applyAlignment="1">
      <alignment horizontal="left"/>
    </xf>
    <xf numFmtId="2" fontId="7" fillId="0" borderId="0" xfId="2" applyNumberFormat="1" applyFont="1" applyAlignment="1">
      <alignment horizontal="left"/>
    </xf>
    <xf numFmtId="0" fontId="19" fillId="0" borderId="0" xfId="2" applyFont="1" applyAlignment="1">
      <alignment horizontal="right"/>
    </xf>
    <xf numFmtId="0" fontId="7" fillId="0" borderId="0" xfId="2" applyFont="1" applyAlignment="1">
      <alignment horizontal="justify" vertical="top" wrapText="1"/>
    </xf>
    <xf numFmtId="9" fontId="5" fillId="0" borderId="0" xfId="2" applyNumberFormat="1" applyAlignment="1">
      <alignment vertical="center"/>
    </xf>
    <xf numFmtId="9" fontId="5" fillId="0" borderId="0" xfId="2" applyNumberFormat="1" applyAlignment="1">
      <alignment horizontal="center" vertical="center"/>
    </xf>
    <xf numFmtId="0" fontId="1" fillId="0" borderId="0" xfId="2" applyFont="1" applyAlignment="1">
      <alignment horizontal="justify"/>
    </xf>
    <xf numFmtId="0" fontId="1" fillId="0" borderId="0" xfId="2" applyFont="1" applyAlignment="1">
      <alignment horizontal="left" vertical="top" wrapText="1"/>
    </xf>
    <xf numFmtId="0" fontId="11" fillId="0" borderId="0" xfId="2" applyFont="1"/>
    <xf numFmtId="0" fontId="4" fillId="5" borderId="0" xfId="2" applyFont="1" applyFill="1"/>
    <xf numFmtId="0" fontId="6" fillId="0" borderId="0" xfId="2" applyFont="1" applyAlignment="1">
      <alignment vertical="center"/>
    </xf>
    <xf numFmtId="0" fontId="6" fillId="0" borderId="0" xfId="2" applyFont="1" applyAlignment="1">
      <alignment horizontal="right" vertical="center"/>
    </xf>
    <xf numFmtId="2" fontId="6" fillId="0" borderId="0" xfId="4" applyNumberFormat="1" applyFont="1" applyFill="1" applyAlignment="1">
      <alignment vertical="center"/>
    </xf>
    <xf numFmtId="0" fontId="6" fillId="5" borderId="0" xfId="2" applyFont="1" applyFill="1" applyAlignment="1">
      <alignment horizontal="center" vertical="center"/>
    </xf>
    <xf numFmtId="0" fontId="5" fillId="0" borderId="1" xfId="2" applyBorder="1" applyAlignment="1">
      <alignment vertical="center"/>
    </xf>
    <xf numFmtId="1" fontId="5" fillId="0" borderId="0" xfId="2" applyNumberFormat="1" applyAlignment="1">
      <alignment horizontal="center"/>
    </xf>
    <xf numFmtId="0" fontId="7" fillId="5" borderId="0" xfId="2" applyFont="1" applyFill="1" applyAlignment="1">
      <alignment horizontal="center" vertical="center"/>
    </xf>
    <xf numFmtId="0" fontId="5" fillId="5" borderId="0" xfId="2" applyFill="1" applyAlignment="1">
      <alignment vertical="center"/>
    </xf>
    <xf numFmtId="0" fontId="5" fillId="5" borderId="0" xfId="2" applyFill="1"/>
    <xf numFmtId="0" fontId="7" fillId="0" borderId="1" xfId="2" applyFont="1" applyBorder="1" applyAlignment="1">
      <alignment horizontal="center"/>
    </xf>
    <xf numFmtId="0" fontId="7" fillId="0" borderId="0" xfId="2" applyFont="1" applyAlignment="1">
      <alignment vertical="center"/>
    </xf>
    <xf numFmtId="2" fontId="7" fillId="0" borderId="0" xfId="2" applyNumberFormat="1" applyFont="1"/>
    <xf numFmtId="172" fontId="7" fillId="0" borderId="0" xfId="2" applyNumberFormat="1" applyFont="1"/>
    <xf numFmtId="0" fontId="5" fillId="0" borderId="30" xfId="2" applyBorder="1"/>
    <xf numFmtId="0" fontId="5" fillId="0" borderId="34" xfId="2" applyBorder="1"/>
    <xf numFmtId="0" fontId="11" fillId="0" borderId="34" xfId="2" applyFont="1" applyBorder="1"/>
    <xf numFmtId="0" fontId="5" fillId="0" borderId="25" xfId="2" applyBorder="1"/>
    <xf numFmtId="0" fontId="11" fillId="0" borderId="21" xfId="2" applyFont="1" applyBorder="1" applyAlignment="1">
      <alignment horizontal="left" vertical="center"/>
    </xf>
    <xf numFmtId="1" fontId="11" fillId="0" borderId="23" xfId="2" applyNumberFormat="1" applyFont="1" applyBorder="1" applyAlignment="1">
      <alignment horizontal="left"/>
    </xf>
    <xf numFmtId="0" fontId="11" fillId="0" borderId="22" xfId="2" applyFont="1" applyBorder="1" applyAlignment="1">
      <alignment horizontal="left" vertical="center"/>
    </xf>
    <xf numFmtId="0" fontId="5" fillId="0" borderId="21" xfId="2" applyBorder="1"/>
    <xf numFmtId="0" fontId="5" fillId="0" borderId="23" xfId="2" applyBorder="1" applyAlignment="1">
      <alignment horizontal="right"/>
    </xf>
    <xf numFmtId="0" fontId="21" fillId="0" borderId="46" xfId="2" applyFont="1" applyBorder="1"/>
    <xf numFmtId="0" fontId="1" fillId="0" borderId="7" xfId="3" applyBorder="1" applyAlignment="1">
      <alignment horizontal="center" vertical="center"/>
    </xf>
    <xf numFmtId="0" fontId="1" fillId="0" borderId="7" xfId="3" applyBorder="1" applyAlignment="1">
      <alignment vertical="center"/>
    </xf>
    <xf numFmtId="0" fontId="1" fillId="0" borderId="8" xfId="3" applyBorder="1" applyAlignment="1">
      <alignment vertical="center"/>
    </xf>
    <xf numFmtId="0" fontId="11" fillId="0" borderId="47" xfId="2" applyFont="1" applyBorder="1" applyAlignment="1">
      <alignment horizontal="left" vertical="center"/>
    </xf>
    <xf numFmtId="169" fontId="11" fillId="0" borderId="2" xfId="2" applyNumberFormat="1" applyFont="1" applyBorder="1" applyAlignment="1">
      <alignment horizontal="left" vertical="center"/>
    </xf>
    <xf numFmtId="0" fontId="11" fillId="0" borderId="48" xfId="2" applyFont="1" applyBorder="1" applyAlignment="1">
      <alignment horizontal="left" vertical="center"/>
    </xf>
    <xf numFmtId="0" fontId="5" fillId="0" borderId="33" xfId="2" applyBorder="1"/>
    <xf numFmtId="0" fontId="5" fillId="0" borderId="3" xfId="2" applyBorder="1" applyAlignment="1">
      <alignment horizontal="left"/>
    </xf>
    <xf numFmtId="0" fontId="1" fillId="0" borderId="0" xfId="3" applyAlignment="1">
      <alignment horizontal="center" vertical="center"/>
    </xf>
    <xf numFmtId="0" fontId="22" fillId="0" borderId="0" xfId="3" applyFont="1"/>
    <xf numFmtId="0" fontId="1" fillId="0" borderId="13" xfId="3" applyBorder="1" applyAlignment="1">
      <alignment vertical="center"/>
    </xf>
    <xf numFmtId="0" fontId="11" fillId="0" borderId="21" xfId="2" applyFont="1" applyBorder="1" applyAlignment="1">
      <alignment horizontal="left"/>
    </xf>
    <xf numFmtId="0" fontId="11" fillId="0" borderId="23" xfId="2" applyFont="1" applyBorder="1" applyAlignment="1">
      <alignment horizontal="left" vertical="center"/>
    </xf>
    <xf numFmtId="0" fontId="11" fillId="0" borderId="22" xfId="2" applyFont="1" applyBorder="1"/>
    <xf numFmtId="0" fontId="23" fillId="0" borderId="5" xfId="2" applyFont="1" applyBorder="1"/>
    <xf numFmtId="0" fontId="11" fillId="0" borderId="33" xfId="2" applyFont="1" applyBorder="1" applyAlignment="1">
      <alignment horizontal="left"/>
    </xf>
    <xf numFmtId="0" fontId="11" fillId="0" borderId="1" xfId="2" applyFont="1" applyBorder="1" applyAlignment="1">
      <alignment horizontal="left" vertical="center"/>
    </xf>
    <xf numFmtId="0" fontId="11" fillId="0" borderId="34" xfId="2" applyFont="1" applyBorder="1" applyAlignment="1">
      <alignment horizontal="left" vertical="center"/>
    </xf>
    <xf numFmtId="0" fontId="11" fillId="0" borderId="24" xfId="2" applyFont="1" applyBorder="1" applyAlignment="1">
      <alignment horizontal="left"/>
    </xf>
    <xf numFmtId="2" fontId="11" fillId="0" borderId="49" xfId="2" applyNumberFormat="1" applyFont="1" applyBorder="1" applyAlignment="1">
      <alignment horizontal="left" vertical="center"/>
    </xf>
    <xf numFmtId="0" fontId="11" fillId="0" borderId="25" xfId="2" applyFont="1" applyBorder="1" applyAlignment="1">
      <alignment horizontal="left" vertical="center"/>
    </xf>
    <xf numFmtId="0" fontId="11" fillId="0" borderId="29" xfId="2" applyFont="1" applyBorder="1" applyAlignment="1">
      <alignment horizontal="left" vertical="center"/>
    </xf>
    <xf numFmtId="0" fontId="11" fillId="0" borderId="12" xfId="2" applyFont="1" applyBorder="1" applyAlignment="1">
      <alignment horizontal="left" vertical="center"/>
    </xf>
    <xf numFmtId="0" fontId="11" fillId="0" borderId="30" xfId="2" applyFont="1" applyBorder="1" applyAlignment="1">
      <alignment horizontal="left" vertical="center"/>
    </xf>
    <xf numFmtId="0" fontId="1" fillId="0" borderId="10" xfId="3" applyBorder="1" applyAlignment="1">
      <alignment horizontal="center" vertical="center"/>
    </xf>
    <xf numFmtId="0" fontId="1" fillId="0" borderId="11" xfId="3" applyBorder="1" applyAlignment="1">
      <alignment vertical="center"/>
    </xf>
    <xf numFmtId="176" fontId="24" fillId="0" borderId="1" xfId="2" applyNumberFormat="1" applyFont="1" applyBorder="1" applyAlignment="1">
      <alignment horizontal="center"/>
    </xf>
    <xf numFmtId="0" fontId="11" fillId="0" borderId="33" xfId="2" applyFont="1" applyBorder="1" applyAlignment="1">
      <alignment horizontal="left" vertical="center"/>
    </xf>
    <xf numFmtId="2" fontId="11" fillId="0" borderId="1" xfId="2" applyNumberFormat="1" applyFont="1" applyBorder="1" applyAlignment="1">
      <alignment horizontal="left" vertical="center"/>
    </xf>
    <xf numFmtId="0" fontId="23" fillId="0" borderId="33" xfId="2" applyFont="1" applyBorder="1"/>
    <xf numFmtId="0" fontId="11" fillId="0" borderId="24" xfId="2" applyFont="1" applyBorder="1" applyAlignment="1">
      <alignment horizontal="left" vertical="center"/>
    </xf>
    <xf numFmtId="0" fontId="5" fillId="0" borderId="24" xfId="2" applyBorder="1"/>
    <xf numFmtId="0" fontId="5" fillId="0" borderId="49" xfId="2" applyBorder="1" applyAlignment="1">
      <alignment horizontal="right"/>
    </xf>
    <xf numFmtId="0" fontId="5" fillId="0" borderId="50" xfId="2" applyBorder="1" applyAlignment="1">
      <alignment horizontal="left"/>
    </xf>
    <xf numFmtId="0" fontId="23" fillId="0" borderId="5" xfId="2" applyFont="1" applyBorder="1" applyAlignment="1">
      <alignment horizontal="center" vertical="center" wrapText="1"/>
    </xf>
    <xf numFmtId="0" fontId="23" fillId="0" borderId="39" xfId="2" applyFont="1" applyBorder="1" applyAlignment="1">
      <alignment horizontal="center" vertical="center" wrapText="1"/>
    </xf>
    <xf numFmtId="2" fontId="11" fillId="0" borderId="2" xfId="2" applyNumberFormat="1" applyFont="1" applyBorder="1" applyAlignment="1">
      <alignment horizontal="left" vertical="center"/>
    </xf>
    <xf numFmtId="0" fontId="5" fillId="0" borderId="35" xfId="2" applyBorder="1" applyAlignment="1">
      <alignment horizontal="center"/>
    </xf>
    <xf numFmtId="0" fontId="5" fillId="0" borderId="5" xfId="2" applyBorder="1" applyAlignment="1">
      <alignment horizontal="center"/>
    </xf>
    <xf numFmtId="0" fontId="5" fillId="0" borderId="43" xfId="2" applyBorder="1"/>
    <xf numFmtId="0" fontId="5" fillId="0" borderId="44" xfId="2" applyBorder="1"/>
    <xf numFmtId="0" fontId="21" fillId="0" borderId="22" xfId="2" applyFont="1" applyBorder="1"/>
    <xf numFmtId="0" fontId="5" fillId="0" borderId="34" xfId="2" applyBorder="1" applyAlignment="1">
      <alignment horizontal="left"/>
    </xf>
    <xf numFmtId="165" fontId="5" fillId="0" borderId="34" xfId="2" applyNumberFormat="1" applyBorder="1" applyAlignment="1">
      <alignment horizontal="left"/>
    </xf>
    <xf numFmtId="0" fontId="5" fillId="0" borderId="25" xfId="2" applyBorder="1" applyAlignment="1">
      <alignment horizontal="left"/>
    </xf>
    <xf numFmtId="0" fontId="11" fillId="0" borderId="18" xfId="2" applyFont="1" applyBorder="1" applyAlignment="1">
      <alignment horizontal="left" vertical="center"/>
    </xf>
    <xf numFmtId="2" fontId="11" fillId="0" borderId="19" xfId="2" applyNumberFormat="1" applyFont="1" applyBorder="1" applyAlignment="1">
      <alignment horizontal="left" vertical="center"/>
    </xf>
    <xf numFmtId="0" fontId="11" fillId="0" borderId="20" xfId="2" applyFont="1" applyBorder="1" applyAlignment="1">
      <alignment horizontal="left" vertical="center"/>
    </xf>
    <xf numFmtId="0" fontId="5" fillId="0" borderId="36" xfId="2" applyBorder="1"/>
    <xf numFmtId="0" fontId="5" fillId="0" borderId="37" xfId="2" applyBorder="1"/>
    <xf numFmtId="0" fontId="5" fillId="0" borderId="41" xfId="2" applyBorder="1"/>
    <xf numFmtId="165" fontId="5" fillId="0" borderId="3" xfId="2" applyNumberFormat="1" applyBorder="1" applyAlignment="1">
      <alignment horizontal="left"/>
    </xf>
    <xf numFmtId="0" fontId="26" fillId="0" borderId="0" xfId="8" applyFont="1" applyAlignment="1">
      <alignment horizontal="center" vertical="center"/>
    </xf>
    <xf numFmtId="0" fontId="1" fillId="0" borderId="0" xfId="8"/>
    <xf numFmtId="0" fontId="26" fillId="0" borderId="0" xfId="8" applyFont="1" applyAlignment="1">
      <alignment vertical="center"/>
    </xf>
    <xf numFmtId="0" fontId="1" fillId="0" borderId="0" xfId="8" applyAlignment="1">
      <alignment vertical="center"/>
    </xf>
    <xf numFmtId="0" fontId="1" fillId="0" borderId="0" xfId="8" applyAlignment="1">
      <alignment horizontal="center"/>
    </xf>
    <xf numFmtId="0" fontId="26" fillId="0" borderId="5" xfId="8" applyFont="1" applyBorder="1" applyAlignment="1">
      <alignment vertical="center"/>
    </xf>
    <xf numFmtId="0" fontId="26" fillId="0" borderId="1" xfId="8" applyFont="1" applyBorder="1" applyAlignment="1">
      <alignment vertical="center"/>
    </xf>
    <xf numFmtId="0" fontId="26" fillId="0" borderId="3" xfId="8" applyFont="1" applyBorder="1" applyAlignment="1">
      <alignment vertical="center"/>
    </xf>
    <xf numFmtId="0" fontId="25" fillId="5" borderId="1" xfId="8" applyFont="1" applyFill="1" applyBorder="1" applyAlignment="1">
      <alignment horizontal="center" vertical="center"/>
    </xf>
    <xf numFmtId="0" fontId="26" fillId="0" borderId="1" xfId="8" applyFont="1" applyBorder="1" applyAlignment="1">
      <alignment horizontal="center" vertical="center"/>
    </xf>
    <xf numFmtId="0" fontId="1" fillId="0" borderId="1" xfId="9" applyBorder="1" applyAlignment="1">
      <alignment horizontal="center"/>
    </xf>
    <xf numFmtId="172" fontId="26" fillId="0" borderId="1" xfId="8" applyNumberFormat="1" applyFont="1" applyBorder="1" applyAlignment="1">
      <alignment horizontal="center" vertical="center"/>
    </xf>
    <xf numFmtId="172" fontId="26" fillId="0" borderId="0" xfId="8" applyNumberFormat="1" applyFont="1" applyAlignment="1">
      <alignment horizontal="center" vertical="center"/>
    </xf>
    <xf numFmtId="0" fontId="1" fillId="0" borderId="1" xfId="9" applyBorder="1"/>
    <xf numFmtId="0" fontId="1" fillId="0" borderId="1" xfId="8" applyBorder="1"/>
    <xf numFmtId="0" fontId="0" fillId="0" borderId="1" xfId="9" applyFont="1" applyBorder="1" applyAlignment="1">
      <alignment horizontal="center"/>
    </xf>
    <xf numFmtId="0" fontId="27" fillId="0" borderId="0" xfId="8" applyFont="1" applyAlignment="1">
      <alignment vertical="center"/>
    </xf>
    <xf numFmtId="0" fontId="1" fillId="0" borderId="1" xfId="8" applyBorder="1" applyAlignment="1">
      <alignment horizontal="center" vertical="center"/>
    </xf>
    <xf numFmtId="2" fontId="6" fillId="5" borderId="1" xfId="2" applyNumberFormat="1" applyFont="1" applyFill="1" applyBorder="1"/>
    <xf numFmtId="0" fontId="28" fillId="0" borderId="1" xfId="8" applyFont="1" applyBorder="1" applyAlignment="1">
      <alignment horizontal="center" vertical="center"/>
    </xf>
    <xf numFmtId="0" fontId="4" fillId="5" borderId="1" xfId="8" applyFont="1" applyFill="1" applyBorder="1" applyAlignment="1">
      <alignment horizontal="center" vertical="center"/>
    </xf>
    <xf numFmtId="2" fontId="5" fillId="0" borderId="0" xfId="2" applyNumberFormat="1"/>
    <xf numFmtId="0" fontId="29" fillId="0" borderId="0" xfId="8" applyFont="1" applyAlignment="1">
      <alignment vertical="center"/>
    </xf>
    <xf numFmtId="0" fontId="30" fillId="0" borderId="1" xfId="8" applyFont="1" applyBorder="1" applyAlignment="1">
      <alignment horizontal="center" vertical="center"/>
    </xf>
    <xf numFmtId="0" fontId="1" fillId="0" borderId="0" xfId="10"/>
    <xf numFmtId="0" fontId="32" fillId="5" borderId="3" xfId="11" applyFont="1" applyFill="1" applyBorder="1" applyAlignment="1">
      <alignment vertical="center"/>
    </xf>
    <xf numFmtId="0" fontId="32" fillId="5" borderId="4" xfId="11" applyFont="1" applyFill="1" applyBorder="1" applyAlignment="1">
      <alignment vertical="center"/>
    </xf>
    <xf numFmtId="0" fontId="32" fillId="5" borderId="5" xfId="11" applyFont="1" applyFill="1" applyBorder="1" applyAlignment="1">
      <alignment vertical="center"/>
    </xf>
    <xf numFmtId="0" fontId="32" fillId="5" borderId="1" xfId="10" applyFont="1" applyFill="1" applyBorder="1" applyAlignment="1">
      <alignment horizontal="center"/>
    </xf>
    <xf numFmtId="0" fontId="1" fillId="0" borderId="3" xfId="11" applyBorder="1" applyAlignment="1">
      <alignment vertical="center"/>
    </xf>
    <xf numFmtId="0" fontId="1" fillId="0" borderId="5" xfId="11" applyBorder="1" applyAlignment="1">
      <alignment vertical="center"/>
    </xf>
    <xf numFmtId="0" fontId="34" fillId="0" borderId="3" xfId="11" applyFont="1" applyBorder="1" applyAlignment="1">
      <alignment vertical="center"/>
    </xf>
    <xf numFmtId="0" fontId="34" fillId="0" borderId="5" xfId="11" applyFont="1" applyBorder="1" applyAlignment="1">
      <alignment vertical="center"/>
    </xf>
    <xf numFmtId="0" fontId="1" fillId="0" borderId="0" xfId="11" applyAlignment="1">
      <alignment vertical="center"/>
    </xf>
    <xf numFmtId="0" fontId="35" fillId="5" borderId="1" xfId="12" applyFont="1" applyFill="1" applyBorder="1" applyAlignment="1">
      <alignment horizontal="center" vertical="center" wrapText="1"/>
    </xf>
    <xf numFmtId="0" fontId="35" fillId="5" borderId="1" xfId="7" applyFont="1" applyFill="1" applyBorder="1" applyAlignment="1">
      <alignment horizontal="center" vertical="center"/>
    </xf>
    <xf numFmtId="0" fontId="35" fillId="5" borderId="1" xfId="7" quotePrefix="1" applyFont="1" applyFill="1" applyBorder="1" applyAlignment="1">
      <alignment horizontal="center" vertical="center"/>
    </xf>
    <xf numFmtId="0" fontId="35" fillId="5" borderId="1" xfId="12" applyFont="1" applyFill="1" applyBorder="1" applyAlignment="1">
      <alignment vertical="center"/>
    </xf>
    <xf numFmtId="0" fontId="1" fillId="0" borderId="1" xfId="10" applyBorder="1"/>
    <xf numFmtId="177" fontId="1" fillId="0" borderId="1" xfId="13" applyNumberFormat="1" applyFont="1" applyFill="1" applyBorder="1" applyAlignment="1">
      <alignment vertical="center"/>
    </xf>
    <xf numFmtId="169" fontId="1" fillId="0" borderId="1" xfId="10" applyNumberFormat="1" applyBorder="1" applyAlignment="1">
      <alignment horizontal="center"/>
    </xf>
    <xf numFmtId="0" fontId="1" fillId="0" borderId="1" xfId="11" applyBorder="1" applyAlignment="1">
      <alignment horizontal="center" vertical="center"/>
    </xf>
    <xf numFmtId="0" fontId="1" fillId="0" borderId="1" xfId="11" applyBorder="1" applyAlignment="1">
      <alignment horizontal="left" vertical="center"/>
    </xf>
    <xf numFmtId="0" fontId="1" fillId="0" borderId="0" xfId="12"/>
    <xf numFmtId="0" fontId="1" fillId="0" borderId="0" xfId="12" applyAlignment="1">
      <alignment vertical="center"/>
    </xf>
    <xf numFmtId="0" fontId="1" fillId="0" borderId="1" xfId="10" applyBorder="1" applyAlignment="1">
      <alignment horizontal="center" vertical="center"/>
    </xf>
    <xf numFmtId="0" fontId="1" fillId="0" borderId="0" xfId="11" applyAlignment="1">
      <alignment horizontal="left" vertical="center"/>
    </xf>
    <xf numFmtId="0" fontId="1" fillId="0" borderId="0" xfId="10" applyAlignment="1">
      <alignment horizontal="center" vertical="center"/>
    </xf>
    <xf numFmtId="0" fontId="37" fillId="0" borderId="0" xfId="10" applyFont="1" applyAlignment="1">
      <alignment horizontal="center"/>
    </xf>
    <xf numFmtId="168" fontId="1" fillId="0" borderId="1" xfId="11" applyNumberFormat="1" applyBorder="1" applyAlignment="1">
      <alignment horizontal="center" vertical="center"/>
    </xf>
    <xf numFmtId="0" fontId="32" fillId="5" borderId="1" xfId="10" applyFont="1" applyFill="1" applyBorder="1" applyAlignment="1">
      <alignment horizontal="center" vertical="center"/>
    </xf>
    <xf numFmtId="0" fontId="39" fillId="5" borderId="1" xfId="10" applyFont="1" applyFill="1" applyBorder="1" applyAlignment="1">
      <alignment horizontal="center"/>
    </xf>
    <xf numFmtId="0" fontId="32" fillId="5" borderId="1" xfId="10" applyFont="1" applyFill="1" applyBorder="1" applyAlignment="1">
      <alignment horizontal="center" vertical="center" wrapText="1"/>
    </xf>
    <xf numFmtId="0" fontId="12" fillId="0" borderId="1" xfId="6" applyBorder="1" applyAlignment="1">
      <alignment horizontal="center"/>
    </xf>
    <xf numFmtId="0" fontId="12" fillId="0" borderId="1" xfId="6" applyBorder="1" applyAlignment="1">
      <alignment horizontal="center" vertical="center"/>
    </xf>
    <xf numFmtId="2" fontId="1" fillId="0" borderId="1" xfId="10" applyNumberFormat="1" applyBorder="1" applyAlignment="1">
      <alignment horizontal="center" vertical="center"/>
    </xf>
    <xf numFmtId="0" fontId="12" fillId="0" borderId="1" xfId="14" applyBorder="1" applyAlignment="1">
      <alignment horizontal="center"/>
    </xf>
    <xf numFmtId="167" fontId="12" fillId="0" borderId="1" xfId="14" applyNumberFormat="1" applyBorder="1" applyAlignment="1">
      <alignment horizontal="center"/>
    </xf>
    <xf numFmtId="168" fontId="37" fillId="0" borderId="1" xfId="10" applyNumberFormat="1" applyFont="1" applyBorder="1" applyAlignment="1">
      <alignment horizontal="center" vertical="center"/>
    </xf>
    <xf numFmtId="2" fontId="37" fillId="0" borderId="1" xfId="10" applyNumberFormat="1" applyFont="1" applyBorder="1" applyAlignment="1">
      <alignment horizontal="center" vertical="center"/>
    </xf>
    <xf numFmtId="0" fontId="32" fillId="5" borderId="1" xfId="6" applyFont="1" applyFill="1" applyBorder="1" applyAlignment="1">
      <alignment horizontal="center" vertical="center"/>
    </xf>
    <xf numFmtId="2" fontId="32" fillId="5" borderId="1" xfId="10" applyNumberFormat="1" applyFont="1" applyFill="1" applyBorder="1" applyAlignment="1">
      <alignment horizontal="center" vertical="center"/>
    </xf>
    <xf numFmtId="0" fontId="32" fillId="5" borderId="1" xfId="6" applyFont="1" applyFill="1" applyBorder="1" applyAlignment="1">
      <alignment horizontal="center"/>
    </xf>
    <xf numFmtId="0" fontId="32" fillId="5" borderId="1" xfId="14" applyFont="1" applyFill="1" applyBorder="1" applyAlignment="1">
      <alignment horizontal="center"/>
    </xf>
    <xf numFmtId="167" fontId="32" fillId="5" borderId="1" xfId="14" applyNumberFormat="1" applyFont="1" applyFill="1" applyBorder="1" applyAlignment="1">
      <alignment horizontal="center"/>
    </xf>
    <xf numFmtId="168" fontId="32" fillId="5" borderId="1" xfId="10" applyNumberFormat="1" applyFont="1" applyFill="1" applyBorder="1" applyAlignment="1">
      <alignment horizontal="center" vertical="center"/>
    </xf>
    <xf numFmtId="2" fontId="12" fillId="0" borderId="1" xfId="14" applyNumberFormat="1" applyBorder="1" applyAlignment="1">
      <alignment horizontal="center"/>
    </xf>
    <xf numFmtId="0" fontId="37" fillId="0" borderId="0" xfId="10" applyFont="1" applyAlignment="1">
      <alignment horizontal="right" vertical="center"/>
    </xf>
    <xf numFmtId="0" fontId="37" fillId="0" borderId="0" xfId="10" applyFont="1" applyAlignment="1">
      <alignment horizontal="center" vertical="center"/>
    </xf>
    <xf numFmtId="0" fontId="1" fillId="0" borderId="0" xfId="10" applyAlignment="1">
      <alignment horizontal="center"/>
    </xf>
    <xf numFmtId="0" fontId="1" fillId="0" borderId="0" xfId="10" applyAlignment="1">
      <alignment horizontal="left"/>
    </xf>
    <xf numFmtId="0" fontId="1" fillId="0" borderId="0" xfId="10" applyAlignment="1">
      <alignment horizontal="right" vertical="center"/>
    </xf>
    <xf numFmtId="0" fontId="37" fillId="0" borderId="0" xfId="10" applyFont="1" applyAlignment="1">
      <alignment horizontal="center" vertical="top"/>
    </xf>
    <xf numFmtId="0" fontId="1" fillId="0" borderId="0" xfId="10" applyAlignment="1">
      <alignment horizontal="left" vertical="center"/>
    </xf>
    <xf numFmtId="0" fontId="1" fillId="0" borderId="19" xfId="10" applyBorder="1" applyAlignment="1">
      <alignment horizontal="center" vertical="center"/>
    </xf>
    <xf numFmtId="0" fontId="32" fillId="5" borderId="19" xfId="10" applyFont="1" applyFill="1" applyBorder="1" applyAlignment="1">
      <alignment horizontal="center" vertical="center"/>
    </xf>
    <xf numFmtId="0" fontId="1" fillId="0" borderId="1" xfId="10" applyBorder="1" applyAlignment="1">
      <alignment horizontal="center"/>
    </xf>
    <xf numFmtId="0" fontId="37" fillId="0" borderId="0" xfId="10" applyFont="1" applyAlignment="1">
      <alignment horizontal="left" vertical="center"/>
    </xf>
    <xf numFmtId="0" fontId="37" fillId="0" borderId="0" xfId="10" applyFont="1" applyAlignment="1">
      <alignment horizontal="left" vertical="top"/>
    </xf>
    <xf numFmtId="0" fontId="1" fillId="0" borderId="0" xfId="10" applyAlignment="1">
      <alignment horizontal="right"/>
    </xf>
    <xf numFmtId="174" fontId="1" fillId="0" borderId="1" xfId="10" applyNumberFormat="1" applyBorder="1" applyAlignment="1">
      <alignment horizontal="center"/>
    </xf>
    <xf numFmtId="174" fontId="32" fillId="5" borderId="1" xfId="10" applyNumberFormat="1" applyFont="1" applyFill="1" applyBorder="1" applyAlignment="1">
      <alignment horizontal="center"/>
    </xf>
    <xf numFmtId="174" fontId="1" fillId="0" borderId="1" xfId="10" applyNumberFormat="1" applyBorder="1" applyAlignment="1">
      <alignment horizontal="center" vertical="center"/>
    </xf>
    <xf numFmtId="174" fontId="1" fillId="0" borderId="0" xfId="10" applyNumberFormat="1"/>
    <xf numFmtId="0" fontId="11" fillId="0" borderId="0" xfId="10" applyFont="1"/>
    <xf numFmtId="0" fontId="11" fillId="0" borderId="0" xfId="10" applyFont="1" applyAlignment="1">
      <alignment horizontal="center"/>
    </xf>
    <xf numFmtId="0" fontId="11" fillId="0" borderId="0" xfId="6" applyFont="1" applyAlignment="1">
      <alignment horizontal="center"/>
    </xf>
    <xf numFmtId="0" fontId="4" fillId="0" borderId="0" xfId="6" applyFont="1" applyAlignment="1">
      <alignment horizontal="center"/>
    </xf>
    <xf numFmtId="0" fontId="4" fillId="0" borderId="0" xfId="10" applyFont="1"/>
    <xf numFmtId="0" fontId="32" fillId="5" borderId="13" xfId="10" applyFont="1" applyFill="1" applyBorder="1" applyAlignment="1">
      <alignment horizontal="center" vertical="center"/>
    </xf>
    <xf numFmtId="0" fontId="1" fillId="0" borderId="13" xfId="10" applyBorder="1" applyAlignment="1">
      <alignment horizontal="center" vertical="center"/>
    </xf>
    <xf numFmtId="0" fontId="11" fillId="0" borderId="0" xfId="6" applyFont="1"/>
    <xf numFmtId="0" fontId="4" fillId="0" borderId="0" xfId="6" applyFont="1"/>
    <xf numFmtId="0" fontId="12" fillId="0" borderId="0" xfId="6" applyAlignment="1">
      <alignment horizontal="center"/>
    </xf>
    <xf numFmtId="0" fontId="12" fillId="0" borderId="0" xfId="6"/>
    <xf numFmtId="0" fontId="41" fillId="0" borderId="0" xfId="10" applyFont="1" applyAlignment="1">
      <alignment horizontal="center"/>
    </xf>
    <xf numFmtId="0" fontId="1" fillId="6" borderId="1" xfId="10" applyFill="1" applyBorder="1" applyAlignment="1">
      <alignment horizontal="center"/>
    </xf>
    <xf numFmtId="0" fontId="42" fillId="5" borderId="1" xfId="10" applyFont="1" applyFill="1" applyBorder="1" applyAlignment="1">
      <alignment horizontal="center"/>
    </xf>
    <xf numFmtId="2" fontId="1" fillId="6" borderId="1" xfId="10" applyNumberFormat="1" applyFill="1" applyBorder="1" applyAlignment="1">
      <alignment horizontal="center"/>
    </xf>
    <xf numFmtId="2" fontId="11" fillId="0" borderId="1" xfId="10" applyNumberFormat="1" applyFont="1" applyBorder="1" applyAlignment="1">
      <alignment horizontal="center" vertical="center"/>
    </xf>
    <xf numFmtId="10" fontId="0" fillId="0" borderId="1" xfId="15" applyNumberFormat="1" applyFont="1" applyFill="1" applyBorder="1" applyAlignment="1">
      <alignment horizontal="center"/>
    </xf>
    <xf numFmtId="2" fontId="32" fillId="5" borderId="1" xfId="10" applyNumberFormat="1" applyFont="1" applyFill="1" applyBorder="1" applyAlignment="1">
      <alignment horizontal="center"/>
    </xf>
    <xf numFmtId="10" fontId="32" fillId="5" borderId="1" xfId="15" applyNumberFormat="1" applyFont="1" applyFill="1" applyBorder="1" applyAlignment="1">
      <alignment horizontal="center"/>
    </xf>
    <xf numFmtId="2" fontId="1" fillId="0" borderId="1" xfId="10" applyNumberFormat="1" applyBorder="1" applyAlignment="1">
      <alignment horizontal="center"/>
    </xf>
    <xf numFmtId="177" fontId="0" fillId="0" borderId="1" xfId="15" applyNumberFormat="1" applyFont="1" applyFill="1" applyBorder="1" applyAlignment="1">
      <alignment horizontal="center"/>
    </xf>
    <xf numFmtId="177" fontId="0" fillId="0" borderId="1" xfId="15" applyNumberFormat="1" applyFont="1" applyBorder="1"/>
    <xf numFmtId="2" fontId="1" fillId="0" borderId="0" xfId="10" applyNumberFormat="1"/>
    <xf numFmtId="177" fontId="32" fillId="5" borderId="1" xfId="15" applyNumberFormat="1" applyFont="1" applyFill="1" applyBorder="1" applyAlignment="1">
      <alignment horizontal="center"/>
    </xf>
    <xf numFmtId="177" fontId="32" fillId="5" borderId="1" xfId="15" applyNumberFormat="1" applyFont="1" applyFill="1" applyBorder="1"/>
    <xf numFmtId="0" fontId="51" fillId="6" borderId="1" xfId="10" applyFont="1" applyFill="1" applyBorder="1" applyAlignment="1">
      <alignment horizontal="center"/>
    </xf>
    <xf numFmtId="0" fontId="51" fillId="6" borderId="1" xfId="10" applyFont="1" applyFill="1" applyBorder="1"/>
    <xf numFmtId="0" fontId="35" fillId="0" borderId="0" xfId="10" applyFont="1" applyAlignment="1">
      <alignment vertical="center"/>
    </xf>
    <xf numFmtId="0" fontId="52" fillId="0" borderId="0" xfId="10" applyFont="1"/>
    <xf numFmtId="0" fontId="35" fillId="0" borderId="0" xfId="10" applyFont="1" applyAlignment="1">
      <alignment horizontal="center"/>
    </xf>
    <xf numFmtId="0" fontId="52" fillId="0" borderId="0" xfId="10" applyFont="1" applyAlignment="1">
      <alignment horizontal="center" vertical="center"/>
    </xf>
    <xf numFmtId="0" fontId="52" fillId="0" borderId="0" xfId="10" applyFont="1" applyAlignment="1">
      <alignment horizontal="center"/>
    </xf>
    <xf numFmtId="0" fontId="52" fillId="6" borderId="1" xfId="10" applyFont="1" applyFill="1" applyBorder="1" applyAlignment="1">
      <alignment horizontal="center" vertical="center"/>
    </xf>
    <xf numFmtId="164" fontId="32" fillId="0" borderId="0" xfId="16" applyFont="1" applyFill="1" applyBorder="1" applyAlignment="1">
      <alignment horizontal="center"/>
    </xf>
    <xf numFmtId="1" fontId="11" fillId="0" borderId="0" xfId="10" applyNumberFormat="1" applyFont="1" applyAlignment="1">
      <alignment horizontal="center"/>
    </xf>
    <xf numFmtId="164" fontId="11" fillId="6" borderId="1" xfId="16" applyFont="1" applyFill="1" applyBorder="1" applyAlignment="1">
      <alignment horizontal="center" vertical="center"/>
    </xf>
    <xf numFmtId="1" fontId="11" fillId="6" borderId="1" xfId="10" applyNumberFormat="1" applyFont="1" applyFill="1" applyBorder="1" applyAlignment="1">
      <alignment horizontal="center"/>
    </xf>
    <xf numFmtId="164" fontId="11" fillId="6" borderId="1" xfId="16" applyFont="1" applyFill="1" applyBorder="1" applyAlignment="1">
      <alignment horizontal="center"/>
    </xf>
    <xf numFmtId="9" fontId="11" fillId="0" borderId="0" xfId="15" applyFont="1" applyFill="1" applyBorder="1" applyAlignment="1">
      <alignment horizontal="center"/>
    </xf>
    <xf numFmtId="0" fontId="32" fillId="5" borderId="1" xfId="10" applyFont="1" applyFill="1" applyBorder="1"/>
    <xf numFmtId="0" fontId="1" fillId="7" borderId="1" xfId="10" applyFill="1" applyBorder="1" applyAlignment="1">
      <alignment horizontal="center" vertical="center"/>
    </xf>
    <xf numFmtId="0" fontId="1" fillId="4" borderId="1" xfId="10" applyFill="1" applyBorder="1" applyAlignment="1">
      <alignment horizontal="center" vertical="center"/>
    </xf>
    <xf numFmtId="0" fontId="1" fillId="8" borderId="1" xfId="10" applyFill="1" applyBorder="1" applyAlignment="1">
      <alignment horizontal="center" vertical="center"/>
    </xf>
    <xf numFmtId="0" fontId="53" fillId="0" borderId="0" xfId="10" applyFont="1" applyAlignment="1">
      <alignment horizontal="center"/>
    </xf>
    <xf numFmtId="0" fontId="53" fillId="0" borderId="0" xfId="10" applyFont="1"/>
    <xf numFmtId="11" fontId="5" fillId="0" borderId="1" xfId="2" applyNumberFormat="1" applyBorder="1" applyAlignment="1">
      <alignment horizontal="center" vertical="center"/>
    </xf>
    <xf numFmtId="0" fontId="11" fillId="0" borderId="0" xfId="0" applyFont="1"/>
    <xf numFmtId="0" fontId="11" fillId="0" borderId="0" xfId="0" applyFont="1" applyAlignment="1">
      <alignment horizontal="left"/>
    </xf>
    <xf numFmtId="0" fontId="11" fillId="0" borderId="0" xfId="0" quotePrefix="1" applyFont="1" applyAlignment="1">
      <alignment horizontal="center"/>
    </xf>
    <xf numFmtId="0" fontId="11" fillId="0" borderId="0" xfId="0" applyFont="1" applyAlignment="1">
      <alignment horizontal="center"/>
    </xf>
    <xf numFmtId="0" fontId="11" fillId="0" borderId="0" xfId="0" applyFont="1" applyAlignment="1">
      <alignment vertical="top" wrapText="1"/>
    </xf>
    <xf numFmtId="0" fontId="11" fillId="4" borderId="0" xfId="0" applyFont="1" applyFill="1"/>
    <xf numFmtId="0" fontId="11" fillId="0" borderId="0" xfId="0" applyFont="1" applyAlignment="1">
      <alignment horizontal="right"/>
    </xf>
    <xf numFmtId="0" fontId="0" fillId="0" borderId="0" xfId="0" applyAlignment="1">
      <alignment horizontal="center"/>
    </xf>
    <xf numFmtId="2" fontId="11" fillId="0" borderId="0" xfId="0" applyNumberFormat="1" applyFont="1" applyAlignment="1">
      <alignment horizontal="center"/>
    </xf>
    <xf numFmtId="0" fontId="11" fillId="0" borderId="0" xfId="0" applyFont="1" applyAlignment="1">
      <alignment horizontal="center" vertical="center"/>
    </xf>
    <xf numFmtId="0" fontId="11" fillId="0" borderId="0" xfId="0" applyFont="1" applyAlignment="1">
      <alignment horizontal="left" vertical="top" wrapText="1"/>
    </xf>
    <xf numFmtId="0" fontId="52" fillId="0" borderId="0" xfId="0" applyFont="1"/>
    <xf numFmtId="0" fontId="11" fillId="0" borderId="0" xfId="0" applyFont="1" applyAlignment="1">
      <alignment horizontal="left" vertical="center"/>
    </xf>
    <xf numFmtId="0" fontId="52" fillId="0" borderId="0" xfId="0" applyFont="1" applyAlignment="1">
      <alignment horizontal="left"/>
    </xf>
    <xf numFmtId="2" fontId="11" fillId="0" borderId="0" xfId="0" applyNumberFormat="1" applyFont="1"/>
    <xf numFmtId="0" fontId="11" fillId="0" borderId="0" xfId="0" quotePrefix="1" applyFont="1" applyAlignment="1">
      <alignment horizontal="right"/>
    </xf>
    <xf numFmtId="0" fontId="11" fillId="0" borderId="0" xfId="0" applyFont="1" applyAlignment="1">
      <alignment vertical="top"/>
    </xf>
    <xf numFmtId="0" fontId="11" fillId="0" borderId="0" xfId="0" applyFont="1" applyAlignment="1">
      <alignment horizontal="left" vertical="top"/>
    </xf>
    <xf numFmtId="0" fontId="11" fillId="0" borderId="0" xfId="0" applyFont="1" applyAlignment="1">
      <alignment horizontal="center" vertical="center" wrapText="1"/>
    </xf>
    <xf numFmtId="0" fontId="11" fillId="0" borderId="0" xfId="0" applyFont="1" applyAlignment="1">
      <alignment horizontal="left" wrapText="1"/>
    </xf>
    <xf numFmtId="0" fontId="11" fillId="0" borderId="0" xfId="0" applyFont="1" applyAlignment="1">
      <alignment horizontal="left" vertical="center" wrapText="1"/>
    </xf>
    <xf numFmtId="0" fontId="11" fillId="0" borderId="0" xfId="18" applyFont="1" applyAlignment="1">
      <alignment horizontal="center"/>
    </xf>
    <xf numFmtId="0" fontId="11" fillId="0" borderId="0" xfId="18" applyFont="1"/>
    <xf numFmtId="0" fontId="11" fillId="0" borderId="0" xfId="0" applyFont="1" applyAlignment="1">
      <alignment horizontal="right" vertical="center"/>
    </xf>
    <xf numFmtId="0" fontId="11" fillId="0" borderId="0" xfId="0" applyFont="1" applyAlignment="1">
      <alignment vertical="center"/>
    </xf>
    <xf numFmtId="0" fontId="11" fillId="0" borderId="0" xfId="0" applyFont="1" applyAlignment="1">
      <alignment wrapText="1"/>
    </xf>
    <xf numFmtId="0" fontId="11" fillId="4" borderId="0" xfId="0" applyFont="1" applyFill="1" applyAlignment="1">
      <alignment horizontal="right"/>
    </xf>
    <xf numFmtId="168" fontId="11" fillId="0" borderId="0" xfId="0" applyNumberFormat="1" applyFont="1" applyAlignment="1">
      <alignment horizontal="center"/>
    </xf>
    <xf numFmtId="168" fontId="11" fillId="0" borderId="0" xfId="0" applyNumberFormat="1" applyFont="1"/>
    <xf numFmtId="168" fontId="11" fillId="4" borderId="0" xfId="0" applyNumberFormat="1" applyFont="1" applyFill="1" applyAlignment="1">
      <alignment horizontal="right"/>
    </xf>
    <xf numFmtId="0" fontId="11" fillId="4" borderId="0" xfId="0" quotePrefix="1" applyFont="1" applyFill="1" applyAlignment="1">
      <alignment horizontal="right"/>
    </xf>
    <xf numFmtId="0" fontId="59" fillId="0" borderId="0" xfId="0" applyFont="1" applyAlignment="1">
      <alignment horizontal="right"/>
    </xf>
    <xf numFmtId="0" fontId="11" fillId="0" borderId="0" xfId="0" applyFont="1" applyAlignment="1">
      <alignment vertical="center" wrapText="1"/>
    </xf>
    <xf numFmtId="0" fontId="1" fillId="0" borderId="0" xfId="3" applyAlignment="1">
      <alignment horizontal="left"/>
    </xf>
    <xf numFmtId="0" fontId="1" fillId="0" borderId="0" xfId="3"/>
    <xf numFmtId="0" fontId="3" fillId="0" borderId="0" xfId="3" applyFont="1" applyAlignment="1">
      <alignment horizontal="center" vertical="center"/>
    </xf>
    <xf numFmtId="0" fontId="3" fillId="0" borderId="0" xfId="3" applyFont="1" applyAlignment="1">
      <alignment vertical="center"/>
    </xf>
    <xf numFmtId="0" fontId="62" fillId="0" borderId="0" xfId="3" applyFont="1" applyAlignment="1">
      <alignment vertical="center"/>
    </xf>
    <xf numFmtId="0" fontId="1" fillId="4" borderId="0" xfId="3" applyFill="1" applyAlignment="1">
      <alignment vertical="center"/>
    </xf>
    <xf numFmtId="0" fontId="1" fillId="0" borderId="0" xfId="3" applyAlignment="1">
      <alignment horizontal="left" vertical="center"/>
    </xf>
    <xf numFmtId="0" fontId="0" fillId="0" borderId="0" xfId="3" applyFont="1" applyAlignment="1">
      <alignment vertical="center"/>
    </xf>
    <xf numFmtId="0" fontId="1" fillId="0" borderId="0" xfId="3" applyAlignment="1">
      <alignment horizontal="right" vertical="center"/>
    </xf>
    <xf numFmtId="2" fontId="61" fillId="0" borderId="0" xfId="3" applyNumberFormat="1" applyFont="1" applyAlignment="1">
      <alignment vertical="center"/>
    </xf>
    <xf numFmtId="0" fontId="63" fillId="0" borderId="0" xfId="3" applyFont="1" applyAlignment="1">
      <alignment horizontal="left" vertical="center" wrapText="1"/>
    </xf>
    <xf numFmtId="0" fontId="63" fillId="0" borderId="0" xfId="3" quotePrefix="1" applyFont="1" applyAlignment="1">
      <alignment vertical="center" wrapText="1"/>
    </xf>
    <xf numFmtId="0" fontId="63" fillId="0" borderId="0" xfId="3" applyFont="1" applyAlignment="1">
      <alignment vertical="center" wrapText="1"/>
    </xf>
    <xf numFmtId="0" fontId="63" fillId="4" borderId="0" xfId="3" applyFont="1" applyFill="1" applyAlignment="1">
      <alignment vertical="center" wrapText="1"/>
    </xf>
    <xf numFmtId="168" fontId="1" fillId="0" borderId="0" xfId="3" applyNumberFormat="1" applyAlignment="1">
      <alignment horizontal="center" vertical="center"/>
    </xf>
    <xf numFmtId="168" fontId="1" fillId="0" borderId="0" xfId="3" applyNumberFormat="1" applyAlignment="1">
      <alignment vertical="center"/>
    </xf>
    <xf numFmtId="1" fontId="1" fillId="0" borderId="0" xfId="3" applyNumberFormat="1" applyAlignment="1">
      <alignment vertical="center"/>
    </xf>
    <xf numFmtId="172" fontId="61" fillId="0" borderId="0" xfId="3" applyNumberFormat="1" applyFont="1" applyAlignment="1">
      <alignment vertical="center"/>
    </xf>
    <xf numFmtId="172" fontId="1" fillId="0" borderId="0" xfId="3" applyNumberFormat="1" applyAlignment="1">
      <alignment vertical="center"/>
    </xf>
    <xf numFmtId="169" fontId="61" fillId="0" borderId="0" xfId="3" applyNumberFormat="1" applyFont="1" applyAlignment="1">
      <alignment vertical="center"/>
    </xf>
    <xf numFmtId="169" fontId="1" fillId="0" borderId="0" xfId="3" applyNumberFormat="1" applyAlignment="1">
      <alignment vertical="center"/>
    </xf>
    <xf numFmtId="0" fontId="4" fillId="0" borderId="0" xfId="3" applyFont="1" applyAlignment="1">
      <alignment vertical="center"/>
    </xf>
    <xf numFmtId="168" fontId="61" fillId="0" borderId="0" xfId="3" applyNumberFormat="1" applyFont="1" applyAlignment="1">
      <alignment vertical="center"/>
    </xf>
    <xf numFmtId="0" fontId="3" fillId="0" borderId="4" xfId="3" applyFont="1" applyBorder="1" applyAlignment="1">
      <alignment horizontal="center" vertical="center"/>
    </xf>
    <xf numFmtId="0" fontId="61" fillId="0" borderId="0" xfId="3" applyFont="1" applyAlignment="1">
      <alignment vertical="center"/>
    </xf>
    <xf numFmtId="1" fontId="61" fillId="0" borderId="0" xfId="3" applyNumberFormat="1" applyFont="1" applyAlignment="1">
      <alignment vertical="center"/>
    </xf>
    <xf numFmtId="0" fontId="1" fillId="0" borderId="0" xfId="3" applyAlignment="1">
      <alignment horizontal="center" vertical="center" wrapText="1"/>
    </xf>
    <xf numFmtId="0" fontId="1" fillId="0" borderId="0" xfId="3" applyAlignment="1">
      <alignment vertical="center" wrapText="1"/>
    </xf>
    <xf numFmtId="49" fontId="1" fillId="0" borderId="0" xfId="3" applyNumberFormat="1" applyAlignment="1">
      <alignment vertical="center"/>
    </xf>
    <xf numFmtId="2" fontId="1" fillId="0" borderId="0" xfId="3" applyNumberFormat="1" applyAlignment="1">
      <alignment vertical="center"/>
    </xf>
    <xf numFmtId="0" fontId="11" fillId="0" borderId="0" xfId="3" applyFont="1" applyAlignment="1">
      <alignment horizontal="left" vertical="center"/>
    </xf>
    <xf numFmtId="0" fontId="3" fillId="4" borderId="0" xfId="3" applyFont="1" applyFill="1" applyAlignment="1">
      <alignment vertical="center"/>
    </xf>
    <xf numFmtId="0" fontId="58" fillId="0" borderId="0" xfId="3" applyFont="1" applyAlignment="1">
      <alignment vertical="center"/>
    </xf>
    <xf numFmtId="0" fontId="11" fillId="0" borderId="0" xfId="3" applyFont="1" applyAlignment="1">
      <alignment horizontal="left" vertical="center" wrapText="1"/>
    </xf>
    <xf numFmtId="0" fontId="11" fillId="0" borderId="0" xfId="3" applyFont="1" applyAlignment="1">
      <alignment vertical="center" wrapText="1"/>
    </xf>
    <xf numFmtId="0" fontId="11" fillId="0" borderId="0" xfId="3" applyFont="1" applyAlignment="1">
      <alignment vertical="center"/>
    </xf>
    <xf numFmtId="0" fontId="1" fillId="0" borderId="0" xfId="3" applyAlignment="1">
      <alignment horizontal="left" vertical="center" wrapText="1"/>
    </xf>
    <xf numFmtId="0" fontId="7" fillId="0" borderId="0" xfId="3" applyFont="1"/>
    <xf numFmtId="0" fontId="16" fillId="0" borderId="0" xfId="3" applyFont="1"/>
    <xf numFmtId="2" fontId="4" fillId="0" borderId="0" xfId="3" applyNumberFormat="1" applyFont="1" applyAlignment="1">
      <alignment horizontal="center"/>
    </xf>
    <xf numFmtId="2" fontId="0" fillId="0" borderId="0" xfId="3" applyNumberFormat="1" applyFont="1" applyAlignment="1">
      <alignment vertical="center"/>
    </xf>
    <xf numFmtId="0" fontId="1" fillId="9" borderId="1" xfId="3" applyFill="1" applyBorder="1" applyAlignment="1">
      <alignment horizontal="center" vertical="center"/>
    </xf>
    <xf numFmtId="0" fontId="1" fillId="12" borderId="1" xfId="3" applyFill="1" applyBorder="1" applyAlignment="1">
      <alignment horizontal="center" vertical="center"/>
    </xf>
    <xf numFmtId="0" fontId="1" fillId="9" borderId="12" xfId="3" applyFill="1" applyBorder="1" applyAlignment="1">
      <alignment horizontal="center" vertical="center"/>
    </xf>
    <xf numFmtId="0" fontId="1" fillId="12" borderId="12" xfId="3" applyFill="1" applyBorder="1" applyAlignment="1">
      <alignment horizontal="center" vertical="center"/>
    </xf>
    <xf numFmtId="0" fontId="1" fillId="0" borderId="1" xfId="3" applyBorder="1" applyAlignment="1">
      <alignment horizontal="center" vertical="center"/>
    </xf>
    <xf numFmtId="2" fontId="1" fillId="0" borderId="0" xfId="3" applyNumberFormat="1" applyAlignment="1">
      <alignment horizontal="center" vertical="center"/>
    </xf>
    <xf numFmtId="168" fontId="32" fillId="5" borderId="0" xfId="3" applyNumberFormat="1" applyFont="1" applyFill="1" applyAlignment="1">
      <alignment horizontal="center" vertical="center"/>
    </xf>
    <xf numFmtId="168" fontId="4" fillId="5" borderId="0" xfId="3" applyNumberFormat="1" applyFont="1" applyFill="1" applyAlignment="1">
      <alignment vertical="center"/>
    </xf>
    <xf numFmtId="168" fontId="4" fillId="5" borderId="0" xfId="3" applyNumberFormat="1" applyFont="1" applyFill="1" applyAlignment="1">
      <alignment horizontal="center" vertical="center"/>
    </xf>
    <xf numFmtId="2" fontId="11" fillId="0" borderId="0" xfId="3" applyNumberFormat="1" applyFont="1" applyAlignment="1">
      <alignment horizontal="center" vertical="center"/>
    </xf>
    <xf numFmtId="0" fontId="11" fillId="0" borderId="0" xfId="3" applyFont="1" applyAlignment="1">
      <alignment horizontal="center" vertical="center"/>
    </xf>
    <xf numFmtId="0" fontId="4" fillId="0" borderId="0" xfId="3" applyFont="1" applyAlignment="1">
      <alignment horizontal="center" vertical="center"/>
    </xf>
    <xf numFmtId="0" fontId="60" fillId="0" borderId="0" xfId="3" applyFont="1" applyAlignment="1">
      <alignment vertical="center"/>
    </xf>
    <xf numFmtId="0" fontId="1" fillId="12" borderId="11" xfId="3" applyFill="1" applyBorder="1" applyAlignment="1">
      <alignment horizontal="center" vertical="center"/>
    </xf>
    <xf numFmtId="0" fontId="1" fillId="0" borderId="5" xfId="3" applyBorder="1" applyAlignment="1">
      <alignment horizontal="center" vertical="center"/>
    </xf>
    <xf numFmtId="0" fontId="1" fillId="12" borderId="5" xfId="3" applyFill="1" applyBorder="1" applyAlignment="1">
      <alignment horizontal="center" vertical="center"/>
    </xf>
    <xf numFmtId="0" fontId="35" fillId="0" borderId="0" xfId="3" applyFont="1" applyAlignment="1">
      <alignment vertical="center"/>
    </xf>
    <xf numFmtId="2" fontId="4" fillId="0" borderId="0" xfId="3" applyNumberFormat="1" applyFont="1" applyAlignment="1">
      <alignment vertical="center"/>
    </xf>
    <xf numFmtId="1" fontId="4" fillId="0" borderId="0" xfId="3" applyNumberFormat="1" applyFont="1" applyAlignment="1">
      <alignment vertical="center"/>
    </xf>
    <xf numFmtId="172" fontId="4" fillId="0" borderId="0" xfId="3" applyNumberFormat="1" applyFont="1" applyAlignment="1">
      <alignment vertical="center"/>
    </xf>
    <xf numFmtId="169" fontId="4" fillId="0" borderId="0" xfId="3" applyNumberFormat="1" applyFont="1" applyAlignment="1">
      <alignment vertical="center"/>
    </xf>
    <xf numFmtId="168" fontId="4" fillId="0" borderId="0" xfId="3" applyNumberFormat="1" applyFont="1" applyAlignment="1">
      <alignment vertical="center"/>
    </xf>
    <xf numFmtId="1" fontId="11" fillId="0" borderId="0" xfId="3" applyNumberFormat="1" applyFont="1" applyAlignment="1">
      <alignment vertical="center"/>
    </xf>
    <xf numFmtId="2" fontId="4" fillId="0" borderId="0" xfId="3" applyNumberFormat="1" applyFont="1" applyAlignment="1">
      <alignment horizontal="center" vertical="center"/>
    </xf>
    <xf numFmtId="0" fontId="35" fillId="0" borderId="0" xfId="3" applyFont="1" applyAlignment="1">
      <alignment horizontal="left" vertical="center"/>
    </xf>
    <xf numFmtId="0" fontId="3" fillId="0" borderId="0" xfId="3" applyFont="1" applyAlignment="1">
      <alignment horizontal="left" vertical="center"/>
    </xf>
    <xf numFmtId="0" fontId="0" fillId="0" borderId="0" xfId="3" applyFont="1" applyAlignment="1">
      <alignment horizontal="left" vertical="center"/>
    </xf>
    <xf numFmtId="0" fontId="4" fillId="0" borderId="0" xfId="3" applyFont="1" applyAlignment="1">
      <alignment horizontal="left" vertical="center"/>
    </xf>
    <xf numFmtId="0" fontId="0" fillId="0" borderId="1" xfId="0" applyBorder="1"/>
    <xf numFmtId="0" fontId="0" fillId="4" borderId="0" xfId="0" applyFill="1"/>
    <xf numFmtId="1" fontId="1" fillId="0" borderId="0" xfId="3" applyNumberFormat="1" applyAlignment="1">
      <alignment horizontal="center" vertical="center"/>
    </xf>
    <xf numFmtId="0" fontId="0" fillId="0" borderId="0" xfId="3" applyFont="1" applyAlignment="1">
      <alignment horizontal="center" vertical="center"/>
    </xf>
    <xf numFmtId="0" fontId="0" fillId="0" borderId="1" xfId="0" applyBorder="1" applyAlignment="1">
      <alignment horizontal="center"/>
    </xf>
    <xf numFmtId="0" fontId="11" fillId="0" borderId="10" xfId="0" applyFont="1" applyBorder="1" applyAlignment="1">
      <alignment horizontal="center" vertical="center"/>
    </xf>
    <xf numFmtId="169" fontId="0" fillId="0" borderId="0" xfId="0" applyNumberFormat="1"/>
    <xf numFmtId="0" fontId="11" fillId="0" borderId="0" xfId="0" applyFont="1" applyProtection="1">
      <protection locked="0"/>
    </xf>
    <xf numFmtId="0" fontId="11" fillId="0" borderId="0" xfId="0" applyFont="1" applyAlignment="1" applyProtection="1">
      <alignment horizontal="left"/>
      <protection locked="0"/>
    </xf>
    <xf numFmtId="0" fontId="69" fillId="0" borderId="0" xfId="18" applyFont="1"/>
    <xf numFmtId="0" fontId="52" fillId="0" borderId="0" xfId="18" applyFont="1"/>
    <xf numFmtId="0" fontId="11" fillId="0" borderId="0" xfId="18" applyFont="1" applyAlignment="1">
      <alignment horizontal="left"/>
    </xf>
    <xf numFmtId="0" fontId="13" fillId="0" borderId="0" xfId="18" applyFont="1" applyAlignment="1">
      <alignment horizontal="left" vertical="center" wrapText="1"/>
    </xf>
    <xf numFmtId="0" fontId="13" fillId="0" borderId="0" xfId="18" applyFont="1"/>
    <xf numFmtId="0" fontId="11" fillId="0" borderId="0" xfId="18" applyFont="1" applyAlignment="1">
      <alignment horizontal="right"/>
    </xf>
    <xf numFmtId="0" fontId="11" fillId="0" borderId="0" xfId="18" quotePrefix="1" applyFont="1" applyAlignment="1">
      <alignment horizontal="center"/>
    </xf>
    <xf numFmtId="0" fontId="13" fillId="0" borderId="0" xfId="18" applyFont="1" applyAlignment="1">
      <alignment horizontal="right"/>
    </xf>
    <xf numFmtId="0" fontId="11" fillId="0" borderId="0" xfId="18" applyFont="1" applyAlignment="1">
      <alignment vertical="top" wrapText="1"/>
    </xf>
    <xf numFmtId="0" fontId="11" fillId="0" borderId="0" xfId="18" applyFont="1" applyAlignment="1">
      <alignment wrapText="1"/>
    </xf>
    <xf numFmtId="0" fontId="13" fillId="0" borderId="0" xfId="18" applyFont="1" applyAlignment="1">
      <alignment horizontal="left"/>
    </xf>
    <xf numFmtId="0" fontId="13" fillId="0" borderId="0" xfId="0" applyFont="1"/>
    <xf numFmtId="0" fontId="13" fillId="0" borderId="0" xfId="18" applyFont="1" applyAlignment="1">
      <alignment horizontal="left" vertical="justify" wrapText="1"/>
    </xf>
    <xf numFmtId="0" fontId="13" fillId="0" borderId="0" xfId="18" applyFont="1" applyAlignment="1">
      <alignment vertical="justify" wrapText="1"/>
    </xf>
    <xf numFmtId="0" fontId="69" fillId="0" borderId="0" xfId="18" applyFont="1" applyAlignment="1">
      <alignment horizontal="left"/>
    </xf>
    <xf numFmtId="0" fontId="13" fillId="0" borderId="0" xfId="18" quotePrefix="1" applyFont="1" applyAlignment="1">
      <alignment horizontal="center"/>
    </xf>
    <xf numFmtId="0" fontId="11" fillId="0" borderId="0" xfId="20" applyFont="1" applyAlignment="1">
      <alignment horizontal="right"/>
    </xf>
    <xf numFmtId="0" fontId="13" fillId="0" borderId="0" xfId="0" applyFont="1" applyAlignment="1">
      <alignment horizontal="left"/>
    </xf>
    <xf numFmtId="0" fontId="69" fillId="0" borderId="0" xfId="20" applyFont="1" applyAlignment="1">
      <alignment horizontal="left"/>
    </xf>
    <xf numFmtId="0" fontId="13" fillId="0" borderId="0" xfId="20" applyFont="1" applyAlignment="1">
      <alignment vertical="top" wrapText="1"/>
    </xf>
    <xf numFmtId="0" fontId="13" fillId="0" borderId="0" xfId="20" applyFont="1" applyAlignment="1">
      <alignment horizontal="left" vertical="top" wrapText="1"/>
    </xf>
    <xf numFmtId="0" fontId="11" fillId="0" borderId="10" xfId="0" applyFont="1" applyBorder="1" applyAlignment="1">
      <alignment vertical="center"/>
    </xf>
    <xf numFmtId="0" fontId="11" fillId="0" borderId="0" xfId="0" quotePrefix="1" applyFont="1"/>
    <xf numFmtId="0" fontId="13" fillId="0" borderId="0" xfId="0" applyFont="1" applyAlignment="1">
      <alignment vertical="center"/>
    </xf>
    <xf numFmtId="0" fontId="13" fillId="0" borderId="0" xfId="0" applyFont="1" applyAlignment="1">
      <alignment horizontal="left" vertical="center"/>
    </xf>
    <xf numFmtId="0" fontId="13" fillId="0" borderId="0" xfId="0" applyFont="1" applyAlignment="1">
      <alignment horizontal="center"/>
    </xf>
    <xf numFmtId="0" fontId="13" fillId="0" borderId="0" xfId="0" applyFont="1" applyAlignment="1">
      <alignment horizontal="right"/>
    </xf>
    <xf numFmtId="0" fontId="13" fillId="0" borderId="0" xfId="0" applyFont="1" applyAlignment="1">
      <alignment horizontal="right" vertical="center"/>
    </xf>
    <xf numFmtId="0" fontId="13" fillId="0" borderId="0" xfId="0" applyFont="1" applyAlignment="1">
      <alignment vertical="top"/>
    </xf>
    <xf numFmtId="0" fontId="13" fillId="0" borderId="0" xfId="0" applyFont="1" applyAlignment="1">
      <alignment horizontal="justify" vertical="justify"/>
    </xf>
    <xf numFmtId="0" fontId="13" fillId="0" borderId="0" xfId="0" applyFont="1" applyAlignment="1">
      <alignment horizontal="left" vertical="justify"/>
    </xf>
    <xf numFmtId="2" fontId="13" fillId="0" borderId="0" xfId="0" applyNumberFormat="1" applyFont="1" applyAlignment="1">
      <alignment horizontal="center"/>
    </xf>
    <xf numFmtId="0" fontId="13" fillId="0" borderId="0" xfId="0" applyFont="1" applyAlignment="1">
      <alignment horizontal="center" vertical="center"/>
    </xf>
    <xf numFmtId="172" fontId="11" fillId="0" borderId="0" xfId="0" applyNumberFormat="1" applyFont="1" applyAlignment="1">
      <alignment horizontal="left" vertical="center"/>
    </xf>
    <xf numFmtId="0" fontId="52" fillId="0" borderId="0" xfId="0" applyFont="1" applyAlignment="1">
      <alignment horizontal="left" vertical="center"/>
    </xf>
    <xf numFmtId="2" fontId="11" fillId="0" borderId="0" xfId="0" applyNumberFormat="1" applyFont="1" applyAlignment="1">
      <alignment horizontal="center" vertical="center"/>
    </xf>
    <xf numFmtId="1" fontId="11" fillId="0" borderId="0" xfId="0" applyNumberFormat="1" applyFont="1"/>
    <xf numFmtId="0" fontId="68" fillId="0" borderId="0" xfId="18" applyFont="1" applyAlignment="1">
      <alignment vertical="center"/>
    </xf>
    <xf numFmtId="0" fontId="11" fillId="8" borderId="0" xfId="0" applyFont="1" applyFill="1"/>
    <xf numFmtId="0" fontId="11" fillId="6" borderId="0" xfId="0" applyFont="1" applyFill="1"/>
    <xf numFmtId="0" fontId="0" fillId="0" borderId="0" xfId="0" applyAlignment="1">
      <alignment horizontal="left"/>
    </xf>
    <xf numFmtId="0" fontId="54" fillId="0" borderId="0" xfId="18" applyFont="1" applyAlignment="1">
      <alignment vertical="center"/>
    </xf>
    <xf numFmtId="0" fontId="0" fillId="0" borderId="0" xfId="0" applyAlignment="1">
      <alignment horizontal="right"/>
    </xf>
    <xf numFmtId="0" fontId="11" fillId="0" borderId="0" xfId="18" applyFont="1" applyAlignment="1">
      <alignment vertical="center" wrapText="1"/>
    </xf>
    <xf numFmtId="0" fontId="3" fillId="0" borderId="0" xfId="0" applyFont="1"/>
    <xf numFmtId="0" fontId="0" fillId="8" borderId="0" xfId="0" applyFill="1"/>
    <xf numFmtId="0" fontId="0" fillId="0" borderId="1" xfId="0" applyBorder="1" applyAlignment="1">
      <alignment horizontal="center" vertical="center"/>
    </xf>
    <xf numFmtId="0" fontId="3" fillId="0" borderId="0" xfId="0" applyFont="1" applyAlignment="1">
      <alignment horizontal="center"/>
    </xf>
    <xf numFmtId="0" fontId="11" fillId="0" borderId="0" xfId="18" applyFont="1" applyAlignment="1">
      <alignment vertical="justify" wrapText="1"/>
    </xf>
    <xf numFmtId="0" fontId="13" fillId="0" borderId="0" xfId="20" applyFont="1" applyAlignment="1">
      <alignment vertical="center" wrapText="1"/>
    </xf>
    <xf numFmtId="0" fontId="13" fillId="0" borderId="0" xfId="18" quotePrefix="1" applyFont="1" applyAlignment="1">
      <alignment vertical="center"/>
    </xf>
    <xf numFmtId="0" fontId="54"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0" fillId="0" borderId="19" xfId="0" applyBorder="1" applyAlignment="1">
      <alignment horizontal="center"/>
    </xf>
    <xf numFmtId="9" fontId="0" fillId="0" borderId="0" xfId="21" applyFont="1"/>
    <xf numFmtId="0" fontId="73" fillId="0" borderId="0" xfId="0" applyFont="1" applyAlignment="1">
      <alignment vertical="top"/>
    </xf>
    <xf numFmtId="0" fontId="73" fillId="0" borderId="0" xfId="0" applyFont="1" applyAlignment="1">
      <alignment horizontal="left" vertical="top"/>
    </xf>
    <xf numFmtId="0" fontId="73" fillId="0" borderId="0" xfId="0" quotePrefix="1" applyFont="1" applyAlignment="1">
      <alignment horizontal="center" vertical="top"/>
    </xf>
    <xf numFmtId="0" fontId="73" fillId="0" borderId="0" xfId="0" applyFont="1" applyAlignment="1">
      <alignment horizontal="center" vertical="top"/>
    </xf>
    <xf numFmtId="0" fontId="75" fillId="0" borderId="0" xfId="0" applyFont="1" applyAlignment="1">
      <alignment horizontal="center" vertical="top"/>
    </xf>
    <xf numFmtId="0" fontId="73" fillId="0" borderId="13" xfId="0" applyFont="1" applyBorder="1" applyAlignment="1">
      <alignment vertical="top"/>
    </xf>
    <xf numFmtId="0" fontId="73" fillId="0" borderId="5" xfId="0" applyFont="1" applyBorder="1" applyAlignment="1">
      <alignment vertical="top"/>
    </xf>
    <xf numFmtId="0" fontId="76" fillId="0" borderId="13" xfId="0" applyFont="1" applyBorder="1" applyAlignment="1">
      <alignment vertical="top"/>
    </xf>
    <xf numFmtId="0" fontId="73" fillId="0" borderId="6" xfId="0" applyFont="1" applyBorder="1" applyAlignment="1">
      <alignment vertical="top"/>
    </xf>
    <xf numFmtId="0" fontId="73" fillId="0" borderId="7" xfId="0" applyFont="1" applyBorder="1" applyAlignment="1">
      <alignment vertical="top"/>
    </xf>
    <xf numFmtId="0" fontId="73" fillId="0" borderId="8" xfId="0" applyFont="1" applyBorder="1" applyAlignment="1">
      <alignment vertical="top"/>
    </xf>
    <xf numFmtId="0" fontId="77" fillId="0" borderId="12" xfId="0" applyFont="1" applyBorder="1" applyAlignment="1">
      <alignment horizontal="center" vertical="top"/>
    </xf>
    <xf numFmtId="0" fontId="73" fillId="0" borderId="9" xfId="0" applyFont="1" applyBorder="1" applyAlignment="1">
      <alignment vertical="top"/>
    </xf>
    <xf numFmtId="0" fontId="73" fillId="0" borderId="10" xfId="0" applyFont="1" applyBorder="1" applyAlignment="1">
      <alignment vertical="top"/>
    </xf>
    <xf numFmtId="0" fontId="73" fillId="0" borderId="11" xfId="0" applyFont="1" applyBorder="1" applyAlignment="1">
      <alignment vertical="top"/>
    </xf>
    <xf numFmtId="0" fontId="73" fillId="0" borderId="1" xfId="0" applyFont="1" applyBorder="1" applyAlignment="1">
      <alignment horizontal="center" vertical="top"/>
    </xf>
    <xf numFmtId="0" fontId="73" fillId="0" borderId="19" xfId="0" applyFont="1" applyBorder="1" applyAlignment="1">
      <alignment vertical="top"/>
    </xf>
    <xf numFmtId="0" fontId="73" fillId="0" borderId="7" xfId="0" applyFont="1" applyBorder="1" applyAlignment="1">
      <alignment horizontal="center" vertical="top"/>
    </xf>
    <xf numFmtId="0" fontId="73" fillId="0" borderId="4" xfId="0" applyFont="1" applyBorder="1" applyAlignment="1">
      <alignment vertical="top"/>
    </xf>
    <xf numFmtId="0" fontId="73" fillId="4" borderId="0" xfId="0" applyFont="1" applyFill="1" applyAlignment="1">
      <alignment vertical="top"/>
    </xf>
    <xf numFmtId="0" fontId="73" fillId="0" borderId="0" xfId="0" applyFont="1" applyAlignment="1">
      <alignment vertical="top" wrapText="1"/>
    </xf>
    <xf numFmtId="0" fontId="79" fillId="0" borderId="0" xfId="6" applyFont="1" applyAlignment="1">
      <alignment horizontal="left" vertical="top"/>
    </xf>
    <xf numFmtId="0" fontId="79" fillId="0" borderId="0" xfId="6" applyFont="1" applyAlignment="1">
      <alignment horizontal="center" vertical="top"/>
    </xf>
    <xf numFmtId="0" fontId="79" fillId="0" borderId="7" xfId="6" applyFont="1" applyBorder="1" applyAlignment="1">
      <alignment horizontal="left" vertical="top"/>
    </xf>
    <xf numFmtId="0" fontId="75" fillId="0" borderId="0" xfId="6" applyFont="1" applyAlignment="1">
      <alignment horizontal="center" vertical="top"/>
    </xf>
    <xf numFmtId="0" fontId="75" fillId="0" borderId="0" xfId="6" applyFont="1" applyAlignment="1">
      <alignment vertical="top"/>
    </xf>
    <xf numFmtId="0" fontId="75" fillId="0" borderId="1" xfId="6" applyFont="1" applyBorder="1" applyAlignment="1">
      <alignment horizontal="center" vertical="top"/>
    </xf>
    <xf numFmtId="0" fontId="78" fillId="0" borderId="0" xfId="6" applyFont="1" applyAlignment="1">
      <alignment horizontal="right" vertical="top"/>
    </xf>
    <xf numFmtId="0" fontId="73" fillId="0" borderId="0" xfId="6" applyFont="1" applyAlignment="1">
      <alignment vertical="top"/>
    </xf>
    <xf numFmtId="0" fontId="73" fillId="0" borderId="0" xfId="0" applyFont="1" applyAlignment="1">
      <alignment horizontal="right" vertical="top"/>
    </xf>
    <xf numFmtId="0" fontId="76" fillId="0" borderId="0" xfId="0" applyFont="1" applyAlignment="1">
      <alignment vertical="top"/>
    </xf>
    <xf numFmtId="0" fontId="76" fillId="0" borderId="0" xfId="0" applyFont="1" applyAlignment="1">
      <alignment horizontal="right" vertical="top"/>
    </xf>
    <xf numFmtId="0" fontId="76" fillId="0" borderId="0" xfId="6" applyFont="1" applyAlignment="1">
      <alignment vertical="top"/>
    </xf>
    <xf numFmtId="0" fontId="83" fillId="0" borderId="0" xfId="0" applyFont="1" applyAlignment="1">
      <alignment vertical="top"/>
    </xf>
    <xf numFmtId="0" fontId="78" fillId="0" borderId="0" xfId="6" applyFont="1" applyAlignment="1">
      <alignment vertical="top"/>
    </xf>
    <xf numFmtId="0" fontId="73" fillId="0" borderId="0" xfId="6" applyFont="1" applyAlignment="1">
      <alignment horizontal="center" vertical="top"/>
    </xf>
    <xf numFmtId="0" fontId="78" fillId="0" borderId="0" xfId="6" applyFont="1" applyAlignment="1">
      <alignment horizontal="center" vertical="top"/>
    </xf>
    <xf numFmtId="0" fontId="78" fillId="0" borderId="0" xfId="6" applyFont="1" applyAlignment="1">
      <alignment horizontal="left" vertical="top"/>
    </xf>
    <xf numFmtId="0" fontId="73" fillId="0" borderId="0" xfId="6" applyFont="1" applyAlignment="1">
      <alignment horizontal="left" vertical="top"/>
    </xf>
    <xf numFmtId="2" fontId="78" fillId="0" borderId="0" xfId="6" applyNumberFormat="1" applyFont="1" applyAlignment="1">
      <alignment horizontal="center" vertical="top"/>
    </xf>
    <xf numFmtId="169" fontId="78" fillId="0" borderId="0" xfId="6" applyNumberFormat="1" applyFont="1" applyAlignment="1">
      <alignment vertical="top"/>
    </xf>
    <xf numFmtId="0" fontId="75" fillId="0" borderId="0" xfId="0" applyFont="1" applyAlignment="1">
      <alignment vertical="top" wrapText="1"/>
    </xf>
    <xf numFmtId="0" fontId="75" fillId="0" borderId="0" xfId="0" applyFont="1" applyAlignment="1">
      <alignment vertical="top"/>
    </xf>
    <xf numFmtId="0" fontId="73" fillId="0" borderId="0" xfId="6" applyFont="1" applyAlignment="1">
      <alignment vertical="top" wrapText="1"/>
    </xf>
    <xf numFmtId="0" fontId="78" fillId="0" borderId="0" xfId="0" applyFont="1" applyAlignment="1">
      <alignment vertical="top"/>
    </xf>
    <xf numFmtId="0" fontId="73" fillId="0" borderId="14" xfId="0" applyFont="1" applyBorder="1" applyAlignment="1">
      <alignment vertical="top"/>
    </xf>
    <xf numFmtId="0" fontId="73" fillId="0" borderId="0" xfId="0" applyFont="1"/>
    <xf numFmtId="0" fontId="73" fillId="0" borderId="0" xfId="0" applyFont="1" applyAlignment="1">
      <alignment horizontal="left"/>
    </xf>
    <xf numFmtId="0" fontId="73" fillId="0" borderId="0" xfId="0" quotePrefix="1" applyFont="1" applyAlignment="1">
      <alignment horizontal="center"/>
    </xf>
    <xf numFmtId="0" fontId="73" fillId="0" borderId="0" xfId="0" applyFont="1" applyAlignment="1">
      <alignment horizontal="center"/>
    </xf>
    <xf numFmtId="0" fontId="73" fillId="0" borderId="0" xfId="0" applyFont="1" applyProtection="1">
      <protection locked="0"/>
    </xf>
    <xf numFmtId="0" fontId="73" fillId="0" borderId="0" xfId="0" applyFont="1" applyAlignment="1" applyProtection="1">
      <alignment horizontal="left"/>
      <protection locked="0"/>
    </xf>
    <xf numFmtId="0" fontId="73" fillId="0" borderId="0" xfId="0" quotePrefix="1" applyFont="1" applyAlignment="1" applyProtection="1">
      <alignment horizontal="center"/>
      <protection locked="0"/>
    </xf>
    <xf numFmtId="0" fontId="73" fillId="0" borderId="0" xfId="0" applyFont="1" applyAlignment="1" applyProtection="1">
      <alignment horizontal="center"/>
      <protection locked="0"/>
    </xf>
    <xf numFmtId="0" fontId="85" fillId="0" borderId="0" xfId="18" applyFont="1"/>
    <xf numFmtId="0" fontId="86" fillId="0" borderId="0" xfId="18" applyFont="1"/>
    <xf numFmtId="0" fontId="73" fillId="0" borderId="0" xfId="18" applyFont="1"/>
    <xf numFmtId="0" fontId="73" fillId="0" borderId="0" xfId="18" applyFont="1" applyAlignment="1">
      <alignment horizontal="left"/>
    </xf>
    <xf numFmtId="0" fontId="76" fillId="0" borderId="0" xfId="18" applyFont="1"/>
    <xf numFmtId="0" fontId="73" fillId="0" borderId="0" xfId="18" applyFont="1" applyAlignment="1">
      <alignment horizontal="right"/>
    </xf>
    <xf numFmtId="0" fontId="73" fillId="0" borderId="0" xfId="18" quotePrefix="1" applyFont="1" applyAlignment="1">
      <alignment horizontal="center"/>
    </xf>
    <xf numFmtId="0" fontId="76" fillId="0" borderId="0" xfId="18" applyFont="1" applyAlignment="1">
      <alignment horizontal="right"/>
    </xf>
    <xf numFmtId="0" fontId="73" fillId="0" borderId="0" xfId="18" applyFont="1" applyAlignment="1">
      <alignment horizontal="center"/>
    </xf>
    <xf numFmtId="0" fontId="73" fillId="0" borderId="0" xfId="18" applyFont="1" applyAlignment="1">
      <alignment vertical="top" wrapText="1"/>
    </xf>
    <xf numFmtId="168" fontId="73" fillId="0" borderId="0" xfId="18" applyNumberFormat="1" applyFont="1" applyAlignment="1">
      <alignment horizontal="left"/>
    </xf>
    <xf numFmtId="0" fontId="73" fillId="0" borderId="0" xfId="18" quotePrefix="1" applyFont="1"/>
    <xf numFmtId="1" fontId="73" fillId="0" borderId="0" xfId="18" applyNumberFormat="1" applyFont="1" applyAlignment="1">
      <alignment horizontal="center"/>
    </xf>
    <xf numFmtId="2" fontId="73" fillId="0" borderId="0" xfId="18" applyNumberFormat="1" applyFont="1" applyAlignment="1">
      <alignment horizontal="center"/>
    </xf>
    <xf numFmtId="0" fontId="73" fillId="0" borderId="0" xfId="18" applyFont="1" applyAlignment="1">
      <alignment wrapText="1"/>
    </xf>
    <xf numFmtId="168" fontId="73" fillId="0" borderId="0" xfId="18" applyNumberFormat="1" applyFont="1" applyAlignment="1">
      <alignment horizontal="center"/>
    </xf>
    <xf numFmtId="0" fontId="76" fillId="0" borderId="0" xfId="18" applyFont="1" applyAlignment="1">
      <alignment horizontal="left"/>
    </xf>
    <xf numFmtId="0" fontId="76" fillId="0" borderId="0" xfId="0" applyFont="1"/>
    <xf numFmtId="0" fontId="73" fillId="0" borderId="0" xfId="19" applyFont="1"/>
    <xf numFmtId="0" fontId="86" fillId="0" borderId="0" xfId="19" applyFont="1" applyAlignment="1">
      <alignment horizontal="center" vertical="center" wrapText="1"/>
    </xf>
    <xf numFmtId="0" fontId="86" fillId="0" borderId="0" xfId="19" applyFont="1" applyAlignment="1">
      <alignment horizontal="left" vertical="center" wrapText="1"/>
    </xf>
    <xf numFmtId="0" fontId="73" fillId="0" borderId="0" xfId="19" applyFont="1" applyAlignment="1">
      <alignment horizontal="left" vertical="center"/>
    </xf>
    <xf numFmtId="0" fontId="86" fillId="0" borderId="0" xfId="0" applyFont="1"/>
    <xf numFmtId="0" fontId="73" fillId="0" borderId="0" xfId="0" applyFont="1" applyAlignment="1">
      <alignment horizontal="right"/>
    </xf>
    <xf numFmtId="0" fontId="73" fillId="0" borderId="36" xfId="0" applyFont="1" applyBorder="1"/>
    <xf numFmtId="0" fontId="73" fillId="0" borderId="37" xfId="0" applyFont="1" applyBorder="1" applyAlignment="1">
      <alignment horizontal="right"/>
    </xf>
    <xf numFmtId="0" fontId="73" fillId="0" borderId="37" xfId="18" quotePrefix="1" applyFont="1" applyBorder="1" applyAlignment="1">
      <alignment horizontal="center"/>
    </xf>
    <xf numFmtId="0" fontId="73" fillId="0" borderId="37" xfId="0" applyFont="1" applyBorder="1" applyAlignment="1">
      <alignment horizontal="center"/>
    </xf>
    <xf numFmtId="0" fontId="73" fillId="0" borderId="40" xfId="0" applyFont="1" applyBorder="1"/>
    <xf numFmtId="0" fontId="73" fillId="0" borderId="43" xfId="0" applyFont="1" applyBorder="1"/>
    <xf numFmtId="0" fontId="73" fillId="0" borderId="44" xfId="18" applyFont="1" applyBorder="1" applyAlignment="1">
      <alignment horizontal="right"/>
    </xf>
    <xf numFmtId="0" fontId="73" fillId="0" borderId="44" xfId="18" quotePrefix="1" applyFont="1" applyBorder="1" applyAlignment="1">
      <alignment horizontal="center"/>
    </xf>
    <xf numFmtId="0" fontId="73" fillId="0" borderId="44" xfId="18" applyFont="1" applyBorder="1" applyAlignment="1">
      <alignment horizontal="center"/>
    </xf>
    <xf numFmtId="0" fontId="73" fillId="0" borderId="45" xfId="18" applyFont="1" applyBorder="1"/>
    <xf numFmtId="0" fontId="73" fillId="4" borderId="0" xfId="18" applyFont="1" applyFill="1" applyAlignment="1">
      <alignment horizontal="left"/>
    </xf>
    <xf numFmtId="0" fontId="86" fillId="0" borderId="0" xfId="18" applyFont="1" applyAlignment="1">
      <alignment horizontal="left"/>
    </xf>
    <xf numFmtId="0" fontId="73" fillId="0" borderId="37" xfId="0" applyFont="1" applyBorder="1"/>
    <xf numFmtId="0" fontId="73" fillId="0" borderId="37" xfId="18" applyFont="1" applyBorder="1" applyAlignment="1">
      <alignment horizontal="right"/>
    </xf>
    <xf numFmtId="0" fontId="73" fillId="0" borderId="37" xfId="18" applyFont="1" applyBorder="1" applyAlignment="1">
      <alignment horizontal="left"/>
    </xf>
    <xf numFmtId="0" fontId="73" fillId="0" borderId="40" xfId="18" applyFont="1" applyBorder="1"/>
    <xf numFmtId="0" fontId="73" fillId="0" borderId="44" xfId="0" applyFont="1" applyBorder="1"/>
    <xf numFmtId="0" fontId="73" fillId="0" borderId="44" xfId="18" applyFont="1" applyBorder="1" applyAlignment="1">
      <alignment horizontal="left"/>
    </xf>
    <xf numFmtId="0" fontId="73" fillId="0" borderId="41" xfId="0" applyFont="1" applyBorder="1"/>
    <xf numFmtId="0" fontId="73" fillId="0" borderId="42" xfId="18" applyFont="1" applyBorder="1"/>
    <xf numFmtId="0" fontId="76" fillId="0" borderId="0" xfId="18" applyFont="1" applyAlignment="1">
      <alignment horizontal="left" vertical="justify" wrapText="1"/>
    </xf>
    <xf numFmtId="0" fontId="76" fillId="0" borderId="0" xfId="18" applyFont="1" applyAlignment="1">
      <alignment vertical="justify" wrapText="1"/>
    </xf>
    <xf numFmtId="173" fontId="73" fillId="0" borderId="0" xfId="18" applyNumberFormat="1" applyFont="1"/>
    <xf numFmtId="164" fontId="73" fillId="0" borderId="0" xfId="0" applyNumberFormat="1" applyFont="1"/>
    <xf numFmtId="0" fontId="73" fillId="0" borderId="0" xfId="0" applyFont="1" applyAlignment="1">
      <alignment wrapText="1"/>
    </xf>
    <xf numFmtId="0" fontId="73" fillId="0" borderId="0" xfId="0" applyFont="1" applyAlignment="1">
      <alignment vertical="center"/>
    </xf>
    <xf numFmtId="168" fontId="73" fillId="0" borderId="0" xfId="0" applyNumberFormat="1" applyFont="1" applyAlignment="1">
      <alignment horizontal="center"/>
    </xf>
    <xf numFmtId="0" fontId="73" fillId="4" borderId="0" xfId="0" applyFont="1" applyFill="1"/>
    <xf numFmtId="0" fontId="73" fillId="4" borderId="0" xfId="0" applyFont="1" applyFill="1" applyAlignment="1">
      <alignment horizontal="left"/>
    </xf>
    <xf numFmtId="0" fontId="85" fillId="0" borderId="0" xfId="18" applyFont="1" applyAlignment="1">
      <alignment horizontal="left"/>
    </xf>
    <xf numFmtId="0" fontId="73" fillId="0" borderId="36" xfId="18" applyFont="1" applyBorder="1" applyAlignment="1">
      <alignment horizontal="left"/>
    </xf>
    <xf numFmtId="0" fontId="73" fillId="0" borderId="37" xfId="0" applyFont="1" applyBorder="1" applyAlignment="1">
      <alignment horizontal="right" vertical="center"/>
    </xf>
    <xf numFmtId="0" fontId="76" fillId="0" borderId="37" xfId="18" quotePrefix="1" applyFont="1" applyBorder="1" applyAlignment="1">
      <alignment horizontal="center"/>
    </xf>
    <xf numFmtId="0" fontId="73" fillId="0" borderId="37" xfId="0" applyFont="1" applyBorder="1" applyAlignment="1">
      <alignment horizontal="left"/>
    </xf>
    <xf numFmtId="0" fontId="73" fillId="0" borderId="37" xfId="18" applyFont="1" applyBorder="1"/>
    <xf numFmtId="0" fontId="73" fillId="0" borderId="41" xfId="18" applyFont="1" applyBorder="1" applyAlignment="1">
      <alignment horizontal="left"/>
    </xf>
    <xf numFmtId="0" fontId="73" fillId="0" borderId="0" xfId="0" applyFont="1" applyAlignment="1">
      <alignment horizontal="right" vertical="center"/>
    </xf>
    <xf numFmtId="0" fontId="76" fillId="0" borderId="0" xfId="18" quotePrefix="1" applyFont="1" applyAlignment="1">
      <alignment horizontal="center"/>
    </xf>
    <xf numFmtId="0" fontId="76" fillId="0" borderId="41" xfId="18" applyFont="1" applyBorder="1" applyAlignment="1">
      <alignment horizontal="left"/>
    </xf>
    <xf numFmtId="0" fontId="76" fillId="0" borderId="42" xfId="18" applyFont="1" applyBorder="1"/>
    <xf numFmtId="0" fontId="76" fillId="0" borderId="43" xfId="18" applyFont="1" applyBorder="1" applyAlignment="1">
      <alignment horizontal="left"/>
    </xf>
    <xf numFmtId="0" fontId="73" fillId="0" borderId="44" xfId="0" applyFont="1" applyBorder="1" applyAlignment="1">
      <alignment horizontal="right" vertical="center"/>
    </xf>
    <xf numFmtId="0" fontId="76" fillId="0" borderId="44" xfId="18" quotePrefix="1" applyFont="1" applyBorder="1" applyAlignment="1">
      <alignment horizontal="center"/>
    </xf>
    <xf numFmtId="0" fontId="73" fillId="0" borderId="44" xfId="0" applyFont="1" applyBorder="1" applyAlignment="1">
      <alignment horizontal="center"/>
    </xf>
    <xf numFmtId="0" fontId="73" fillId="0" borderId="44" xfId="0" applyFont="1" applyBorder="1" applyAlignment="1">
      <alignment horizontal="left"/>
    </xf>
    <xf numFmtId="0" fontId="76" fillId="0" borderId="44" xfId="18" applyFont="1" applyBorder="1"/>
    <xf numFmtId="0" fontId="76" fillId="0" borderId="45" xfId="18" applyFont="1" applyBorder="1"/>
    <xf numFmtId="0" fontId="73" fillId="0" borderId="0" xfId="20" applyFont="1"/>
    <xf numFmtId="0" fontId="73" fillId="0" borderId="0" xfId="20" applyFont="1" applyAlignment="1">
      <alignment horizontal="left"/>
    </xf>
    <xf numFmtId="0" fontId="86" fillId="0" borderId="0" xfId="0" applyFont="1" applyAlignment="1">
      <alignment horizontal="left"/>
    </xf>
    <xf numFmtId="0" fontId="73" fillId="0" borderId="0" xfId="20" applyFont="1" applyAlignment="1">
      <alignment horizontal="right"/>
    </xf>
    <xf numFmtId="169" fontId="73" fillId="0" borderId="0" xfId="0" applyNumberFormat="1" applyFont="1"/>
    <xf numFmtId="2" fontId="73" fillId="0" borderId="0" xfId="0" applyNumberFormat="1" applyFont="1" applyAlignment="1">
      <alignment horizontal="center"/>
    </xf>
    <xf numFmtId="0" fontId="76" fillId="0" borderId="0" xfId="0" applyFont="1" applyAlignment="1">
      <alignment horizontal="left"/>
    </xf>
    <xf numFmtId="0" fontId="85" fillId="0" borderId="0" xfId="20" applyFont="1" applyAlignment="1">
      <alignment horizontal="left"/>
    </xf>
    <xf numFmtId="0" fontId="76" fillId="0" borderId="0" xfId="20" applyFont="1" applyAlignment="1">
      <alignment vertical="top" wrapText="1"/>
    </xf>
    <xf numFmtId="0" fontId="76" fillId="0" borderId="0" xfId="20" applyFont="1" applyAlignment="1">
      <alignment horizontal="left" vertical="top" wrapText="1"/>
    </xf>
    <xf numFmtId="0" fontId="75" fillId="0" borderId="0" xfId="0" applyFont="1" applyAlignment="1">
      <alignment horizontal="left" wrapText="1"/>
    </xf>
    <xf numFmtId="2" fontId="73" fillId="0" borderId="0" xfId="0" applyNumberFormat="1" applyFont="1" applyAlignment="1">
      <alignment horizontal="left"/>
    </xf>
    <xf numFmtId="0" fontId="73" fillId="0" borderId="0" xfId="0" applyFont="1" applyAlignment="1">
      <alignment horizontal="center" vertical="center"/>
    </xf>
    <xf numFmtId="0" fontId="73" fillId="0" borderId="0" xfId="0" quotePrefix="1" applyFont="1"/>
    <xf numFmtId="0" fontId="76" fillId="0" borderId="0" xfId="0" applyFont="1" applyAlignment="1">
      <alignment vertical="center"/>
    </xf>
    <xf numFmtId="0" fontId="76" fillId="0" borderId="0" xfId="0" applyFont="1" applyAlignment="1">
      <alignment horizontal="left" vertical="center"/>
    </xf>
    <xf numFmtId="0" fontId="76" fillId="0" borderId="0" xfId="0" applyFont="1" applyAlignment="1">
      <alignment horizontal="center"/>
    </xf>
    <xf numFmtId="0" fontId="76" fillId="0" borderId="0" xfId="0" applyFont="1" applyAlignment="1">
      <alignment horizontal="right"/>
    </xf>
    <xf numFmtId="0" fontId="76" fillId="0" borderId="0" xfId="0" applyFont="1" applyAlignment="1">
      <alignment horizontal="right" vertical="center"/>
    </xf>
    <xf numFmtId="0" fontId="76" fillId="0" borderId="0" xfId="0" applyFont="1" applyAlignment="1">
      <alignment horizontal="justify" vertical="justify"/>
    </xf>
    <xf numFmtId="168" fontId="73" fillId="0" borderId="0" xfId="0" applyNumberFormat="1" applyFont="1"/>
    <xf numFmtId="2" fontId="76" fillId="0" borderId="0" xfId="0" applyNumberFormat="1" applyFont="1" applyAlignment="1">
      <alignment horizontal="center"/>
    </xf>
    <xf numFmtId="0" fontId="76" fillId="0" borderId="0" xfId="0" applyFont="1" applyAlignment="1">
      <alignment horizontal="center" vertical="center"/>
    </xf>
    <xf numFmtId="2" fontId="73" fillId="0" borderId="0" xfId="0" applyNumberFormat="1" applyFont="1"/>
    <xf numFmtId="172" fontId="73" fillId="0" borderId="0" xfId="0" applyNumberFormat="1" applyFont="1" applyAlignment="1">
      <alignment horizontal="left"/>
    </xf>
    <xf numFmtId="0" fontId="73" fillId="0" borderId="42" xfId="0" applyFont="1" applyBorder="1"/>
    <xf numFmtId="0" fontId="73" fillId="0" borderId="45" xfId="0" applyFont="1" applyBorder="1"/>
    <xf numFmtId="172" fontId="73" fillId="0" borderId="0" xfId="0" applyNumberFormat="1" applyFont="1" applyAlignment="1">
      <alignment horizontal="left" vertical="center"/>
    </xf>
    <xf numFmtId="0" fontId="86" fillId="0" borderId="0" xfId="0" applyFont="1" applyAlignment="1">
      <alignment horizontal="left" vertical="center"/>
    </xf>
    <xf numFmtId="0" fontId="73" fillId="0" borderId="0" xfId="0" applyFont="1" applyAlignment="1">
      <alignment horizontal="left" vertical="center"/>
    </xf>
    <xf numFmtId="2" fontId="73" fillId="0" borderId="0" xfId="0" applyNumberFormat="1" applyFont="1" applyAlignment="1">
      <alignment horizontal="center" vertical="center"/>
    </xf>
    <xf numFmtId="0" fontId="73" fillId="0" borderId="36" xfId="0" applyFont="1" applyBorder="1" applyAlignment="1">
      <alignment horizontal="left" vertical="center"/>
    </xf>
    <xf numFmtId="0" fontId="73" fillId="0" borderId="44" xfId="0" applyFont="1" applyBorder="1" applyAlignment="1">
      <alignment horizontal="left" vertical="center"/>
    </xf>
    <xf numFmtId="0" fontId="73" fillId="0" borderId="37" xfId="0" applyFont="1" applyBorder="1" applyAlignment="1">
      <alignment horizontal="left" vertical="center"/>
    </xf>
    <xf numFmtId="0" fontId="11" fillId="0" borderId="0" xfId="0" quotePrefix="1" applyFont="1" applyFill="1" applyAlignment="1">
      <alignment horizontal="right"/>
    </xf>
    <xf numFmtId="0" fontId="6" fillId="5" borderId="0" xfId="2" applyFont="1" applyFill="1" applyAlignment="1">
      <alignment horizontal="center"/>
    </xf>
    <xf numFmtId="0" fontId="11" fillId="0" borderId="0" xfId="6" applyFont="1" applyAlignment="1">
      <alignment horizontal="center" vertical="center" wrapText="1"/>
    </xf>
    <xf numFmtId="0" fontId="6" fillId="5" borderId="0" xfId="2" applyFont="1" applyFill="1" applyAlignment="1">
      <alignment horizontal="center" vertical="center"/>
    </xf>
    <xf numFmtId="0" fontId="5" fillId="0" borderId="24" xfId="2" applyBorder="1" applyAlignment="1">
      <alignment horizontal="center"/>
    </xf>
    <xf numFmtId="0" fontId="5" fillId="0" borderId="25" xfId="2" applyBorder="1" applyAlignment="1">
      <alignment horizontal="center"/>
    </xf>
    <xf numFmtId="0" fontId="5" fillId="0" borderId="26" xfId="2" applyBorder="1" applyAlignment="1">
      <alignment horizontal="center"/>
    </xf>
    <xf numFmtId="0" fontId="5" fillId="0" borderId="39" xfId="2" applyBorder="1" applyAlignment="1">
      <alignment horizontal="center"/>
    </xf>
    <xf numFmtId="0" fontId="5" fillId="0" borderId="15" xfId="2" applyBorder="1" applyAlignment="1">
      <alignment horizontal="center"/>
    </xf>
    <xf numFmtId="0" fontId="5" fillId="0" borderId="16" xfId="2" applyBorder="1" applyAlignment="1">
      <alignment horizontal="center"/>
    </xf>
    <xf numFmtId="0" fontId="5" fillId="0" borderId="17" xfId="2" applyBorder="1" applyAlignment="1">
      <alignment horizontal="center"/>
    </xf>
    <xf numFmtId="0" fontId="5" fillId="0" borderId="36" xfId="2" applyBorder="1" applyAlignment="1">
      <alignment horizontal="center"/>
    </xf>
    <xf numFmtId="0" fontId="5" fillId="0" borderId="37" xfId="2" applyBorder="1" applyAlignment="1">
      <alignment horizontal="center"/>
    </xf>
    <xf numFmtId="0" fontId="5" fillId="0" borderId="40" xfId="2" applyBorder="1" applyAlignment="1">
      <alignment horizontal="center"/>
    </xf>
    <xf numFmtId="0" fontId="5" fillId="0" borderId="41" xfId="2" applyBorder="1" applyAlignment="1">
      <alignment horizontal="center"/>
    </xf>
    <xf numFmtId="0" fontId="5" fillId="0" borderId="0" xfId="2" applyAlignment="1">
      <alignment horizontal="center"/>
    </xf>
    <xf numFmtId="0" fontId="5" fillId="0" borderId="42" xfId="2" applyBorder="1" applyAlignment="1">
      <alignment horizontal="center"/>
    </xf>
    <xf numFmtId="0" fontId="5" fillId="0" borderId="43" xfId="2" applyBorder="1" applyAlignment="1">
      <alignment horizontal="center"/>
    </xf>
    <xf numFmtId="0" fontId="5" fillId="0" borderId="44" xfId="2" applyBorder="1" applyAlignment="1">
      <alignment horizontal="center"/>
    </xf>
    <xf numFmtId="0" fontId="5" fillId="0" borderId="45" xfId="2" applyBorder="1" applyAlignment="1">
      <alignment horizontal="center"/>
    </xf>
    <xf numFmtId="0" fontId="5" fillId="0" borderId="33" xfId="2" applyBorder="1" applyAlignment="1">
      <alignment horizontal="center"/>
    </xf>
    <xf numFmtId="0" fontId="5" fillId="0" borderId="34" xfId="2" applyBorder="1" applyAlignment="1">
      <alignment horizontal="center"/>
    </xf>
    <xf numFmtId="0" fontId="5" fillId="0" borderId="1" xfId="2" applyBorder="1" applyAlignment="1">
      <alignment horizontal="center"/>
    </xf>
    <xf numFmtId="0" fontId="11" fillId="0" borderId="35" xfId="2" applyFont="1" applyBorder="1" applyAlignment="1">
      <alignment horizontal="center"/>
    </xf>
    <xf numFmtId="0" fontId="11" fillId="0" borderId="38" xfId="2" applyFont="1" applyBorder="1" applyAlignment="1">
      <alignment horizontal="center"/>
    </xf>
    <xf numFmtId="0" fontId="11" fillId="0" borderId="5" xfId="2" applyFont="1" applyBorder="1" applyAlignment="1">
      <alignment horizontal="center"/>
    </xf>
    <xf numFmtId="0" fontId="5" fillId="0" borderId="3" xfId="2" applyBorder="1" applyAlignment="1">
      <alignment horizontal="center"/>
    </xf>
    <xf numFmtId="0" fontId="5" fillId="0" borderId="5" xfId="2" applyBorder="1" applyAlignment="1">
      <alignment horizontal="center"/>
    </xf>
    <xf numFmtId="0" fontId="5" fillId="0" borderId="29" xfId="2" applyBorder="1" applyAlignment="1">
      <alignment horizontal="center"/>
    </xf>
    <xf numFmtId="0" fontId="5" fillId="0" borderId="30" xfId="2" applyBorder="1" applyAlignment="1">
      <alignment horizontal="center"/>
    </xf>
    <xf numFmtId="0" fontId="5" fillId="0" borderId="31" xfId="2" applyBorder="1" applyAlignment="1">
      <alignment horizontal="center"/>
    </xf>
    <xf numFmtId="0" fontId="5" fillId="0" borderId="32" xfId="2" applyBorder="1" applyAlignment="1">
      <alignment horizontal="center"/>
    </xf>
    <xf numFmtId="0" fontId="5" fillId="0" borderId="35" xfId="2" applyBorder="1" applyAlignment="1">
      <alignment horizontal="center"/>
    </xf>
    <xf numFmtId="0" fontId="5" fillId="0" borderId="53" xfId="2" applyBorder="1" applyAlignment="1">
      <alignment horizontal="center"/>
    </xf>
    <xf numFmtId="0" fontId="5" fillId="0" borderId="54" xfId="2" applyBorder="1" applyAlignment="1">
      <alignment horizontal="center"/>
    </xf>
    <xf numFmtId="0" fontId="5" fillId="0" borderId="55" xfId="2" applyBorder="1" applyAlignment="1">
      <alignment horizontal="center"/>
    </xf>
    <xf numFmtId="0" fontId="5" fillId="0" borderId="21" xfId="2" applyBorder="1" applyAlignment="1">
      <alignment horizontal="center"/>
    </xf>
    <xf numFmtId="0" fontId="5" fillId="0" borderId="22" xfId="2" applyBorder="1" applyAlignment="1">
      <alignment horizontal="center"/>
    </xf>
    <xf numFmtId="0" fontId="5" fillId="0" borderId="23" xfId="2" applyBorder="1" applyAlignment="1">
      <alignment horizontal="center"/>
    </xf>
    <xf numFmtId="0" fontId="5" fillId="0" borderId="27" xfId="2" applyBorder="1" applyAlignment="1">
      <alignment horizontal="center"/>
    </xf>
    <xf numFmtId="0" fontId="5" fillId="0" borderId="28" xfId="2" applyBorder="1" applyAlignment="1">
      <alignment horizontal="center"/>
    </xf>
    <xf numFmtId="1" fontId="5" fillId="0" borderId="1" xfId="2" applyNumberFormat="1" applyBorder="1" applyAlignment="1">
      <alignment horizontal="center"/>
    </xf>
    <xf numFmtId="0" fontId="5" fillId="0" borderId="1" xfId="2" applyBorder="1" applyAlignment="1">
      <alignment horizontal="center" vertical="center"/>
    </xf>
    <xf numFmtId="0" fontId="5" fillId="0" borderId="49" xfId="2" applyBorder="1" applyAlignment="1">
      <alignment horizontal="center" vertical="center"/>
    </xf>
    <xf numFmtId="0" fontId="5" fillId="0" borderId="6" xfId="2" applyBorder="1" applyAlignment="1">
      <alignment horizontal="center" vertical="center"/>
    </xf>
    <xf numFmtId="0" fontId="5" fillId="0" borderId="51" xfId="2" applyBorder="1" applyAlignment="1">
      <alignment horizontal="center" vertical="center"/>
    </xf>
    <xf numFmtId="0" fontId="5" fillId="0" borderId="52" xfId="2" applyBorder="1" applyAlignment="1">
      <alignment horizontal="center" vertical="center"/>
    </xf>
    <xf numFmtId="0" fontId="5" fillId="0" borderId="45" xfId="2" applyBorder="1" applyAlignment="1">
      <alignment horizontal="center" vertical="center"/>
    </xf>
    <xf numFmtId="0" fontId="1" fillId="0" borderId="9" xfId="3" applyBorder="1" applyAlignment="1">
      <alignment horizontal="left"/>
    </xf>
    <xf numFmtId="0" fontId="1" fillId="0" borderId="10" xfId="3" applyBorder="1" applyAlignment="1">
      <alignment horizontal="left"/>
    </xf>
    <xf numFmtId="0" fontId="1" fillId="0" borderId="10" xfId="3" applyBorder="1" applyAlignment="1">
      <alignment horizontal="center" vertical="center"/>
    </xf>
    <xf numFmtId="0" fontId="23" fillId="0" borderId="33" xfId="2" applyFont="1" applyBorder="1" applyAlignment="1">
      <alignment horizontal="center" vertical="center" wrapText="1"/>
    </xf>
    <xf numFmtId="0" fontId="23" fillId="0" borderId="24" xfId="2" applyFont="1" applyBorder="1" applyAlignment="1">
      <alignment horizontal="center" vertical="center" wrapText="1"/>
    </xf>
    <xf numFmtId="0" fontId="1" fillId="0" borderId="14" xfId="3" applyBorder="1" applyAlignment="1">
      <alignment horizontal="left"/>
    </xf>
    <xf numFmtId="0" fontId="1" fillId="0" borderId="0" xfId="3" applyAlignment="1">
      <alignment horizontal="left"/>
    </xf>
    <xf numFmtId="0" fontId="1" fillId="0" borderId="0" xfId="3" applyAlignment="1">
      <alignment horizontal="center" vertical="center"/>
    </xf>
    <xf numFmtId="0" fontId="1" fillId="0" borderId="6" xfId="3" applyBorder="1" applyAlignment="1">
      <alignment horizontal="left"/>
    </xf>
    <xf numFmtId="0" fontId="1" fillId="0" borderId="7" xfId="3" applyBorder="1" applyAlignment="1">
      <alignment horizontal="left"/>
    </xf>
    <xf numFmtId="0" fontId="5" fillId="0" borderId="38" xfId="2" applyBorder="1" applyAlignment="1">
      <alignment horizontal="center"/>
    </xf>
    <xf numFmtId="0" fontId="5" fillId="0" borderId="18" xfId="2" applyBorder="1" applyAlignment="1">
      <alignment horizontal="center"/>
    </xf>
    <xf numFmtId="0" fontId="5" fillId="0" borderId="19" xfId="2" applyBorder="1" applyAlignment="1">
      <alignment horizontal="center"/>
    </xf>
    <xf numFmtId="0" fontId="5" fillId="0" borderId="20" xfId="2" applyBorder="1" applyAlignment="1">
      <alignment horizontal="center"/>
    </xf>
    <xf numFmtId="0" fontId="7" fillId="0" borderId="3" xfId="2" applyFont="1" applyBorder="1" applyAlignment="1">
      <alignment horizontal="center" vertical="center"/>
    </xf>
    <xf numFmtId="0" fontId="7" fillId="0" borderId="4" xfId="2" applyFont="1" applyBorder="1" applyAlignment="1">
      <alignment horizontal="center" vertical="center"/>
    </xf>
    <xf numFmtId="0" fontId="7" fillId="0" borderId="5" xfId="2" applyFont="1" applyBorder="1" applyAlignment="1">
      <alignment horizontal="center" vertical="center"/>
    </xf>
    <xf numFmtId="10" fontId="0" fillId="0" borderId="1" xfId="4" applyNumberFormat="1" applyFont="1" applyFill="1" applyBorder="1" applyAlignment="1">
      <alignment horizontal="center"/>
    </xf>
    <xf numFmtId="0" fontId="5" fillId="0" borderId="3" xfId="2" applyBorder="1" applyAlignment="1">
      <alignment horizontal="center" vertical="center"/>
    </xf>
    <xf numFmtId="0" fontId="5" fillId="0" borderId="4" xfId="2" applyBorder="1" applyAlignment="1">
      <alignment horizontal="center" vertical="center"/>
    </xf>
    <xf numFmtId="0" fontId="5" fillId="0" borderId="5" xfId="2" applyBorder="1" applyAlignment="1">
      <alignment horizontal="center" vertical="center"/>
    </xf>
    <xf numFmtId="0" fontId="5" fillId="0" borderId="7" xfId="2" applyBorder="1" applyAlignment="1">
      <alignment horizontal="center" vertical="center"/>
    </xf>
    <xf numFmtId="0" fontId="5" fillId="0" borderId="8" xfId="2" applyBorder="1" applyAlignment="1">
      <alignment horizontal="center" vertical="center"/>
    </xf>
    <xf numFmtId="0" fontId="5" fillId="0" borderId="14" xfId="2" applyBorder="1" applyAlignment="1">
      <alignment horizontal="center" vertical="center"/>
    </xf>
    <xf numFmtId="0" fontId="5" fillId="0" borderId="0" xfId="2" applyAlignment="1">
      <alignment horizontal="center" vertical="center"/>
    </xf>
    <xf numFmtId="0" fontId="5" fillId="0" borderId="13" xfId="2" applyBorder="1" applyAlignment="1">
      <alignment horizontal="center" vertical="center"/>
    </xf>
    <xf numFmtId="0" fontId="5" fillId="0" borderId="9" xfId="2" applyBorder="1" applyAlignment="1">
      <alignment horizontal="center" vertical="center"/>
    </xf>
    <xf numFmtId="0" fontId="5" fillId="0" borderId="10" xfId="2" applyBorder="1" applyAlignment="1">
      <alignment horizontal="center" vertical="center"/>
    </xf>
    <xf numFmtId="0" fontId="5" fillId="0" borderId="11" xfId="2" applyBorder="1" applyAlignment="1">
      <alignment horizontal="center" vertical="center"/>
    </xf>
    <xf numFmtId="10" fontId="0" fillId="0" borderId="3" xfId="4" applyNumberFormat="1" applyFont="1" applyFill="1" applyBorder="1" applyAlignment="1">
      <alignment horizontal="center"/>
    </xf>
    <xf numFmtId="10" fontId="0" fillId="0" borderId="5" xfId="4" applyNumberFormat="1" applyFont="1" applyFill="1" applyBorder="1" applyAlignment="1">
      <alignment horizontal="center"/>
    </xf>
    <xf numFmtId="0" fontId="5" fillId="0" borderId="2" xfId="2" applyBorder="1" applyAlignment="1">
      <alignment horizontal="center" vertical="center"/>
    </xf>
    <xf numFmtId="0" fontId="1" fillId="0" borderId="0" xfId="2" applyFont="1" applyAlignment="1">
      <alignment horizontal="left" vertical="top" wrapText="1"/>
    </xf>
    <xf numFmtId="0" fontId="1" fillId="0" borderId="14" xfId="2" applyFont="1" applyBorder="1" applyAlignment="1">
      <alignment horizontal="left" vertical="top" wrapText="1"/>
    </xf>
    <xf numFmtId="0" fontId="7" fillId="0" borderId="0" xfId="2" applyFont="1" applyAlignment="1">
      <alignment horizontal="justify" vertical="top" wrapText="1"/>
    </xf>
    <xf numFmtId="0" fontId="7" fillId="0" borderId="14" xfId="2" applyFont="1" applyBorder="1" applyAlignment="1">
      <alignment horizontal="justify" vertical="top" wrapText="1"/>
    </xf>
    <xf numFmtId="0" fontId="1" fillId="0" borderId="0" xfId="2" applyFont="1" applyAlignment="1">
      <alignment horizontal="justify"/>
    </xf>
    <xf numFmtId="0" fontId="1" fillId="0" borderId="14" xfId="2" applyFont="1" applyBorder="1" applyAlignment="1">
      <alignment horizontal="justify"/>
    </xf>
    <xf numFmtId="0" fontId="7" fillId="0" borderId="0" xfId="2" applyFont="1" applyAlignment="1">
      <alignment horizontal="left" vertical="top" wrapText="1"/>
    </xf>
    <xf numFmtId="0" fontId="7" fillId="0" borderId="14" xfId="2" applyFont="1" applyBorder="1" applyAlignment="1">
      <alignment horizontal="left" vertical="top" wrapText="1"/>
    </xf>
    <xf numFmtId="0" fontId="7" fillId="0" borderId="13" xfId="2" applyFont="1" applyBorder="1" applyAlignment="1">
      <alignment horizontal="left" vertical="top" wrapText="1"/>
    </xf>
    <xf numFmtId="0" fontId="5" fillId="0" borderId="0" xfId="2" applyAlignment="1">
      <alignment horizontal="justify" vertical="center"/>
    </xf>
    <xf numFmtId="0" fontId="7" fillId="0" borderId="0" xfId="2" applyFont="1" applyAlignment="1">
      <alignment horizontal="left"/>
    </xf>
    <xf numFmtId="0" fontId="7" fillId="0" borderId="13" xfId="2" applyFont="1" applyBorder="1" applyAlignment="1">
      <alignment horizontal="left"/>
    </xf>
    <xf numFmtId="0" fontId="18" fillId="0" borderId="0" xfId="2" applyFont="1" applyAlignment="1">
      <alignment horizontal="left"/>
    </xf>
    <xf numFmtId="0" fontId="18" fillId="0" borderId="13" xfId="2" applyFont="1" applyBorder="1" applyAlignment="1">
      <alignment horizontal="left"/>
    </xf>
    <xf numFmtId="0" fontId="7" fillId="0" borderId="0" xfId="2" applyFont="1" applyAlignment="1">
      <alignment horizontal="left" vertical="justify"/>
    </xf>
    <xf numFmtId="0" fontId="7" fillId="0" borderId="13" xfId="2" applyFont="1" applyBorder="1" applyAlignment="1">
      <alignment horizontal="left" vertical="justify"/>
    </xf>
    <xf numFmtId="0" fontId="5" fillId="0" borderId="0" xfId="2" applyAlignment="1">
      <alignment horizontal="justify"/>
    </xf>
    <xf numFmtId="0" fontId="5" fillId="0" borderId="13" xfId="2" applyBorder="1" applyAlignment="1">
      <alignment horizontal="justify"/>
    </xf>
    <xf numFmtId="0" fontId="18" fillId="0" borderId="0" xfId="2" applyFont="1" applyAlignment="1">
      <alignment horizontal="left" vertical="justify"/>
    </xf>
    <xf numFmtId="0" fontId="7" fillId="0" borderId="0" xfId="2" applyFont="1" applyAlignment="1">
      <alignment horizontal="center" vertical="center"/>
    </xf>
    <xf numFmtId="1" fontId="7" fillId="0" borderId="0" xfId="2" applyNumberFormat="1" applyFont="1" applyAlignment="1">
      <alignment horizontal="left" vertical="justify" wrapText="1"/>
    </xf>
    <xf numFmtId="1" fontId="7" fillId="0" borderId="13" xfId="2" applyNumberFormat="1" applyFont="1" applyBorder="1" applyAlignment="1">
      <alignment horizontal="left" vertical="justify" wrapText="1"/>
    </xf>
    <xf numFmtId="0" fontId="52" fillId="6" borderId="1" xfId="10" applyFont="1" applyFill="1" applyBorder="1" applyAlignment="1">
      <alignment horizontal="center" vertical="center"/>
    </xf>
    <xf numFmtId="0" fontId="32" fillId="5" borderId="1" xfId="10" applyFont="1" applyFill="1" applyBorder="1" applyAlignment="1">
      <alignment horizontal="center"/>
    </xf>
    <xf numFmtId="0" fontId="32" fillId="5" borderId="2" xfId="10" applyFont="1" applyFill="1" applyBorder="1" applyAlignment="1">
      <alignment horizontal="center" vertical="center"/>
    </xf>
    <xf numFmtId="0" fontId="32" fillId="5" borderId="12" xfId="10" applyFont="1" applyFill="1" applyBorder="1" applyAlignment="1">
      <alignment horizontal="center" vertical="center"/>
    </xf>
    <xf numFmtId="0" fontId="44" fillId="5" borderId="1" xfId="10" applyFont="1" applyFill="1" applyBorder="1" applyAlignment="1">
      <alignment horizontal="center" vertical="center"/>
    </xf>
    <xf numFmtId="0" fontId="32" fillId="5" borderId="0" xfId="10" applyFont="1" applyFill="1" applyAlignment="1">
      <alignment horizontal="center" vertical="center"/>
    </xf>
    <xf numFmtId="0" fontId="35" fillId="5" borderId="15" xfId="10" applyFont="1" applyFill="1" applyBorder="1" applyAlignment="1">
      <alignment horizontal="center"/>
    </xf>
    <xf numFmtId="0" fontId="35" fillId="5" borderId="16" xfId="10" applyFont="1" applyFill="1" applyBorder="1" applyAlignment="1">
      <alignment horizontal="center"/>
    </xf>
    <xf numFmtId="0" fontId="35" fillId="5" borderId="17" xfId="10" applyFont="1" applyFill="1" applyBorder="1" applyAlignment="1">
      <alignment horizontal="center"/>
    </xf>
    <xf numFmtId="0" fontId="51" fillId="6" borderId="1" xfId="10" applyFont="1" applyFill="1" applyBorder="1" applyAlignment="1">
      <alignment horizontal="center"/>
    </xf>
    <xf numFmtId="0" fontId="32" fillId="5" borderId="1" xfId="10" applyFont="1" applyFill="1" applyBorder="1" applyAlignment="1">
      <alignment horizontal="center" vertical="center"/>
    </xf>
    <xf numFmtId="0" fontId="32" fillId="5" borderId="3" xfId="10" applyFont="1" applyFill="1" applyBorder="1" applyAlignment="1">
      <alignment horizontal="center" vertical="center"/>
    </xf>
    <xf numFmtId="0" fontId="32" fillId="5" borderId="4" xfId="10" applyFont="1" applyFill="1" applyBorder="1" applyAlignment="1">
      <alignment horizontal="center" vertical="center"/>
    </xf>
    <xf numFmtId="0" fontId="32" fillId="5" borderId="5" xfId="10" applyFont="1" applyFill="1" applyBorder="1" applyAlignment="1">
      <alignment horizontal="center" vertical="center"/>
    </xf>
    <xf numFmtId="0" fontId="32" fillId="5" borderId="3" xfId="10" applyFont="1" applyFill="1" applyBorder="1" applyAlignment="1">
      <alignment horizontal="center"/>
    </xf>
    <xf numFmtId="0" fontId="32" fillId="5" borderId="4" xfId="10" applyFont="1" applyFill="1" applyBorder="1" applyAlignment="1">
      <alignment horizontal="center"/>
    </xf>
    <xf numFmtId="0" fontId="32" fillId="5" borderId="5" xfId="10" applyFont="1" applyFill="1" applyBorder="1" applyAlignment="1">
      <alignment horizontal="center"/>
    </xf>
    <xf numFmtId="0" fontId="1" fillId="0" borderId="0" xfId="10" applyAlignment="1">
      <alignment horizontal="center" wrapText="1"/>
    </xf>
    <xf numFmtId="0" fontId="32" fillId="5" borderId="0" xfId="10" applyFont="1" applyFill="1" applyAlignment="1">
      <alignment horizontal="center"/>
    </xf>
    <xf numFmtId="0" fontId="37" fillId="0" borderId="3" xfId="10" applyFont="1" applyBorder="1" applyAlignment="1">
      <alignment horizontal="center"/>
    </xf>
    <xf numFmtId="0" fontId="37" fillId="0" borderId="4" xfId="10" applyFont="1" applyBorder="1" applyAlignment="1">
      <alignment horizontal="center"/>
    </xf>
    <xf numFmtId="0" fontId="37" fillId="0" borderId="5" xfId="10" applyFont="1" applyBorder="1" applyAlignment="1">
      <alignment horizontal="center"/>
    </xf>
    <xf numFmtId="0" fontId="1" fillId="0" borderId="2" xfId="10" applyBorder="1" applyAlignment="1">
      <alignment horizontal="center" vertical="center"/>
    </xf>
    <xf numFmtId="0" fontId="1" fillId="0" borderId="12" xfId="10" applyBorder="1" applyAlignment="1">
      <alignment horizontal="center" vertical="center"/>
    </xf>
    <xf numFmtId="0" fontId="1" fillId="0" borderId="3" xfId="10" applyBorder="1" applyAlignment="1">
      <alignment horizontal="center" vertical="center"/>
    </xf>
    <xf numFmtId="0" fontId="1" fillId="0" borderId="4" xfId="10" applyBorder="1" applyAlignment="1">
      <alignment horizontal="center" vertical="center"/>
    </xf>
    <xf numFmtId="0" fontId="1" fillId="0" borderId="5" xfId="10" applyBorder="1" applyAlignment="1">
      <alignment horizontal="center" vertical="center"/>
    </xf>
    <xf numFmtId="0" fontId="25" fillId="5" borderId="0" xfId="8" applyFont="1" applyFill="1" applyAlignment="1">
      <alignment horizontal="center" vertical="center"/>
    </xf>
    <xf numFmtId="172" fontId="26" fillId="0" borderId="1" xfId="8" applyNumberFormat="1" applyFont="1" applyBorder="1" applyAlignment="1">
      <alignment horizontal="center" vertical="center"/>
    </xf>
    <xf numFmtId="0" fontId="25" fillId="5" borderId="1" xfId="8" applyFont="1" applyFill="1" applyBorder="1" applyAlignment="1">
      <alignment horizontal="center" vertical="center"/>
    </xf>
    <xf numFmtId="0" fontId="26" fillId="0" borderId="1" xfId="8" applyFont="1" applyBorder="1" applyAlignment="1">
      <alignment horizontal="center" vertical="center"/>
    </xf>
    <xf numFmtId="0" fontId="11" fillId="0" borderId="6" xfId="0" applyFont="1" applyBorder="1"/>
    <xf numFmtId="0" fontId="11" fillId="0" borderId="7" xfId="0" applyFont="1" applyBorder="1"/>
    <xf numFmtId="0" fontId="11" fillId="0" borderId="8" xfId="0" applyFont="1" applyBorder="1"/>
    <xf numFmtId="0" fontId="11" fillId="0" borderId="9" xfId="0" applyFont="1" applyBorder="1"/>
    <xf numFmtId="0" fontId="11" fillId="0" borderId="10" xfId="0" applyFont="1" applyBorder="1"/>
    <xf numFmtId="0" fontId="11" fillId="0" borderId="11" xfId="0" applyFont="1" applyBorder="1"/>
    <xf numFmtId="0" fontId="11" fillId="0" borderId="0" xfId="0" applyFont="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5" fillId="0" borderId="1" xfId="2" applyBorder="1" applyAlignment="1">
      <alignment horizontal="left" vertical="center"/>
    </xf>
    <xf numFmtId="0" fontId="5" fillId="0" borderId="1" xfId="2" applyBorder="1" applyAlignment="1">
      <alignment horizontal="left"/>
    </xf>
    <xf numFmtId="0" fontId="21" fillId="0" borderId="0" xfId="2" applyFont="1" applyAlignment="1">
      <alignment horizontal="center"/>
    </xf>
    <xf numFmtId="0" fontId="5" fillId="0" borderId="4" xfId="2" applyBorder="1" applyAlignment="1">
      <alignment horizontal="center"/>
    </xf>
    <xf numFmtId="0" fontId="5" fillId="0" borderId="6" xfId="2" applyBorder="1" applyAlignment="1">
      <alignment horizontal="center"/>
    </xf>
    <xf numFmtId="0" fontId="5" fillId="0" borderId="7" xfId="2" applyBorder="1" applyAlignment="1">
      <alignment horizontal="center"/>
    </xf>
    <xf numFmtId="0" fontId="5" fillId="0" borderId="8" xfId="2" applyBorder="1" applyAlignment="1">
      <alignment horizontal="center"/>
    </xf>
    <xf numFmtId="0" fontId="5" fillId="0" borderId="9" xfId="2" applyBorder="1" applyAlignment="1">
      <alignment horizontal="center"/>
    </xf>
    <xf numFmtId="0" fontId="5" fillId="0" borderId="10" xfId="2" applyBorder="1" applyAlignment="1">
      <alignment horizontal="center"/>
    </xf>
    <xf numFmtId="0" fontId="5" fillId="0" borderId="11" xfId="2" applyBorder="1" applyAlignment="1">
      <alignment horizontal="center"/>
    </xf>
    <xf numFmtId="0" fontId="5" fillId="0" borderId="1" xfId="2" applyBorder="1" applyAlignment="1">
      <alignment horizontal="right" vertical="center"/>
    </xf>
    <xf numFmtId="0" fontId="6" fillId="0" borderId="0" xfId="5" applyFont="1" applyFill="1" applyAlignment="1">
      <alignment horizontal="center"/>
    </xf>
    <xf numFmtId="0" fontId="6" fillId="0" borderId="0" xfId="2" applyFont="1" applyAlignment="1">
      <alignment horizontal="center"/>
    </xf>
    <xf numFmtId="0" fontId="5" fillId="0" borderId="1" xfId="2" applyBorder="1"/>
    <xf numFmtId="0" fontId="5" fillId="0" borderId="12" xfId="2" applyBorder="1" applyAlignment="1">
      <alignment horizontal="center" vertical="center"/>
    </xf>
    <xf numFmtId="0" fontId="5" fillId="0" borderId="2" xfId="2" applyBorder="1" applyAlignment="1">
      <alignment horizontal="center" vertical="center" wrapText="1"/>
    </xf>
    <xf numFmtId="0" fontId="5" fillId="0" borderId="12" xfId="2" applyBorder="1" applyAlignment="1">
      <alignment horizontal="center" vertical="center" wrapText="1"/>
    </xf>
    <xf numFmtId="0" fontId="5" fillId="0" borderId="0" xfId="2" applyAlignment="1">
      <alignment horizontal="center" wrapText="1"/>
    </xf>
    <xf numFmtId="0" fontId="5" fillId="0" borderId="1" xfId="2" applyBorder="1" applyAlignment="1">
      <alignment horizontal="center" vertical="center" wrapText="1"/>
    </xf>
    <xf numFmtId="20" fontId="6" fillId="5" borderId="0" xfId="2" applyNumberFormat="1" applyFont="1" applyFill="1" applyAlignment="1">
      <alignment horizontal="center"/>
    </xf>
    <xf numFmtId="0" fontId="24" fillId="0" borderId="0" xfId="2" applyFont="1" applyAlignment="1">
      <alignment horizontal="center"/>
    </xf>
    <xf numFmtId="0" fontId="5" fillId="0" borderId="0" xfId="2" applyAlignment="1">
      <alignment horizontal="center" vertical="center" wrapText="1"/>
    </xf>
    <xf numFmtId="0" fontId="73" fillId="0" borderId="0" xfId="0" applyFont="1" applyAlignment="1">
      <alignment horizontal="left" vertical="top" wrapText="1"/>
    </xf>
    <xf numFmtId="0" fontId="75" fillId="0" borderId="1" xfId="6" applyFont="1" applyBorder="1" applyAlignment="1">
      <alignment horizontal="center" vertical="top"/>
    </xf>
    <xf numFmtId="0" fontId="73" fillId="0" borderId="0" xfId="0" applyFont="1" applyAlignment="1">
      <alignment horizontal="center" vertical="top"/>
    </xf>
    <xf numFmtId="2" fontId="73" fillId="0" borderId="0" xfId="0" applyNumberFormat="1" applyFont="1" applyAlignment="1">
      <alignment horizontal="center" vertical="top"/>
    </xf>
    <xf numFmtId="0" fontId="72" fillId="0" borderId="0" xfId="0" applyFont="1" applyAlignment="1">
      <alignment horizontal="center" vertical="top" wrapText="1"/>
    </xf>
    <xf numFmtId="0" fontId="73" fillId="0" borderId="3" xfId="0" applyFont="1" applyBorder="1" applyAlignment="1">
      <alignment horizontal="center" vertical="top"/>
    </xf>
    <xf numFmtId="0" fontId="73" fillId="0" borderId="4" xfId="0" applyFont="1" applyBorder="1" applyAlignment="1">
      <alignment horizontal="center" vertical="top"/>
    </xf>
    <xf numFmtId="0" fontId="73" fillId="0" borderId="5" xfId="0" applyFont="1" applyBorder="1" applyAlignment="1">
      <alignment horizontal="center" vertical="top"/>
    </xf>
    <xf numFmtId="0" fontId="73" fillId="0" borderId="6" xfId="0" applyFont="1" applyBorder="1" applyAlignment="1">
      <alignment horizontal="center" vertical="top"/>
    </xf>
    <xf numFmtId="0" fontId="73" fillId="0" borderId="7" xfId="0" applyFont="1" applyBorder="1" applyAlignment="1">
      <alignment horizontal="center" vertical="top"/>
    </xf>
    <xf numFmtId="0" fontId="73" fillId="0" borderId="8" xfId="0" applyFont="1" applyBorder="1" applyAlignment="1">
      <alignment horizontal="center" vertical="top"/>
    </xf>
    <xf numFmtId="0" fontId="73" fillId="0" borderId="14" xfId="0" applyFont="1" applyBorder="1" applyAlignment="1">
      <alignment horizontal="center" vertical="top"/>
    </xf>
    <xf numFmtId="0" fontId="73" fillId="0" borderId="13" xfId="0" applyFont="1" applyBorder="1" applyAlignment="1">
      <alignment horizontal="center" vertical="top"/>
    </xf>
    <xf numFmtId="0" fontId="73" fillId="0" borderId="9" xfId="0" applyFont="1" applyBorder="1" applyAlignment="1">
      <alignment vertical="top"/>
    </xf>
    <xf numFmtId="0" fontId="73" fillId="0" borderId="10" xfId="0" applyFont="1" applyBorder="1" applyAlignment="1">
      <alignment vertical="top"/>
    </xf>
    <xf numFmtId="0" fontId="73" fillId="0" borderId="11" xfId="0" applyFont="1" applyBorder="1" applyAlignment="1">
      <alignment vertical="top"/>
    </xf>
    <xf numFmtId="0" fontId="72" fillId="0" borderId="0" xfId="0" applyFont="1" applyAlignment="1">
      <alignment horizontal="center" vertical="top"/>
    </xf>
    <xf numFmtId="0" fontId="75" fillId="0" borderId="0" xfId="0" applyFont="1" applyAlignment="1">
      <alignment horizontal="center" vertical="top"/>
    </xf>
    <xf numFmtId="0" fontId="73" fillId="0" borderId="6" xfId="0" applyFont="1" applyBorder="1" applyAlignment="1">
      <alignment vertical="top"/>
    </xf>
    <xf numFmtId="0" fontId="73" fillId="0" borderId="7" xfId="0" applyFont="1" applyBorder="1" applyAlignment="1">
      <alignment vertical="top"/>
    </xf>
    <xf numFmtId="0" fontId="73" fillId="0" borderId="8" xfId="0" applyFont="1" applyBorder="1" applyAlignment="1">
      <alignment vertical="top"/>
    </xf>
    <xf numFmtId="0" fontId="73" fillId="0" borderId="9" xfId="0" applyFont="1" applyBorder="1" applyAlignment="1">
      <alignment horizontal="center" vertical="top"/>
    </xf>
    <xf numFmtId="0" fontId="73" fillId="0" borderId="10" xfId="0" applyFont="1" applyBorder="1" applyAlignment="1">
      <alignment horizontal="center" vertical="top"/>
    </xf>
    <xf numFmtId="0" fontId="73" fillId="0" borderId="11" xfId="0" applyFont="1" applyBorder="1" applyAlignment="1">
      <alignment horizontal="center" vertical="top"/>
    </xf>
    <xf numFmtId="0" fontId="78" fillId="0" borderId="0" xfId="0" applyFont="1" applyAlignment="1">
      <alignment horizontal="center" vertical="top"/>
    </xf>
    <xf numFmtId="0" fontId="73" fillId="4" borderId="0" xfId="0" applyFont="1" applyFill="1" applyAlignment="1">
      <alignment vertical="top"/>
    </xf>
    <xf numFmtId="0" fontId="73" fillId="0" borderId="0" xfId="0" applyFont="1" applyAlignment="1">
      <alignment vertical="top"/>
    </xf>
    <xf numFmtId="0" fontId="72" fillId="0" borderId="0" xfId="0" applyFont="1" applyAlignment="1">
      <alignment horizontal="left" vertical="top"/>
    </xf>
    <xf numFmtId="0" fontId="73" fillId="0" borderId="0" xfId="6" applyFont="1" applyAlignment="1">
      <alignment vertical="top"/>
    </xf>
    <xf numFmtId="0" fontId="75" fillId="0" borderId="3" xfId="6" applyFont="1" applyBorder="1" applyAlignment="1">
      <alignment horizontal="center" vertical="top"/>
    </xf>
    <xf numFmtId="0" fontId="75" fillId="0" borderId="4" xfId="6" applyFont="1" applyBorder="1" applyAlignment="1">
      <alignment horizontal="center" vertical="top"/>
    </xf>
    <xf numFmtId="0" fontId="75" fillId="0" borderId="5" xfId="6" applyFont="1" applyBorder="1" applyAlignment="1">
      <alignment horizontal="center" vertical="top"/>
    </xf>
    <xf numFmtId="172" fontId="73" fillId="4" borderId="0" xfId="6" applyNumberFormat="1" applyFont="1" applyFill="1" applyAlignment="1">
      <alignment vertical="top"/>
    </xf>
    <xf numFmtId="172" fontId="73" fillId="0" borderId="0" xfId="6" applyNumberFormat="1" applyFont="1" applyAlignment="1">
      <alignment vertical="top"/>
    </xf>
    <xf numFmtId="0" fontId="73" fillId="4" borderId="0" xfId="6" applyFont="1" applyFill="1" applyAlignment="1">
      <alignment vertical="top"/>
    </xf>
    <xf numFmtId="171" fontId="73" fillId="0" borderId="0" xfId="6" applyNumberFormat="1" applyFont="1" applyAlignment="1">
      <alignment vertical="top"/>
    </xf>
    <xf numFmtId="0" fontId="78" fillId="0" borderId="0" xfId="6" applyFont="1" applyAlignment="1">
      <alignment horizontal="left" vertical="top"/>
    </xf>
    <xf numFmtId="0" fontId="78" fillId="0" borderId="0" xfId="6" applyFont="1" applyAlignment="1">
      <alignment horizontal="left" vertical="top" wrapText="1"/>
    </xf>
    <xf numFmtId="0" fontId="73" fillId="0" borderId="0" xfId="6" applyFont="1" applyAlignment="1">
      <alignment horizontal="center" vertical="top"/>
    </xf>
    <xf numFmtId="0" fontId="78" fillId="0" borderId="0" xfId="6" applyFont="1" applyAlignment="1">
      <alignment horizontal="right" vertical="top"/>
    </xf>
    <xf numFmtId="0" fontId="73" fillId="0" borderId="0" xfId="6" applyFont="1" applyAlignment="1">
      <alignment horizontal="right" vertical="top"/>
    </xf>
    <xf numFmtId="0" fontId="73" fillId="0" borderId="0" xfId="6" applyFont="1" applyAlignment="1">
      <alignment horizontal="left" vertical="top"/>
    </xf>
    <xf numFmtId="0" fontId="78" fillId="0" borderId="0" xfId="6" applyFont="1" applyAlignment="1">
      <alignment horizontal="center" vertical="top"/>
    </xf>
    <xf numFmtId="0" fontId="11" fillId="0" borderId="0" xfId="0" applyFont="1" applyAlignment="1">
      <alignment horizontal="center" vertical="center" wrapText="1"/>
    </xf>
    <xf numFmtId="0" fontId="11"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1" fillId="0" borderId="0" xfId="0" applyFont="1" applyAlignment="1">
      <alignment horizontal="left" vertical="top" wrapText="1"/>
    </xf>
    <xf numFmtId="0" fontId="11" fillId="0" borderId="0" xfId="0" applyFont="1" applyAlignment="1">
      <alignment horizontal="left"/>
    </xf>
    <xf numFmtId="0" fontId="11" fillId="4" borderId="0" xfId="0" applyFont="1" applyFill="1" applyAlignment="1">
      <alignment horizontal="center"/>
    </xf>
    <xf numFmtId="0" fontId="54" fillId="0" borderId="0" xfId="0" applyFont="1" applyAlignment="1">
      <alignment horizontal="center" vertical="center"/>
    </xf>
    <xf numFmtId="2" fontId="11" fillId="0" borderId="0" xfId="0" applyNumberFormat="1" applyFont="1" applyAlignment="1">
      <alignment horizontal="center"/>
    </xf>
    <xf numFmtId="2" fontId="11" fillId="4" borderId="0" xfId="0" applyNumberFormat="1" applyFont="1" applyFill="1" applyAlignment="1">
      <alignment horizontal="center"/>
    </xf>
    <xf numFmtId="0" fontId="52" fillId="0" borderId="0" xfId="0" applyFont="1" applyAlignment="1">
      <alignment horizontal="left" vertical="top" wrapText="1"/>
    </xf>
    <xf numFmtId="0" fontId="11" fillId="0" borderId="0" xfId="0" applyFont="1" applyAlignment="1">
      <alignment horizontal="left" wrapText="1"/>
    </xf>
    <xf numFmtId="0" fontId="57" fillId="0" borderId="0" xfId="17" applyFont="1"/>
    <xf numFmtId="0" fontId="11" fillId="0" borderId="0" xfId="0" applyFont="1"/>
    <xf numFmtId="169" fontId="11" fillId="0" borderId="0" xfId="0" applyNumberFormat="1" applyFont="1" applyAlignment="1">
      <alignment horizontal="center"/>
    </xf>
    <xf numFmtId="172" fontId="11" fillId="0" borderId="0" xfId="0" applyNumberFormat="1" applyFont="1" applyAlignment="1">
      <alignment horizontal="center"/>
    </xf>
    <xf numFmtId="0" fontId="11" fillId="0" borderId="0" xfId="0" applyFont="1" applyAlignment="1">
      <alignment horizontal="left" vertical="center" wrapText="1"/>
    </xf>
    <xf numFmtId="0" fontId="4" fillId="0" borderId="0" xfId="3" applyFont="1" applyAlignment="1">
      <alignment horizontal="center" vertical="center"/>
    </xf>
    <xf numFmtId="0" fontId="60" fillId="0" borderId="0" xfId="3" applyFont="1" applyAlignment="1">
      <alignment horizontal="center" vertical="center"/>
    </xf>
    <xf numFmtId="172" fontId="4" fillId="0" borderId="0" xfId="3" applyNumberFormat="1" applyFont="1" applyAlignment="1">
      <alignment horizontal="center" vertical="center"/>
    </xf>
    <xf numFmtId="0" fontId="3" fillId="0" borderId="0" xfId="3" applyFont="1" applyAlignment="1">
      <alignment horizontal="center" vertical="center"/>
    </xf>
    <xf numFmtId="172" fontId="1" fillId="0" borderId="0" xfId="3" applyNumberFormat="1" applyAlignment="1">
      <alignment horizontal="center" vertical="center"/>
    </xf>
    <xf numFmtId="0" fontId="61" fillId="0" borderId="0" xfId="3" applyFont="1" applyAlignment="1">
      <alignment horizontal="center" vertical="center"/>
    </xf>
    <xf numFmtId="168" fontId="1" fillId="0" borderId="0" xfId="3" applyNumberFormat="1" applyAlignment="1">
      <alignment horizontal="center" vertical="center"/>
    </xf>
    <xf numFmtId="2" fontId="1" fillId="0" borderId="0" xfId="3" applyNumberFormat="1" applyAlignment="1">
      <alignment horizontal="center" vertical="center"/>
    </xf>
    <xf numFmtId="2" fontId="32" fillId="5" borderId="3" xfId="3" applyNumberFormat="1" applyFont="1" applyFill="1" applyBorder="1" applyAlignment="1">
      <alignment horizontal="center" vertical="center"/>
    </xf>
    <xf numFmtId="2" fontId="32" fillId="5" borderId="5" xfId="3" applyNumberFormat="1" applyFont="1" applyFill="1" applyBorder="1" applyAlignment="1">
      <alignment horizontal="center" vertical="center"/>
    </xf>
    <xf numFmtId="2" fontId="4" fillId="5" borderId="3" xfId="3" applyNumberFormat="1" applyFont="1" applyFill="1" applyBorder="1" applyAlignment="1">
      <alignment horizontal="center" vertical="center"/>
    </xf>
    <xf numFmtId="2" fontId="4" fillId="5" borderId="5" xfId="3" applyNumberFormat="1" applyFont="1" applyFill="1" applyBorder="1" applyAlignment="1">
      <alignment horizontal="center" vertical="center"/>
    </xf>
    <xf numFmtId="2" fontId="1" fillId="0" borderId="3" xfId="3" applyNumberFormat="1" applyBorder="1" applyAlignment="1">
      <alignment horizontal="center" vertical="center"/>
    </xf>
    <xf numFmtId="2" fontId="1" fillId="0" borderId="5" xfId="3" applyNumberFormat="1" applyBorder="1" applyAlignment="1">
      <alignment horizontal="center" vertical="center"/>
    </xf>
    <xf numFmtId="0" fontId="1" fillId="9" borderId="3" xfId="3" applyFill="1" applyBorder="1" applyAlignment="1">
      <alignment horizontal="center" vertical="center"/>
    </xf>
    <xf numFmtId="0" fontId="1" fillId="9" borderId="5" xfId="3" applyFill="1" applyBorder="1" applyAlignment="1">
      <alignment horizontal="center" vertical="center"/>
    </xf>
    <xf numFmtId="0" fontId="1" fillId="12" borderId="3" xfId="3" applyFill="1" applyBorder="1" applyAlignment="1">
      <alignment horizontal="center" vertical="center"/>
    </xf>
    <xf numFmtId="0" fontId="1" fillId="12" borderId="5" xfId="3" applyFill="1" applyBorder="1" applyAlignment="1">
      <alignment horizontal="center" vertical="center"/>
    </xf>
    <xf numFmtId="0" fontId="1" fillId="0" borderId="0" xfId="3" applyAlignment="1">
      <alignment horizontal="center"/>
    </xf>
    <xf numFmtId="0" fontId="1" fillId="0" borderId="3" xfId="3" applyBorder="1" applyAlignment="1">
      <alignment horizontal="center" vertical="center"/>
    </xf>
    <xf numFmtId="0" fontId="1" fillId="0" borderId="5" xfId="3" applyBorder="1" applyAlignment="1">
      <alignment horizontal="center" vertical="center"/>
    </xf>
    <xf numFmtId="2" fontId="1" fillId="0" borderId="4" xfId="3" applyNumberFormat="1" applyBorder="1" applyAlignment="1">
      <alignment horizontal="center" vertical="center"/>
    </xf>
    <xf numFmtId="0" fontId="1" fillId="0" borderId="4" xfId="3" applyBorder="1" applyAlignment="1">
      <alignment horizontal="center" vertical="center"/>
    </xf>
    <xf numFmtId="0" fontId="1" fillId="0" borderId="4" xfId="3" applyBorder="1" applyAlignment="1">
      <alignment horizontal="center"/>
    </xf>
    <xf numFmtId="0" fontId="1" fillId="0" borderId="5" xfId="3" applyBorder="1" applyAlignment="1">
      <alignment horizontal="center"/>
    </xf>
    <xf numFmtId="2" fontId="61" fillId="0" borderId="0" xfId="3" applyNumberFormat="1" applyFont="1" applyAlignment="1">
      <alignment horizontal="center" vertical="center"/>
    </xf>
    <xf numFmtId="0" fontId="1" fillId="12" borderId="7" xfId="3" applyFill="1" applyBorder="1" applyAlignment="1">
      <alignment horizontal="center" vertical="center"/>
    </xf>
    <xf numFmtId="0" fontId="1" fillId="12" borderId="8" xfId="3" applyFill="1" applyBorder="1" applyAlignment="1">
      <alignment horizontal="center" vertical="center"/>
    </xf>
    <xf numFmtId="0" fontId="1" fillId="12" borderId="10" xfId="3" applyFill="1" applyBorder="1" applyAlignment="1">
      <alignment horizontal="center" vertical="center"/>
    </xf>
    <xf numFmtId="0" fontId="1" fillId="12" borderId="11" xfId="3" applyFill="1" applyBorder="1" applyAlignment="1">
      <alignment horizontal="center" vertical="center"/>
    </xf>
    <xf numFmtId="0" fontId="0" fillId="12" borderId="6" xfId="3" applyFont="1" applyFill="1" applyBorder="1" applyAlignment="1">
      <alignment horizontal="center" vertical="center"/>
    </xf>
    <xf numFmtId="0" fontId="1" fillId="12" borderId="9" xfId="3" applyFill="1" applyBorder="1" applyAlignment="1">
      <alignment horizontal="center" vertical="center"/>
    </xf>
    <xf numFmtId="0" fontId="1" fillId="12" borderId="6" xfId="3" applyFill="1" applyBorder="1" applyAlignment="1">
      <alignment horizontal="center" vertical="center"/>
    </xf>
    <xf numFmtId="0" fontId="35" fillId="5" borderId="6" xfId="3" applyFont="1" applyFill="1" applyBorder="1" applyAlignment="1">
      <alignment horizontal="center" vertical="center"/>
    </xf>
    <xf numFmtId="0" fontId="35" fillId="5" borderId="8" xfId="3" applyFont="1" applyFill="1" applyBorder="1" applyAlignment="1">
      <alignment horizontal="center" vertical="center"/>
    </xf>
    <xf numFmtId="0" fontId="35" fillId="5" borderId="9" xfId="3" applyFont="1" applyFill="1" applyBorder="1" applyAlignment="1">
      <alignment horizontal="center" vertical="center"/>
    </xf>
    <xf numFmtId="0" fontId="35" fillId="5" borderId="11" xfId="3" applyFont="1" applyFill="1" applyBorder="1" applyAlignment="1">
      <alignment horizontal="center" vertical="center"/>
    </xf>
    <xf numFmtId="0" fontId="66" fillId="5" borderId="6" xfId="3" applyFont="1" applyFill="1" applyBorder="1" applyAlignment="1">
      <alignment horizontal="center" vertical="center"/>
    </xf>
    <xf numFmtId="0" fontId="35" fillId="5" borderId="7" xfId="3" applyFont="1" applyFill="1" applyBorder="1" applyAlignment="1">
      <alignment horizontal="center" vertical="center"/>
    </xf>
    <xf numFmtId="0" fontId="35" fillId="5" borderId="10" xfId="3" applyFont="1" applyFill="1" applyBorder="1" applyAlignment="1">
      <alignment horizontal="center" vertical="center"/>
    </xf>
    <xf numFmtId="0" fontId="3" fillId="9" borderId="3" xfId="3" applyFont="1" applyFill="1" applyBorder="1" applyAlignment="1">
      <alignment horizontal="center" vertical="center"/>
    </xf>
    <xf numFmtId="0" fontId="3" fillId="9" borderId="4" xfId="3" applyFont="1" applyFill="1" applyBorder="1" applyAlignment="1">
      <alignment horizontal="center" vertical="center"/>
    </xf>
    <xf numFmtId="0" fontId="3" fillId="12" borderId="4" xfId="3" applyFont="1" applyFill="1" applyBorder="1" applyAlignment="1">
      <alignment horizontal="center" vertical="center"/>
    </xf>
    <xf numFmtId="0" fontId="3" fillId="12" borderId="5" xfId="3" applyFont="1" applyFill="1" applyBorder="1" applyAlignment="1">
      <alignment horizontal="center" vertical="center"/>
    </xf>
    <xf numFmtId="0" fontId="3" fillId="12" borderId="3" xfId="3" applyFont="1" applyFill="1" applyBorder="1" applyAlignment="1">
      <alignment horizontal="center" vertical="center"/>
    </xf>
    <xf numFmtId="2" fontId="32" fillId="5" borderId="0" xfId="3" applyNumberFormat="1" applyFont="1" applyFill="1" applyAlignment="1">
      <alignment horizontal="center"/>
    </xf>
    <xf numFmtId="2" fontId="4" fillId="5" borderId="0" xfId="3" applyNumberFormat="1" applyFont="1" applyFill="1" applyAlignment="1">
      <alignment horizontal="center" vertical="center"/>
    </xf>
    <xf numFmtId="2" fontId="32" fillId="5" borderId="0" xfId="3" applyNumberFormat="1" applyFont="1" applyFill="1" applyAlignment="1">
      <alignment horizontal="center" vertical="center"/>
    </xf>
    <xf numFmtId="0" fontId="32" fillId="5" borderId="0" xfId="3" applyFont="1" applyFill="1" applyAlignment="1">
      <alignment horizontal="center" vertical="center"/>
    </xf>
    <xf numFmtId="0" fontId="4" fillId="5" borderId="0" xfId="3" applyFont="1" applyFill="1" applyAlignment="1">
      <alignment horizontal="center" vertical="center"/>
    </xf>
    <xf numFmtId="0" fontId="1" fillId="0" borderId="0" xfId="3" applyAlignment="1">
      <alignment horizontal="left" vertical="center" wrapText="1"/>
    </xf>
    <xf numFmtId="0" fontId="11" fillId="0" borderId="0" xfId="3" applyFont="1" applyAlignment="1">
      <alignment horizontal="left" vertical="center" wrapText="1"/>
    </xf>
    <xf numFmtId="0" fontId="0" fillId="0" borderId="0" xfId="3" applyFont="1" applyAlignment="1">
      <alignment horizontal="center" vertical="center"/>
    </xf>
    <xf numFmtId="0" fontId="1" fillId="0" borderId="0" xfId="3" applyAlignment="1">
      <alignment horizontal="center" vertical="center" wrapText="1"/>
    </xf>
    <xf numFmtId="0" fontId="3" fillId="11" borderId="4" xfId="3" applyFont="1" applyFill="1" applyBorder="1" applyAlignment="1">
      <alignment horizontal="center" vertical="center"/>
    </xf>
    <xf numFmtId="0" fontId="3" fillId="11" borderId="5" xfId="3" applyFont="1" applyFill="1" applyBorder="1" applyAlignment="1">
      <alignment horizontal="center" vertical="center"/>
    </xf>
    <xf numFmtId="0" fontId="3" fillId="11" borderId="3" xfId="3" applyFont="1" applyFill="1" applyBorder="1" applyAlignment="1">
      <alignment horizontal="center" vertical="center"/>
    </xf>
    <xf numFmtId="0" fontId="3" fillId="10" borderId="4" xfId="3" applyFont="1" applyFill="1" applyBorder="1" applyAlignment="1">
      <alignment horizontal="center" vertical="center"/>
    </xf>
    <xf numFmtId="0" fontId="3" fillId="10" borderId="5" xfId="3" applyFont="1" applyFill="1" applyBorder="1" applyAlignment="1">
      <alignment horizontal="center" vertical="center"/>
    </xf>
    <xf numFmtId="0" fontId="3" fillId="10" borderId="3" xfId="3" applyFont="1" applyFill="1" applyBorder="1" applyAlignment="1">
      <alignment horizontal="center" vertical="center"/>
    </xf>
    <xf numFmtId="0" fontId="63" fillId="0" borderId="0" xfId="3" applyFont="1" applyAlignment="1">
      <alignment horizontal="left" vertical="center" wrapText="1"/>
    </xf>
    <xf numFmtId="168" fontId="4" fillId="5" borderId="0" xfId="3" applyNumberFormat="1" applyFont="1" applyFill="1" applyAlignment="1">
      <alignment horizontal="center" vertical="center"/>
    </xf>
    <xf numFmtId="168" fontId="61" fillId="0" borderId="0" xfId="3" applyNumberFormat="1" applyFont="1" applyAlignment="1">
      <alignment horizontal="center" vertical="center"/>
    </xf>
    <xf numFmtId="1" fontId="1" fillId="0" borderId="0" xfId="3" applyNumberFormat="1" applyAlignment="1">
      <alignment horizontal="center" vertical="center"/>
    </xf>
    <xf numFmtId="1" fontId="11" fillId="0" borderId="0" xfId="3" applyNumberFormat="1" applyFont="1" applyAlignment="1">
      <alignment horizontal="center" vertical="center"/>
    </xf>
    <xf numFmtId="1" fontId="61" fillId="0" borderId="0" xfId="3" applyNumberFormat="1" applyFont="1" applyAlignment="1">
      <alignment horizontal="center" vertical="center"/>
    </xf>
    <xf numFmtId="169" fontId="1" fillId="0" borderId="0" xfId="3" applyNumberFormat="1" applyAlignment="1">
      <alignment horizontal="center" vertical="center"/>
    </xf>
    <xf numFmtId="1" fontId="4" fillId="5" borderId="0" xfId="3" applyNumberFormat="1" applyFont="1" applyFill="1" applyAlignment="1">
      <alignment horizontal="center" vertical="center"/>
    </xf>
    <xf numFmtId="168" fontId="1" fillId="4" borderId="0" xfId="3" applyNumberFormat="1" applyFill="1" applyAlignment="1">
      <alignment horizontal="center" vertical="center"/>
    </xf>
    <xf numFmtId="169" fontId="4" fillId="5" borderId="0" xfId="3" applyNumberFormat="1" applyFont="1" applyFill="1" applyAlignment="1">
      <alignment horizontal="center" vertical="center"/>
    </xf>
    <xf numFmtId="169" fontId="61" fillId="0" borderId="0" xfId="3" applyNumberFormat="1" applyFont="1" applyAlignment="1">
      <alignment horizontal="center" vertical="center"/>
    </xf>
    <xf numFmtId="0" fontId="1" fillId="0" borderId="0" xfId="3" applyAlignment="1">
      <alignment horizontal="right" vertical="center"/>
    </xf>
    <xf numFmtId="172" fontId="61" fillId="0" borderId="0" xfId="3" applyNumberFormat="1" applyFont="1" applyAlignment="1">
      <alignment horizontal="center" vertical="center"/>
    </xf>
    <xf numFmtId="172" fontId="4" fillId="5" borderId="0" xfId="3" applyNumberFormat="1" applyFont="1" applyFill="1" applyAlignment="1">
      <alignment horizontal="center" vertical="center"/>
    </xf>
    <xf numFmtId="0" fontId="1" fillId="0" borderId="0" xfId="3" applyAlignment="1">
      <alignment horizontal="left" vertical="center"/>
    </xf>
    <xf numFmtId="0" fontId="3" fillId="9" borderId="5" xfId="3" applyFont="1" applyFill="1" applyBorder="1" applyAlignment="1">
      <alignment horizontal="center" vertical="center"/>
    </xf>
    <xf numFmtId="0" fontId="1" fillId="0" borderId="1" xfId="3" applyBorder="1" applyAlignment="1">
      <alignment horizontal="center" vertical="center"/>
    </xf>
    <xf numFmtId="0" fontId="35" fillId="5" borderId="0" xfId="3" applyFont="1" applyFill="1" applyAlignment="1">
      <alignment horizontal="center" vertical="center"/>
    </xf>
    <xf numFmtId="0" fontId="5" fillId="0" borderId="1" xfId="2" applyBorder="1" applyAlignment="1">
      <alignment horizontal="left" wrapText="1"/>
    </xf>
    <xf numFmtId="0" fontId="5" fillId="0" borderId="2" xfId="2" applyBorder="1" applyAlignment="1">
      <alignment horizontal="right" vertical="center"/>
    </xf>
    <xf numFmtId="0" fontId="5" fillId="0" borderId="12" xfId="2" applyBorder="1" applyAlignment="1">
      <alignment horizontal="right" vertical="center"/>
    </xf>
    <xf numFmtId="0" fontId="5" fillId="0" borderId="2" xfId="2" applyBorder="1" applyAlignment="1">
      <alignment horizontal="center"/>
    </xf>
    <xf numFmtId="0" fontId="5" fillId="0" borderId="12" xfId="2" applyBorder="1" applyAlignment="1">
      <alignment horizontal="center"/>
    </xf>
    <xf numFmtId="0" fontId="0" fillId="0" borderId="1" xfId="0" applyBorder="1" applyAlignment="1">
      <alignment horizontal="center"/>
    </xf>
    <xf numFmtId="0" fontId="0" fillId="4" borderId="0" xfId="0" applyFill="1" applyAlignment="1">
      <alignment horizontal="center"/>
    </xf>
    <xf numFmtId="0" fontId="0" fillId="4" borderId="10" xfId="0" applyFill="1" applyBorder="1" applyAlignment="1">
      <alignment horizontal="center"/>
    </xf>
    <xf numFmtId="0" fontId="0" fillId="4" borderId="1" xfId="0" applyFill="1" applyBorder="1" applyAlignment="1">
      <alignment horizontal="center"/>
    </xf>
    <xf numFmtId="0" fontId="73" fillId="0" borderId="0" xfId="0" applyFont="1" applyAlignment="1">
      <alignment horizontal="center"/>
    </xf>
    <xf numFmtId="0" fontId="73" fillId="0" borderId="44" xfId="0" applyFont="1" applyBorder="1" applyAlignment="1">
      <alignment horizontal="center"/>
    </xf>
    <xf numFmtId="0" fontId="75" fillId="0" borderId="0" xfId="0" applyFont="1" applyAlignment="1">
      <alignment horizontal="left" wrapText="1"/>
    </xf>
    <xf numFmtId="0" fontId="76" fillId="0" borderId="0" xfId="0" applyFont="1" applyAlignment="1">
      <alignment horizontal="center" vertical="top"/>
    </xf>
    <xf numFmtId="0" fontId="73" fillId="0" borderId="0" xfId="0" applyFont="1" applyAlignment="1">
      <alignment horizontal="left" wrapText="1"/>
    </xf>
    <xf numFmtId="0" fontId="73" fillId="0" borderId="0" xfId="0"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left" vertical="center" wrapText="1"/>
    </xf>
    <xf numFmtId="168" fontId="73" fillId="0" borderId="0" xfId="0" applyNumberFormat="1" applyFont="1" applyAlignment="1">
      <alignment horizontal="center"/>
    </xf>
    <xf numFmtId="0" fontId="73" fillId="4" borderId="0" xfId="0" applyFont="1" applyFill="1" applyAlignment="1">
      <alignment horizontal="center"/>
    </xf>
    <xf numFmtId="1" fontId="73" fillId="4" borderId="0" xfId="0" applyNumberFormat="1" applyFont="1" applyFill="1" applyAlignment="1">
      <alignment horizontal="center"/>
    </xf>
    <xf numFmtId="2" fontId="73" fillId="0" borderId="0" xfId="0" applyNumberFormat="1" applyFont="1" applyAlignment="1">
      <alignment horizontal="center"/>
    </xf>
    <xf numFmtId="0" fontId="76" fillId="0" borderId="0" xfId="20" applyFont="1" applyAlignment="1">
      <alignment horizontal="left" vertical="center" wrapText="1"/>
    </xf>
    <xf numFmtId="0" fontId="73" fillId="0" borderId="0" xfId="18" applyFont="1" applyAlignment="1">
      <alignment horizontal="left" wrapText="1"/>
    </xf>
    <xf numFmtId="0" fontId="72" fillId="0" borderId="0" xfId="18" applyFont="1" applyAlignment="1">
      <alignment horizontal="center" vertical="center"/>
    </xf>
    <xf numFmtId="168" fontId="73" fillId="0" borderId="0" xfId="18" applyNumberFormat="1" applyFont="1" applyAlignment="1">
      <alignment horizontal="center"/>
    </xf>
    <xf numFmtId="168" fontId="73" fillId="8" borderId="0" xfId="18" applyNumberFormat="1" applyFont="1" applyFill="1" applyAlignment="1">
      <alignment horizontal="center"/>
    </xf>
    <xf numFmtId="0" fontId="73" fillId="0" borderId="0" xfId="18" applyFont="1" applyAlignment="1">
      <alignment horizontal="left" vertical="justify" wrapText="1"/>
    </xf>
    <xf numFmtId="0" fontId="86" fillId="0" borderId="0" xfId="18" applyFont="1" applyAlignment="1">
      <alignment horizontal="left" vertical="justify" wrapText="1"/>
    </xf>
    <xf numFmtId="0" fontId="84" fillId="0" borderId="0" xfId="18" applyFont="1" applyAlignment="1">
      <alignment horizontal="center" vertical="center"/>
    </xf>
    <xf numFmtId="0" fontId="0" fillId="0" borderId="0" xfId="0" applyAlignment="1">
      <alignment horizontal="center"/>
    </xf>
    <xf numFmtId="0" fontId="0" fillId="0" borderId="0" xfId="0"/>
    <xf numFmtId="0" fontId="0" fillId="0" borderId="1" xfId="0" applyBorder="1" applyAlignment="1">
      <alignment horizontal="center" vertical="center"/>
    </xf>
    <xf numFmtId="0" fontId="0" fillId="0" borderId="10" xfId="0" applyBorder="1" applyAlignment="1">
      <alignment horizontal="center"/>
    </xf>
    <xf numFmtId="0" fontId="0" fillId="0" borderId="7" xfId="0" applyBorder="1" applyAlignment="1">
      <alignment horizontal="center"/>
    </xf>
    <xf numFmtId="0" fontId="0" fillId="8" borderId="0" xfId="0" applyFill="1" applyAlignment="1">
      <alignment horizontal="center"/>
    </xf>
    <xf numFmtId="0" fontId="0" fillId="0" borderId="7" xfId="0" applyBorder="1"/>
    <xf numFmtId="166" fontId="0" fillId="0" borderId="0" xfId="0" applyNumberFormat="1" applyAlignment="1">
      <alignment horizontal="left"/>
    </xf>
    <xf numFmtId="0" fontId="68" fillId="0" borderId="0" xfId="18" applyFont="1" applyAlignment="1">
      <alignment horizontal="center" vertical="center"/>
    </xf>
    <xf numFmtId="0" fontId="68" fillId="0" borderId="0" xfId="18" applyFont="1" applyAlignment="1">
      <alignment horizontal="center" vertical="center" wrapText="1"/>
    </xf>
  </cellXfs>
  <cellStyles count="22">
    <cellStyle name="Bad" xfId="1" builtinId="27"/>
    <cellStyle name="Comma 2 4" xfId="16" xr:uid="{4AF3AE65-AC7B-4D16-B42C-833983F84EEE}"/>
    <cellStyle name="Good 2" xfId="5" xr:uid="{9C44EBCB-92A7-4CA7-A6C8-C491BCE88F4A}"/>
    <cellStyle name="Normal" xfId="0" builtinId="0"/>
    <cellStyle name="Normal 18" xfId="8" xr:uid="{291EB683-BEEE-41B6-BE38-8D2F27BB0878}"/>
    <cellStyle name="Normal 19 2" xfId="10" xr:uid="{0AA757B6-2890-4575-9760-484042D8452C}"/>
    <cellStyle name="Normal 2" xfId="2" xr:uid="{EDDF5D5E-B5AD-4523-A0EA-7A55BA7B58F7}"/>
    <cellStyle name="Normal 2 2" xfId="6" xr:uid="{ED398B75-C571-457C-8B1D-8C4A429EDF66}"/>
    <cellStyle name="Normal 2 2 2" xfId="14" xr:uid="{9C016A15-92E3-49B3-BA57-BBE5F7DC67A6}"/>
    <cellStyle name="Normal 2 2 3" xfId="17" xr:uid="{B64A3260-C690-4D28-AE85-44DEC898B2D8}"/>
    <cellStyle name="Normal 2 2 4" xfId="18" xr:uid="{E18F5611-7C6E-4040-AF6A-52AFEFBB8AFF}"/>
    <cellStyle name="Normal 47" xfId="7" xr:uid="{CCA9CC28-92AF-4CEF-B4E9-DDF7C222A30D}"/>
    <cellStyle name="Normal 5 4" xfId="3" xr:uid="{A4E88CA2-D578-4086-9AF6-F87E30D58D1F}"/>
    <cellStyle name="Normal 5 5" xfId="9" xr:uid="{68D42484-4B32-44F5-BD81-265F72C4D614}"/>
    <cellStyle name="Normal 7 2" xfId="19" xr:uid="{8437AC6D-807E-458F-A9D9-396F908E8B54}"/>
    <cellStyle name="Normal 7 4 3" xfId="12" xr:uid="{44193855-D8C5-4006-AD22-494D875BECE4}"/>
    <cellStyle name="Normal 8 2 5" xfId="11" xr:uid="{E3D78A85-D63A-4B6D-A3A0-7ADAE912C4D3}"/>
    <cellStyle name="Normal_42030040-05 &amp; 42030040-06" xfId="20" xr:uid="{F47235B7-545C-4FBC-801D-68B7C544835A}"/>
    <cellStyle name="Percent" xfId="21" builtinId="5"/>
    <cellStyle name="Percent 2" xfId="4" xr:uid="{FFC33AD1-5137-47EF-99AC-9191D2892B10}"/>
    <cellStyle name="Percent 2 6" xfId="13" xr:uid="{5569199F-1BDA-4AF9-8A52-A2FA35C1B7A5}"/>
    <cellStyle name="Percent 7 2" xfId="15" xr:uid="{709A8264-E7C7-4CF6-8EBB-744A2D3548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GULD</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GULD!$B$214:$B$220</c:f>
              <c:numCache>
                <c:formatCode>General</c:formatCode>
                <c:ptCount val="7"/>
                <c:pt idx="0">
                  <c:v>14</c:v>
                </c:pt>
                <c:pt idx="1">
                  <c:v>13</c:v>
                </c:pt>
                <c:pt idx="2">
                  <c:v>12</c:v>
                </c:pt>
                <c:pt idx="3">
                  <c:v>11</c:v>
                </c:pt>
                <c:pt idx="4">
                  <c:v>10</c:v>
                </c:pt>
                <c:pt idx="5">
                  <c:v>9</c:v>
                </c:pt>
                <c:pt idx="6">
                  <c:v>8</c:v>
                </c:pt>
              </c:numCache>
            </c:numRef>
          </c:xVal>
          <c:yVal>
            <c:numRef>
              <c:f>GULD!$F$214:$F$220</c:f>
              <c:numCache>
                <c:formatCode>General</c:formatCode>
                <c:ptCount val="7"/>
                <c:pt idx="0">
                  <c:v>316.23065662930225</c:v>
                </c:pt>
                <c:pt idx="1">
                  <c:v>247.00127846107435</c:v>
                </c:pt>
                <c:pt idx="2">
                  <c:v>196.07539555247689</c:v>
                </c:pt>
                <c:pt idx="3">
                  <c:v>158.89741632716394</c:v>
                </c:pt>
                <c:pt idx="4">
                  <c:v>124.0019362235569</c:v>
                </c:pt>
                <c:pt idx="5">
                  <c:v>98.114984781245269</c:v>
                </c:pt>
                <c:pt idx="6">
                  <c:v>53.083988778307635</c:v>
                </c:pt>
              </c:numCache>
            </c:numRef>
          </c:yVal>
          <c:smooth val="1"/>
          <c:extLst>
            <c:ext xmlns:c16="http://schemas.microsoft.com/office/drawing/2014/chart" uri="{C3380CC4-5D6E-409C-BE32-E72D297353CC}">
              <c16:uniqueId val="{00000000-41A5-4213-B216-4020F3A95661}"/>
            </c:ext>
          </c:extLst>
        </c:ser>
        <c:ser>
          <c:idx val="1"/>
          <c:order val="1"/>
          <c:tx>
            <c:v>HOLTROP</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HOLTROP!$B$291:$B$297</c:f>
              <c:numCache>
                <c:formatCode>General</c:formatCode>
                <c:ptCount val="7"/>
                <c:pt idx="0">
                  <c:v>17</c:v>
                </c:pt>
                <c:pt idx="1">
                  <c:v>16</c:v>
                </c:pt>
                <c:pt idx="2">
                  <c:v>15</c:v>
                </c:pt>
                <c:pt idx="3">
                  <c:v>14</c:v>
                </c:pt>
                <c:pt idx="4">
                  <c:v>13</c:v>
                </c:pt>
                <c:pt idx="5">
                  <c:v>12</c:v>
                </c:pt>
                <c:pt idx="6">
                  <c:v>11</c:v>
                </c:pt>
              </c:numCache>
            </c:numRef>
          </c:xVal>
          <c:yVal>
            <c:numRef>
              <c:f>HOLTROP!$D$291:$D$297</c:f>
              <c:numCache>
                <c:formatCode>General</c:formatCode>
                <c:ptCount val="7"/>
                <c:pt idx="0">
                  <c:v>570.48429474581019</c:v>
                </c:pt>
                <c:pt idx="1">
                  <c:v>458.00549416404749</c:v>
                </c:pt>
                <c:pt idx="2">
                  <c:v>368.79070874471017</c:v>
                </c:pt>
                <c:pt idx="3">
                  <c:v>309.92391160363286</c:v>
                </c:pt>
                <c:pt idx="4">
                  <c:v>255.27710141557196</c:v>
                </c:pt>
                <c:pt idx="5">
                  <c:v>212.96605094475407</c:v>
                </c:pt>
                <c:pt idx="6">
                  <c:v>177.10754307559398</c:v>
                </c:pt>
              </c:numCache>
            </c:numRef>
          </c:yVal>
          <c:smooth val="1"/>
          <c:extLst>
            <c:ext xmlns:c16="http://schemas.microsoft.com/office/drawing/2014/chart" uri="{C3380CC4-5D6E-409C-BE32-E72D297353CC}">
              <c16:uniqueId val="{00000001-41A5-4213-B216-4020F3A95661}"/>
            </c:ext>
          </c:extLst>
        </c:ser>
        <c:ser>
          <c:idx val="2"/>
          <c:order val="2"/>
          <c:tx>
            <c:v>MAXSURF</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MAXSURF!$A$4:$A$45</c:f>
              <c:numCache>
                <c:formatCode>General</c:formatCode>
                <c:ptCount val="42"/>
                <c:pt idx="0">
                  <c:v>8</c:v>
                </c:pt>
                <c:pt idx="1">
                  <c:v>8.15</c:v>
                </c:pt>
                <c:pt idx="2">
                  <c:v>8.3000000000000007</c:v>
                </c:pt>
                <c:pt idx="3">
                  <c:v>8.4499999999999993</c:v>
                </c:pt>
                <c:pt idx="4">
                  <c:v>8.6</c:v>
                </c:pt>
                <c:pt idx="5">
                  <c:v>8.75</c:v>
                </c:pt>
                <c:pt idx="6">
                  <c:v>8.9</c:v>
                </c:pt>
                <c:pt idx="7">
                  <c:v>9.0500000000000007</c:v>
                </c:pt>
                <c:pt idx="8">
                  <c:v>9.1999999999999993</c:v>
                </c:pt>
                <c:pt idx="9">
                  <c:v>9.35</c:v>
                </c:pt>
                <c:pt idx="10">
                  <c:v>9.5</c:v>
                </c:pt>
                <c:pt idx="11">
                  <c:v>9.65</c:v>
                </c:pt>
                <c:pt idx="12">
                  <c:v>9.8000000000000007</c:v>
                </c:pt>
                <c:pt idx="13">
                  <c:v>9.9499999999999993</c:v>
                </c:pt>
                <c:pt idx="14">
                  <c:v>10.1</c:v>
                </c:pt>
                <c:pt idx="15">
                  <c:v>10.25</c:v>
                </c:pt>
                <c:pt idx="16">
                  <c:v>10.4</c:v>
                </c:pt>
                <c:pt idx="17">
                  <c:v>10.55</c:v>
                </c:pt>
                <c:pt idx="18">
                  <c:v>10.7</c:v>
                </c:pt>
                <c:pt idx="19">
                  <c:v>10.85</c:v>
                </c:pt>
                <c:pt idx="20">
                  <c:v>11</c:v>
                </c:pt>
                <c:pt idx="21">
                  <c:v>11.15</c:v>
                </c:pt>
                <c:pt idx="22">
                  <c:v>11.3</c:v>
                </c:pt>
                <c:pt idx="23">
                  <c:v>11.45</c:v>
                </c:pt>
                <c:pt idx="24">
                  <c:v>11.6</c:v>
                </c:pt>
                <c:pt idx="25">
                  <c:v>11.75</c:v>
                </c:pt>
                <c:pt idx="26">
                  <c:v>11.9</c:v>
                </c:pt>
                <c:pt idx="27">
                  <c:v>12.05</c:v>
                </c:pt>
                <c:pt idx="28">
                  <c:v>12.2</c:v>
                </c:pt>
                <c:pt idx="29">
                  <c:v>12.35</c:v>
                </c:pt>
                <c:pt idx="30">
                  <c:v>12.5</c:v>
                </c:pt>
                <c:pt idx="31">
                  <c:v>12.65</c:v>
                </c:pt>
                <c:pt idx="32">
                  <c:v>12.8</c:v>
                </c:pt>
                <c:pt idx="33">
                  <c:v>12.95</c:v>
                </c:pt>
                <c:pt idx="34">
                  <c:v>13</c:v>
                </c:pt>
                <c:pt idx="35">
                  <c:v>13.1</c:v>
                </c:pt>
                <c:pt idx="36">
                  <c:v>13.25</c:v>
                </c:pt>
                <c:pt idx="37">
                  <c:v>13.4</c:v>
                </c:pt>
                <c:pt idx="38">
                  <c:v>13.55</c:v>
                </c:pt>
                <c:pt idx="39">
                  <c:v>13.7</c:v>
                </c:pt>
                <c:pt idx="40">
                  <c:v>13.85</c:v>
                </c:pt>
                <c:pt idx="41">
                  <c:v>14</c:v>
                </c:pt>
              </c:numCache>
            </c:numRef>
          </c:xVal>
          <c:yVal>
            <c:numRef>
              <c:f>MAXSURF!$D$4:$D$45</c:f>
              <c:numCache>
                <c:formatCode>General</c:formatCode>
                <c:ptCount val="42"/>
                <c:pt idx="0">
                  <c:v>106.3</c:v>
                </c:pt>
                <c:pt idx="1">
                  <c:v>110.1</c:v>
                </c:pt>
                <c:pt idx="2">
                  <c:v>114</c:v>
                </c:pt>
                <c:pt idx="3">
                  <c:v>118</c:v>
                </c:pt>
                <c:pt idx="4">
                  <c:v>122.1</c:v>
                </c:pt>
                <c:pt idx="5">
                  <c:v>126.2</c:v>
                </c:pt>
                <c:pt idx="6">
                  <c:v>130.4</c:v>
                </c:pt>
                <c:pt idx="7">
                  <c:v>134.80000000000001</c:v>
                </c:pt>
                <c:pt idx="8">
                  <c:v>139.1</c:v>
                </c:pt>
                <c:pt idx="9">
                  <c:v>143.6</c:v>
                </c:pt>
                <c:pt idx="10">
                  <c:v>148.19999999999999</c:v>
                </c:pt>
                <c:pt idx="11">
                  <c:v>152.9</c:v>
                </c:pt>
                <c:pt idx="12">
                  <c:v>157.6</c:v>
                </c:pt>
                <c:pt idx="13">
                  <c:v>162.5</c:v>
                </c:pt>
                <c:pt idx="14">
                  <c:v>167.5</c:v>
                </c:pt>
                <c:pt idx="15">
                  <c:v>172.6</c:v>
                </c:pt>
                <c:pt idx="16">
                  <c:v>177.8</c:v>
                </c:pt>
                <c:pt idx="17">
                  <c:v>183.2</c:v>
                </c:pt>
                <c:pt idx="18">
                  <c:v>188.7</c:v>
                </c:pt>
                <c:pt idx="19">
                  <c:v>194.4</c:v>
                </c:pt>
                <c:pt idx="20">
                  <c:v>200.2</c:v>
                </c:pt>
                <c:pt idx="21">
                  <c:v>206.1</c:v>
                </c:pt>
                <c:pt idx="22">
                  <c:v>212.3</c:v>
                </c:pt>
                <c:pt idx="23">
                  <c:v>218.6</c:v>
                </c:pt>
                <c:pt idx="24">
                  <c:v>225.1</c:v>
                </c:pt>
                <c:pt idx="25">
                  <c:v>231.8</c:v>
                </c:pt>
                <c:pt idx="26">
                  <c:v>238.7</c:v>
                </c:pt>
                <c:pt idx="27">
                  <c:v>245.8</c:v>
                </c:pt>
                <c:pt idx="28">
                  <c:v>253.2</c:v>
                </c:pt>
                <c:pt idx="29">
                  <c:v>260.8</c:v>
                </c:pt>
                <c:pt idx="30">
                  <c:v>268.60000000000002</c:v>
                </c:pt>
                <c:pt idx="31">
                  <c:v>276.8</c:v>
                </c:pt>
                <c:pt idx="32">
                  <c:v>285.2</c:v>
                </c:pt>
                <c:pt idx="33">
                  <c:v>293.89999999999998</c:v>
                </c:pt>
                <c:pt idx="34">
                  <c:v>296.89999999999998</c:v>
                </c:pt>
                <c:pt idx="35">
                  <c:v>302.89999999999998</c:v>
                </c:pt>
                <c:pt idx="36">
                  <c:v>312.3</c:v>
                </c:pt>
                <c:pt idx="37">
                  <c:v>322</c:v>
                </c:pt>
                <c:pt idx="38">
                  <c:v>332</c:v>
                </c:pt>
                <c:pt idx="39">
                  <c:v>342.4</c:v>
                </c:pt>
                <c:pt idx="40">
                  <c:v>353.2</c:v>
                </c:pt>
                <c:pt idx="41">
                  <c:v>364.4</c:v>
                </c:pt>
              </c:numCache>
            </c:numRef>
          </c:yVal>
          <c:smooth val="1"/>
          <c:extLst>
            <c:ext xmlns:c16="http://schemas.microsoft.com/office/drawing/2014/chart" uri="{C3380CC4-5D6E-409C-BE32-E72D297353CC}">
              <c16:uniqueId val="{00000002-41A5-4213-B216-4020F3A95661}"/>
            </c:ext>
          </c:extLst>
        </c:ser>
        <c:dLbls>
          <c:showLegendKey val="0"/>
          <c:showVal val="0"/>
          <c:showCatName val="0"/>
          <c:showSerName val="0"/>
          <c:showPercent val="0"/>
          <c:showBubbleSize val="0"/>
        </c:dLbls>
        <c:axId val="1366555391"/>
        <c:axId val="1657393167"/>
      </c:scatterChart>
      <c:valAx>
        <c:axId val="1366555391"/>
        <c:scaling>
          <c:orientation val="minMax"/>
          <c:max val="15"/>
          <c:min val="7"/>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 (knot)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93167"/>
        <c:crosses val="autoZero"/>
        <c:crossBetween val="midCat"/>
      </c:valAx>
      <c:valAx>
        <c:axId val="1657393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RT</a:t>
                </a:r>
                <a:r>
                  <a:rPr lang="en-US" baseline="0"/>
                  <a:t> (kN)</a:t>
                </a:r>
                <a:endParaRPr lang="en-US"/>
              </a:p>
            </c:rich>
          </c:tx>
          <c:layout>
            <c:manualLayout>
              <c:xMode val="edge"/>
              <c:yMode val="edge"/>
              <c:x val="8.0827898311290943E-3"/>
              <c:y val="0.369760515434374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55391"/>
        <c:crosses val="autoZero"/>
        <c:crossBetween val="midCat"/>
      </c:valAx>
      <c:spPr>
        <a:noFill/>
        <a:ln>
          <a:noFill/>
        </a:ln>
        <a:effectLst/>
      </c:spPr>
    </c:plotArea>
    <c:legend>
      <c:legendPos val="r"/>
      <c:layout>
        <c:manualLayout>
          <c:xMode val="edge"/>
          <c:yMode val="edge"/>
          <c:x val="0.73186215321768877"/>
          <c:y val="0.49874765830519863"/>
          <c:w val="0.18478341960115455"/>
          <c:h val="0.2368185511585265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GULD</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GULD!$B$214:$B$220</c:f>
              <c:numCache>
                <c:formatCode>General</c:formatCode>
                <c:ptCount val="7"/>
                <c:pt idx="0">
                  <c:v>14</c:v>
                </c:pt>
                <c:pt idx="1">
                  <c:v>13</c:v>
                </c:pt>
                <c:pt idx="2">
                  <c:v>12</c:v>
                </c:pt>
                <c:pt idx="3">
                  <c:v>11</c:v>
                </c:pt>
                <c:pt idx="4">
                  <c:v>10</c:v>
                </c:pt>
                <c:pt idx="5">
                  <c:v>9</c:v>
                </c:pt>
                <c:pt idx="6">
                  <c:v>8</c:v>
                </c:pt>
              </c:numCache>
            </c:numRef>
          </c:xVal>
          <c:yVal>
            <c:numRef>
              <c:f>GULD!$F$214:$F$220</c:f>
              <c:numCache>
                <c:formatCode>General</c:formatCode>
                <c:ptCount val="7"/>
                <c:pt idx="0">
                  <c:v>316.23065662930225</c:v>
                </c:pt>
                <c:pt idx="1">
                  <c:v>247.00127846107435</c:v>
                </c:pt>
                <c:pt idx="2">
                  <c:v>196.07539555247689</c:v>
                </c:pt>
                <c:pt idx="3">
                  <c:v>158.89741632716394</c:v>
                </c:pt>
                <c:pt idx="4">
                  <c:v>124.0019362235569</c:v>
                </c:pt>
                <c:pt idx="5">
                  <c:v>98.114984781245269</c:v>
                </c:pt>
                <c:pt idx="6">
                  <c:v>53.083988778307635</c:v>
                </c:pt>
              </c:numCache>
            </c:numRef>
          </c:yVal>
          <c:smooth val="1"/>
          <c:extLst>
            <c:ext xmlns:c16="http://schemas.microsoft.com/office/drawing/2014/chart" uri="{C3380CC4-5D6E-409C-BE32-E72D297353CC}">
              <c16:uniqueId val="{00000000-752E-4B01-81CB-B7FC7B0B4FC3}"/>
            </c:ext>
          </c:extLst>
        </c:ser>
        <c:ser>
          <c:idx val="1"/>
          <c:order val="1"/>
          <c:tx>
            <c:v>HOLTROP</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HOLTROP!$B$291:$B$297</c:f>
              <c:numCache>
                <c:formatCode>General</c:formatCode>
                <c:ptCount val="7"/>
                <c:pt idx="0">
                  <c:v>17</c:v>
                </c:pt>
                <c:pt idx="1">
                  <c:v>16</c:v>
                </c:pt>
                <c:pt idx="2">
                  <c:v>15</c:v>
                </c:pt>
                <c:pt idx="3">
                  <c:v>14</c:v>
                </c:pt>
                <c:pt idx="4">
                  <c:v>13</c:v>
                </c:pt>
                <c:pt idx="5">
                  <c:v>12</c:v>
                </c:pt>
                <c:pt idx="6">
                  <c:v>11</c:v>
                </c:pt>
              </c:numCache>
            </c:numRef>
          </c:xVal>
          <c:yVal>
            <c:numRef>
              <c:f>HOLTROP!$D$291:$D$297</c:f>
              <c:numCache>
                <c:formatCode>General</c:formatCode>
                <c:ptCount val="7"/>
                <c:pt idx="0">
                  <c:v>570.48429474581019</c:v>
                </c:pt>
                <c:pt idx="1">
                  <c:v>458.00549416404749</c:v>
                </c:pt>
                <c:pt idx="2">
                  <c:v>368.79070874471017</c:v>
                </c:pt>
                <c:pt idx="3">
                  <c:v>309.92391160363286</c:v>
                </c:pt>
                <c:pt idx="4">
                  <c:v>255.27710141557196</c:v>
                </c:pt>
                <c:pt idx="5">
                  <c:v>212.96605094475407</c:v>
                </c:pt>
                <c:pt idx="6">
                  <c:v>177.10754307559398</c:v>
                </c:pt>
              </c:numCache>
            </c:numRef>
          </c:yVal>
          <c:smooth val="1"/>
          <c:extLst>
            <c:ext xmlns:c16="http://schemas.microsoft.com/office/drawing/2014/chart" uri="{C3380CC4-5D6E-409C-BE32-E72D297353CC}">
              <c16:uniqueId val="{00000001-752E-4B01-81CB-B7FC7B0B4FC3}"/>
            </c:ext>
          </c:extLst>
        </c:ser>
        <c:ser>
          <c:idx val="2"/>
          <c:order val="2"/>
          <c:tx>
            <c:v>MAXSURF</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MAXSURF!$A$4:$A$45</c:f>
              <c:numCache>
                <c:formatCode>General</c:formatCode>
                <c:ptCount val="42"/>
                <c:pt idx="0">
                  <c:v>8</c:v>
                </c:pt>
                <c:pt idx="1">
                  <c:v>8.15</c:v>
                </c:pt>
                <c:pt idx="2">
                  <c:v>8.3000000000000007</c:v>
                </c:pt>
                <c:pt idx="3">
                  <c:v>8.4499999999999993</c:v>
                </c:pt>
                <c:pt idx="4">
                  <c:v>8.6</c:v>
                </c:pt>
                <c:pt idx="5">
                  <c:v>8.75</c:v>
                </c:pt>
                <c:pt idx="6">
                  <c:v>8.9</c:v>
                </c:pt>
                <c:pt idx="7">
                  <c:v>9.0500000000000007</c:v>
                </c:pt>
                <c:pt idx="8">
                  <c:v>9.1999999999999993</c:v>
                </c:pt>
                <c:pt idx="9">
                  <c:v>9.35</c:v>
                </c:pt>
                <c:pt idx="10">
                  <c:v>9.5</c:v>
                </c:pt>
                <c:pt idx="11">
                  <c:v>9.65</c:v>
                </c:pt>
                <c:pt idx="12">
                  <c:v>9.8000000000000007</c:v>
                </c:pt>
                <c:pt idx="13">
                  <c:v>9.9499999999999993</c:v>
                </c:pt>
                <c:pt idx="14">
                  <c:v>10.1</c:v>
                </c:pt>
                <c:pt idx="15">
                  <c:v>10.25</c:v>
                </c:pt>
                <c:pt idx="16">
                  <c:v>10.4</c:v>
                </c:pt>
                <c:pt idx="17">
                  <c:v>10.55</c:v>
                </c:pt>
                <c:pt idx="18">
                  <c:v>10.7</c:v>
                </c:pt>
                <c:pt idx="19">
                  <c:v>10.85</c:v>
                </c:pt>
                <c:pt idx="20">
                  <c:v>11</c:v>
                </c:pt>
                <c:pt idx="21">
                  <c:v>11.15</c:v>
                </c:pt>
                <c:pt idx="22">
                  <c:v>11.3</c:v>
                </c:pt>
                <c:pt idx="23">
                  <c:v>11.45</c:v>
                </c:pt>
                <c:pt idx="24">
                  <c:v>11.6</c:v>
                </c:pt>
                <c:pt idx="25">
                  <c:v>11.75</c:v>
                </c:pt>
                <c:pt idx="26">
                  <c:v>11.9</c:v>
                </c:pt>
                <c:pt idx="27">
                  <c:v>12.05</c:v>
                </c:pt>
                <c:pt idx="28">
                  <c:v>12.2</c:v>
                </c:pt>
                <c:pt idx="29">
                  <c:v>12.35</c:v>
                </c:pt>
                <c:pt idx="30">
                  <c:v>12.5</c:v>
                </c:pt>
                <c:pt idx="31">
                  <c:v>12.65</c:v>
                </c:pt>
                <c:pt idx="32">
                  <c:v>12.8</c:v>
                </c:pt>
                <c:pt idx="33">
                  <c:v>12.95</c:v>
                </c:pt>
                <c:pt idx="34">
                  <c:v>13</c:v>
                </c:pt>
                <c:pt idx="35">
                  <c:v>13.1</c:v>
                </c:pt>
                <c:pt idx="36">
                  <c:v>13.25</c:v>
                </c:pt>
                <c:pt idx="37">
                  <c:v>13.4</c:v>
                </c:pt>
                <c:pt idx="38">
                  <c:v>13.55</c:v>
                </c:pt>
                <c:pt idx="39">
                  <c:v>13.7</c:v>
                </c:pt>
                <c:pt idx="40">
                  <c:v>13.85</c:v>
                </c:pt>
                <c:pt idx="41">
                  <c:v>14</c:v>
                </c:pt>
              </c:numCache>
            </c:numRef>
          </c:xVal>
          <c:yVal>
            <c:numRef>
              <c:f>MAXSURF!$D$4:$D$45</c:f>
              <c:numCache>
                <c:formatCode>General</c:formatCode>
                <c:ptCount val="42"/>
                <c:pt idx="0">
                  <c:v>106.3</c:v>
                </c:pt>
                <c:pt idx="1">
                  <c:v>110.1</c:v>
                </c:pt>
                <c:pt idx="2">
                  <c:v>114</c:v>
                </c:pt>
                <c:pt idx="3">
                  <c:v>118</c:v>
                </c:pt>
                <c:pt idx="4">
                  <c:v>122.1</c:v>
                </c:pt>
                <c:pt idx="5">
                  <c:v>126.2</c:v>
                </c:pt>
                <c:pt idx="6">
                  <c:v>130.4</c:v>
                </c:pt>
                <c:pt idx="7">
                  <c:v>134.80000000000001</c:v>
                </c:pt>
                <c:pt idx="8">
                  <c:v>139.1</c:v>
                </c:pt>
                <c:pt idx="9">
                  <c:v>143.6</c:v>
                </c:pt>
                <c:pt idx="10">
                  <c:v>148.19999999999999</c:v>
                </c:pt>
                <c:pt idx="11">
                  <c:v>152.9</c:v>
                </c:pt>
                <c:pt idx="12">
                  <c:v>157.6</c:v>
                </c:pt>
                <c:pt idx="13">
                  <c:v>162.5</c:v>
                </c:pt>
                <c:pt idx="14">
                  <c:v>167.5</c:v>
                </c:pt>
                <c:pt idx="15">
                  <c:v>172.6</c:v>
                </c:pt>
                <c:pt idx="16">
                  <c:v>177.8</c:v>
                </c:pt>
                <c:pt idx="17">
                  <c:v>183.2</c:v>
                </c:pt>
                <c:pt idx="18">
                  <c:v>188.7</c:v>
                </c:pt>
                <c:pt idx="19">
                  <c:v>194.4</c:v>
                </c:pt>
                <c:pt idx="20">
                  <c:v>200.2</c:v>
                </c:pt>
                <c:pt idx="21">
                  <c:v>206.1</c:v>
                </c:pt>
                <c:pt idx="22">
                  <c:v>212.3</c:v>
                </c:pt>
                <c:pt idx="23">
                  <c:v>218.6</c:v>
                </c:pt>
                <c:pt idx="24">
                  <c:v>225.1</c:v>
                </c:pt>
                <c:pt idx="25">
                  <c:v>231.8</c:v>
                </c:pt>
                <c:pt idx="26">
                  <c:v>238.7</c:v>
                </c:pt>
                <c:pt idx="27">
                  <c:v>245.8</c:v>
                </c:pt>
                <c:pt idx="28">
                  <c:v>253.2</c:v>
                </c:pt>
                <c:pt idx="29">
                  <c:v>260.8</c:v>
                </c:pt>
                <c:pt idx="30">
                  <c:v>268.60000000000002</c:v>
                </c:pt>
                <c:pt idx="31">
                  <c:v>276.8</c:v>
                </c:pt>
                <c:pt idx="32">
                  <c:v>285.2</c:v>
                </c:pt>
                <c:pt idx="33">
                  <c:v>293.89999999999998</c:v>
                </c:pt>
                <c:pt idx="34">
                  <c:v>296.89999999999998</c:v>
                </c:pt>
                <c:pt idx="35">
                  <c:v>302.89999999999998</c:v>
                </c:pt>
                <c:pt idx="36">
                  <c:v>312.3</c:v>
                </c:pt>
                <c:pt idx="37">
                  <c:v>322</c:v>
                </c:pt>
                <c:pt idx="38">
                  <c:v>332</c:v>
                </c:pt>
                <c:pt idx="39">
                  <c:v>342.4</c:v>
                </c:pt>
                <c:pt idx="40">
                  <c:v>353.2</c:v>
                </c:pt>
                <c:pt idx="41">
                  <c:v>364.4</c:v>
                </c:pt>
              </c:numCache>
            </c:numRef>
          </c:yVal>
          <c:smooth val="1"/>
          <c:extLst>
            <c:ext xmlns:c16="http://schemas.microsoft.com/office/drawing/2014/chart" uri="{C3380CC4-5D6E-409C-BE32-E72D297353CC}">
              <c16:uniqueId val="{00000002-752E-4B01-81CB-B7FC7B0B4FC3}"/>
            </c:ext>
          </c:extLst>
        </c:ser>
        <c:dLbls>
          <c:showLegendKey val="0"/>
          <c:showVal val="0"/>
          <c:showCatName val="0"/>
          <c:showSerName val="0"/>
          <c:showPercent val="0"/>
          <c:showBubbleSize val="0"/>
        </c:dLbls>
        <c:axId val="1366555391"/>
        <c:axId val="1657393167"/>
      </c:scatterChart>
      <c:valAx>
        <c:axId val="1366555391"/>
        <c:scaling>
          <c:orientation val="minMax"/>
          <c:max val="15"/>
          <c:min val="7"/>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 (knot)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93167"/>
        <c:crosses val="autoZero"/>
        <c:crossBetween val="midCat"/>
      </c:valAx>
      <c:valAx>
        <c:axId val="1657393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RT</a:t>
                </a:r>
                <a:r>
                  <a:rPr lang="en-US" baseline="0"/>
                  <a:t> (kN)</a:t>
                </a:r>
                <a:endParaRPr lang="en-US"/>
              </a:p>
            </c:rich>
          </c:tx>
          <c:layout>
            <c:manualLayout>
              <c:xMode val="edge"/>
              <c:yMode val="edge"/>
              <c:x val="8.0827898311290943E-3"/>
              <c:y val="0.369760515434374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55391"/>
        <c:crosses val="autoZero"/>
        <c:crossBetween val="midCat"/>
      </c:valAx>
      <c:spPr>
        <a:noFill/>
        <a:ln>
          <a:noFill/>
        </a:ln>
        <a:effectLst/>
      </c:spPr>
    </c:plotArea>
    <c:legend>
      <c:legendPos val="r"/>
      <c:layout>
        <c:manualLayout>
          <c:xMode val="edge"/>
          <c:yMode val="edge"/>
          <c:x val="0.73186215321768877"/>
          <c:y val="0.49874765830519863"/>
          <c:w val="0.18478341960115455"/>
          <c:h val="0.2368185511585265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KT KQ J</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'!$D$105:$D$112</c:f>
              <c:numCache>
                <c:formatCode>0.00000</c:formatCode>
                <c:ptCount val="8"/>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numCache>
            </c:numRef>
          </c:yVal>
          <c:smooth val="1"/>
          <c:extLst>
            <c:ext xmlns:c16="http://schemas.microsoft.com/office/drawing/2014/chart" uri="{C3380CC4-5D6E-409C-BE32-E72D297353CC}">
              <c16:uniqueId val="{00000000-CC97-4E1B-857A-5838972B5061}"/>
            </c:ext>
          </c:extLst>
        </c:ser>
        <c:ser>
          <c:idx val="1"/>
          <c:order val="1"/>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'!$E$105:$E$112</c:f>
              <c:numCache>
                <c:formatCode>0.00000</c:formatCode>
                <c:ptCount val="8"/>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numCache>
            </c:numRef>
          </c:yVal>
          <c:smooth val="1"/>
          <c:extLst>
            <c:ext xmlns:c16="http://schemas.microsoft.com/office/drawing/2014/chart" uri="{C3380CC4-5D6E-409C-BE32-E72D297353CC}">
              <c16:uniqueId val="{00000001-CC97-4E1B-857A-5838972B5061}"/>
            </c:ext>
          </c:extLst>
        </c:ser>
        <c:ser>
          <c:idx val="2"/>
          <c:order val="2"/>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'!$F$105:$F$112</c:f>
              <c:numCache>
                <c:formatCode>0.00000</c:formatCode>
                <c:ptCount val="8"/>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numCache>
            </c:numRef>
          </c:yVal>
          <c:smooth val="1"/>
          <c:extLst>
            <c:ext xmlns:c16="http://schemas.microsoft.com/office/drawing/2014/chart" uri="{C3380CC4-5D6E-409C-BE32-E72D297353CC}">
              <c16:uniqueId val="{00000002-CC97-4E1B-857A-5838972B5061}"/>
            </c:ext>
          </c:extLst>
        </c:ser>
        <c:dLbls>
          <c:showLegendKey val="0"/>
          <c:showVal val="0"/>
          <c:showCatName val="0"/>
          <c:showSerName val="0"/>
          <c:showPercent val="0"/>
          <c:showBubbleSize val="0"/>
        </c:dLbls>
        <c:axId val="-1938572768"/>
        <c:axId val="-1938571136"/>
      </c:scatterChart>
      <c:valAx>
        <c:axId val="-1938572768"/>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1136"/>
        <c:crosses val="autoZero"/>
        <c:crossBetween val="midCat"/>
      </c:valAx>
      <c:valAx>
        <c:axId val="-19385711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KT 10KQ</a:t>
                </a:r>
                <a:r>
                  <a:rPr lang="en-US"/>
                  <a:t> </a:t>
                </a:r>
                <a:r>
                  <a:rPr lang="el-GR"/>
                  <a:t>η</a:t>
                </a:r>
                <a:r>
                  <a:rPr lang="en-US"/>
                  <a:t>o</a:t>
                </a:r>
                <a:r>
                  <a:rPr lang="id-ID"/>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2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KT Trial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14 knot</c:v>
          </c:tx>
          <c:spPr>
            <a:ln w="3175" cap="rnd">
              <a:solidFill>
                <a:schemeClr val="accent1"/>
              </a:solidFill>
              <a:round/>
            </a:ln>
            <a:effectLst/>
          </c:spPr>
          <c:marker>
            <c:symbol val="none"/>
          </c:marker>
          <c:cat>
            <c:numRef>
              <c:f>'EPM '!$B$22:$B$32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'!$C$22:$C$32</c:f>
              <c:numCache>
                <c:formatCode>General</c:formatCode>
                <c:ptCount val="11"/>
                <c:pt idx="0">
                  <c:v>0</c:v>
                </c:pt>
                <c:pt idx="1">
                  <c:v>1.2347028180244494E-2</c:v>
                </c:pt>
                <c:pt idx="2">
                  <c:v>4.9388112720977977E-2</c:v>
                </c:pt>
                <c:pt idx="3">
                  <c:v>0.11112325362220044</c:v>
                </c:pt>
                <c:pt idx="4">
                  <c:v>0.19755245088391191</c:v>
                </c:pt>
                <c:pt idx="5">
                  <c:v>0.30867570450611231</c:v>
                </c:pt>
                <c:pt idx="6">
                  <c:v>0.44449301448880174</c:v>
                </c:pt>
                <c:pt idx="7">
                  <c:v>0.60500438083198005</c:v>
                </c:pt>
                <c:pt idx="8">
                  <c:v>0.79020980353564763</c:v>
                </c:pt>
                <c:pt idx="9">
                  <c:v>1.0001092825998039</c:v>
                </c:pt>
                <c:pt idx="10">
                  <c:v>1.2347028180244493</c:v>
                </c:pt>
              </c:numCache>
            </c:numRef>
          </c:val>
          <c:smooth val="0"/>
          <c:extLst>
            <c:ext xmlns:c16="http://schemas.microsoft.com/office/drawing/2014/chart" uri="{C3380CC4-5D6E-409C-BE32-E72D297353CC}">
              <c16:uniqueId val="{00000000-73AC-44A5-9A5D-E4B585CD77A7}"/>
            </c:ext>
          </c:extLst>
        </c:ser>
        <c:ser>
          <c:idx val="1"/>
          <c:order val="1"/>
          <c:tx>
            <c:v>13 knot</c:v>
          </c:tx>
          <c:spPr>
            <a:ln w="3175" cap="rnd">
              <a:solidFill>
                <a:schemeClr val="accent2"/>
              </a:solidFill>
              <a:round/>
            </a:ln>
            <a:effectLst/>
          </c:spPr>
          <c:marker>
            <c:symbol val="none"/>
          </c:marker>
          <c:cat>
            <c:numRef>
              <c:f>'EPM '!$B$22:$B$32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'!$D$22:$D$32</c:f>
              <c:numCache>
                <c:formatCode>General</c:formatCode>
                <c:ptCount val="11"/>
                <c:pt idx="0">
                  <c:v>0</c:v>
                </c:pt>
                <c:pt idx="1">
                  <c:v>1.1667119211544301E-2</c:v>
                </c:pt>
                <c:pt idx="2">
                  <c:v>4.6668476846177205E-2</c:v>
                </c:pt>
                <c:pt idx="3">
                  <c:v>0.10500407290389868</c:v>
                </c:pt>
                <c:pt idx="4">
                  <c:v>0.18667390738470882</c:v>
                </c:pt>
                <c:pt idx="5">
                  <c:v>0.29167798028860747</c:v>
                </c:pt>
                <c:pt idx="6">
                  <c:v>0.42001629161559473</c:v>
                </c:pt>
                <c:pt idx="7">
                  <c:v>0.57168884136567055</c:v>
                </c:pt>
                <c:pt idx="8">
                  <c:v>0.74669562953883528</c:v>
                </c:pt>
                <c:pt idx="9">
                  <c:v>0.94503665613508825</c:v>
                </c:pt>
                <c:pt idx="10">
                  <c:v>1.1667119211544299</c:v>
                </c:pt>
              </c:numCache>
            </c:numRef>
          </c:val>
          <c:smooth val="0"/>
          <c:extLst>
            <c:ext xmlns:c16="http://schemas.microsoft.com/office/drawing/2014/chart" uri="{C3380CC4-5D6E-409C-BE32-E72D297353CC}">
              <c16:uniqueId val="{00000001-73AC-44A5-9A5D-E4B585CD77A7}"/>
            </c:ext>
          </c:extLst>
        </c:ser>
        <c:ser>
          <c:idx val="2"/>
          <c:order val="2"/>
          <c:tx>
            <c:v>12 knot</c:v>
          </c:tx>
          <c:spPr>
            <a:ln w="3175" cap="rnd">
              <a:solidFill>
                <a:schemeClr val="accent3"/>
              </a:solidFill>
              <a:round/>
            </a:ln>
            <a:effectLst/>
          </c:spPr>
          <c:marker>
            <c:symbol val="none"/>
          </c:marker>
          <c:cat>
            <c:numRef>
              <c:f>'EPM '!$B$22:$B$32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'!$E$22:$E$32</c:f>
              <c:numCache>
                <c:formatCode>General</c:formatCode>
                <c:ptCount val="11"/>
                <c:pt idx="0">
                  <c:v>0</c:v>
                </c:pt>
                <c:pt idx="1">
                  <c:v>1.1335991950885837E-2</c:v>
                </c:pt>
                <c:pt idx="2">
                  <c:v>4.5343967803543349E-2</c:v>
                </c:pt>
                <c:pt idx="3">
                  <c:v>0.10202392755797252</c:v>
                </c:pt>
                <c:pt idx="4">
                  <c:v>0.1813758712141734</c:v>
                </c:pt>
                <c:pt idx="5">
                  <c:v>0.28339979877214588</c:v>
                </c:pt>
                <c:pt idx="6">
                  <c:v>0.40809571023189006</c:v>
                </c:pt>
                <c:pt idx="7">
                  <c:v>0.55546360559340591</c:v>
                </c:pt>
                <c:pt idx="8">
                  <c:v>0.72550348485669358</c:v>
                </c:pt>
                <c:pt idx="9">
                  <c:v>0.91821534802175275</c:v>
                </c:pt>
                <c:pt idx="10">
                  <c:v>1.1335991950885835</c:v>
                </c:pt>
              </c:numCache>
            </c:numRef>
          </c:val>
          <c:smooth val="0"/>
          <c:extLst>
            <c:ext xmlns:c16="http://schemas.microsoft.com/office/drawing/2014/chart" uri="{C3380CC4-5D6E-409C-BE32-E72D297353CC}">
              <c16:uniqueId val="{00000002-73AC-44A5-9A5D-E4B585CD77A7}"/>
            </c:ext>
          </c:extLst>
        </c:ser>
        <c:ser>
          <c:idx val="3"/>
          <c:order val="3"/>
          <c:tx>
            <c:v>11 knot</c:v>
          </c:tx>
          <c:spPr>
            <a:ln w="3175" cap="rnd">
              <a:solidFill>
                <a:schemeClr val="accent4"/>
              </a:solidFill>
              <a:round/>
            </a:ln>
            <a:effectLst/>
          </c:spPr>
          <c:marker>
            <c:symbol val="none"/>
          </c:marker>
          <c:cat>
            <c:numRef>
              <c:f>'EPM '!$B$22:$B$32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'!$F$22:$F$32</c:f>
              <c:numCache>
                <c:formatCode>General</c:formatCode>
                <c:ptCount val="11"/>
                <c:pt idx="0">
                  <c:v>0</c:v>
                </c:pt>
                <c:pt idx="1">
                  <c:v>1.0988004920808345E-2</c:v>
                </c:pt>
                <c:pt idx="2">
                  <c:v>4.3952019683233381E-2</c:v>
                </c:pt>
                <c:pt idx="3">
                  <c:v>9.8892044287275077E-2</c:v>
                </c:pt>
                <c:pt idx="4">
                  <c:v>0.17580807873293353</c:v>
                </c:pt>
                <c:pt idx="5">
                  <c:v>0.27470012302020858</c:v>
                </c:pt>
                <c:pt idx="6">
                  <c:v>0.39556817714910031</c:v>
                </c:pt>
                <c:pt idx="7">
                  <c:v>0.53841224111960873</c:v>
                </c:pt>
                <c:pt idx="8">
                  <c:v>0.7032323149317341</c:v>
                </c:pt>
                <c:pt idx="9">
                  <c:v>0.89002839858547589</c:v>
                </c:pt>
                <c:pt idx="10">
                  <c:v>1.0988004920808343</c:v>
                </c:pt>
              </c:numCache>
            </c:numRef>
          </c:val>
          <c:smooth val="0"/>
          <c:extLst>
            <c:ext xmlns:c16="http://schemas.microsoft.com/office/drawing/2014/chart" uri="{C3380CC4-5D6E-409C-BE32-E72D297353CC}">
              <c16:uniqueId val="{00000003-73AC-44A5-9A5D-E4B585CD77A7}"/>
            </c:ext>
          </c:extLst>
        </c:ser>
        <c:ser>
          <c:idx val="4"/>
          <c:order val="4"/>
          <c:tx>
            <c:v>10 knot</c:v>
          </c:tx>
          <c:spPr>
            <a:ln w="3175" cap="rnd">
              <a:solidFill>
                <a:schemeClr val="accent5"/>
              </a:solidFill>
              <a:round/>
            </a:ln>
            <a:effectLst/>
          </c:spPr>
          <c:marker>
            <c:symbol val="none"/>
          </c:marker>
          <c:cat>
            <c:numRef>
              <c:f>'EPM '!$B$22:$B$32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'!$G$22:$G$32</c:f>
              <c:numCache>
                <c:formatCode>General</c:formatCode>
                <c:ptCount val="11"/>
                <c:pt idx="0">
                  <c:v>0</c:v>
                </c:pt>
                <c:pt idx="1">
                  <c:v>1.1123845640983175E-2</c:v>
                </c:pt>
                <c:pt idx="2">
                  <c:v>4.4495382563932699E-2</c:v>
                </c:pt>
                <c:pt idx="3">
                  <c:v>0.10011461076884855</c:v>
                </c:pt>
                <c:pt idx="4">
                  <c:v>0.1779815302557308</c:v>
                </c:pt>
                <c:pt idx="5">
                  <c:v>0.2780961410245793</c:v>
                </c:pt>
                <c:pt idx="6">
                  <c:v>0.40045844307539419</c:v>
                </c:pt>
                <c:pt idx="7">
                  <c:v>0.54506843640817537</c:v>
                </c:pt>
                <c:pt idx="8">
                  <c:v>0.71192612102292319</c:v>
                </c:pt>
                <c:pt idx="9">
                  <c:v>0.90103149691963702</c:v>
                </c:pt>
                <c:pt idx="10">
                  <c:v>1.1123845640983172</c:v>
                </c:pt>
              </c:numCache>
            </c:numRef>
          </c:val>
          <c:smooth val="0"/>
          <c:extLst>
            <c:ext xmlns:c16="http://schemas.microsoft.com/office/drawing/2014/chart" uri="{C3380CC4-5D6E-409C-BE32-E72D297353CC}">
              <c16:uniqueId val="{00000004-73AC-44A5-9A5D-E4B585CD77A7}"/>
            </c:ext>
          </c:extLst>
        </c:ser>
        <c:ser>
          <c:idx val="5"/>
          <c:order val="5"/>
          <c:tx>
            <c:v>9 knot</c:v>
          </c:tx>
          <c:spPr>
            <a:ln w="3175" cap="rnd">
              <a:solidFill>
                <a:schemeClr val="accent6"/>
              </a:solidFill>
              <a:round/>
            </a:ln>
            <a:effectLst/>
          </c:spPr>
          <c:marker>
            <c:symbol val="none"/>
          </c:marker>
          <c:cat>
            <c:numRef>
              <c:f>'EPM '!$B$22:$B$32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'!$H$22:$H$32</c:f>
              <c:numCache>
                <c:formatCode>General</c:formatCode>
                <c:ptCount val="11"/>
                <c:pt idx="0">
                  <c:v>0</c:v>
                </c:pt>
                <c:pt idx="1">
                  <c:v>1.1052105342948457E-2</c:v>
                </c:pt>
                <c:pt idx="2">
                  <c:v>4.420842137179383E-2</c:v>
                </c:pt>
                <c:pt idx="3">
                  <c:v>9.9468948086536085E-2</c:v>
                </c:pt>
                <c:pt idx="4">
                  <c:v>0.17683368548717532</c:v>
                </c:pt>
                <c:pt idx="5">
                  <c:v>0.27630263357371138</c:v>
                </c:pt>
                <c:pt idx="6">
                  <c:v>0.39787579234614434</c:v>
                </c:pt>
                <c:pt idx="7">
                  <c:v>0.54155316180447421</c:v>
                </c:pt>
                <c:pt idx="8">
                  <c:v>0.70733474194870127</c:v>
                </c:pt>
                <c:pt idx="9">
                  <c:v>0.89522053277882496</c:v>
                </c:pt>
                <c:pt idx="10">
                  <c:v>1.1052105342948455</c:v>
                </c:pt>
              </c:numCache>
            </c:numRef>
          </c:val>
          <c:smooth val="0"/>
          <c:extLst>
            <c:ext xmlns:c16="http://schemas.microsoft.com/office/drawing/2014/chart" uri="{C3380CC4-5D6E-409C-BE32-E72D297353CC}">
              <c16:uniqueId val="{00000005-73AC-44A5-9A5D-E4B585CD77A7}"/>
            </c:ext>
          </c:extLst>
        </c:ser>
        <c:dLbls>
          <c:showLegendKey val="0"/>
          <c:showVal val="0"/>
          <c:showCatName val="0"/>
          <c:showSerName val="0"/>
          <c:showPercent val="0"/>
          <c:showBubbleSize val="0"/>
        </c:dLbls>
        <c:smooth val="0"/>
        <c:axId val="-1938565152"/>
        <c:axId val="-1938562432"/>
      </c:lineChart>
      <c:catAx>
        <c:axId val="-193856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2432"/>
        <c:crosses val="autoZero"/>
        <c:auto val="1"/>
        <c:lblAlgn val="ctr"/>
        <c:lblOffset val="100"/>
        <c:noMultiLvlLbl val="0"/>
      </c:catAx>
      <c:valAx>
        <c:axId val="-193856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5152"/>
        <c:crosses val="autoZero"/>
        <c:crossBetween val="between"/>
      </c:valAx>
      <c:spPr>
        <a:noFill/>
        <a:ln>
          <a:noFill/>
        </a:ln>
        <a:effectLst/>
      </c:spPr>
    </c:plotArea>
    <c:legend>
      <c:legendPos val="t"/>
      <c:layout>
        <c:manualLayout>
          <c:xMode val="edge"/>
          <c:yMode val="edge"/>
          <c:x val="0.1094297879328273"/>
          <c:y val="0.10117774901321572"/>
          <c:w val="0.82507480675177647"/>
          <c:h val="7.7182067248705161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KT Service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v>14 knot</c:v>
          </c:tx>
          <c:spPr>
            <a:ln w="3175" cap="rnd">
              <a:solidFill>
                <a:schemeClr val="accent1"/>
              </a:solidFill>
              <a:round/>
            </a:ln>
            <a:effectLst/>
          </c:spPr>
          <c:marker>
            <c:symbol val="none"/>
          </c:marker>
          <c:cat>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'!$C$59:$C$69</c:f>
              <c:numCache>
                <c:formatCode>General</c:formatCode>
                <c:ptCount val="11"/>
                <c:pt idx="0">
                  <c:v>0</c:v>
                </c:pt>
                <c:pt idx="1">
                  <c:v>1.4816433816293393E-2</c:v>
                </c:pt>
                <c:pt idx="2">
                  <c:v>5.9265735265173571E-2</c:v>
                </c:pt>
                <c:pt idx="3">
                  <c:v>0.13334790434664051</c:v>
                </c:pt>
                <c:pt idx="4">
                  <c:v>0.23706294106069428</c:v>
                </c:pt>
                <c:pt idx="5">
                  <c:v>0.37041084540733477</c:v>
                </c:pt>
                <c:pt idx="6">
                  <c:v>0.53339161738656204</c:v>
                </c:pt>
                <c:pt idx="7">
                  <c:v>0.72600525699837604</c:v>
                </c:pt>
                <c:pt idx="8">
                  <c:v>0.94825176424277713</c:v>
                </c:pt>
                <c:pt idx="9">
                  <c:v>1.2001311391197647</c:v>
                </c:pt>
                <c:pt idx="10">
                  <c:v>1.4816433816293391</c:v>
                </c:pt>
              </c:numCache>
            </c:numRef>
          </c:val>
          <c:smooth val="0"/>
          <c:extLst>
            <c:ext xmlns:c16="http://schemas.microsoft.com/office/drawing/2014/chart" uri="{C3380CC4-5D6E-409C-BE32-E72D297353CC}">
              <c16:uniqueId val="{00000000-5BF3-4BB4-9828-E9C013B92512}"/>
            </c:ext>
          </c:extLst>
        </c:ser>
        <c:ser>
          <c:idx val="1"/>
          <c:order val="1"/>
          <c:tx>
            <c:v>13 knot</c:v>
          </c:tx>
          <c:spPr>
            <a:ln w="3175" cap="rnd">
              <a:solidFill>
                <a:schemeClr val="accent2"/>
              </a:solidFill>
              <a:round/>
            </a:ln>
            <a:effectLst/>
          </c:spPr>
          <c:marker>
            <c:symbol val="none"/>
          </c:marker>
          <c:cat>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'!$D$59:$D$69</c:f>
              <c:numCache>
                <c:formatCode>General</c:formatCode>
                <c:ptCount val="11"/>
                <c:pt idx="0">
                  <c:v>0</c:v>
                </c:pt>
                <c:pt idx="1">
                  <c:v>1.4000543053853164E-2</c:v>
                </c:pt>
                <c:pt idx="2">
                  <c:v>5.6002172215412656E-2</c:v>
                </c:pt>
                <c:pt idx="3">
                  <c:v>0.12600488748467845</c:v>
                </c:pt>
                <c:pt idx="4">
                  <c:v>0.22400868886165062</c:v>
                </c:pt>
                <c:pt idx="5">
                  <c:v>0.35001357634632901</c:v>
                </c:pt>
                <c:pt idx="6">
                  <c:v>0.50401954993871378</c:v>
                </c:pt>
                <c:pt idx="7">
                  <c:v>0.6860266096388048</c:v>
                </c:pt>
                <c:pt idx="8">
                  <c:v>0.89603475544660249</c:v>
                </c:pt>
                <c:pt idx="9">
                  <c:v>1.134043987362106</c:v>
                </c:pt>
                <c:pt idx="10">
                  <c:v>1.4000543053853161</c:v>
                </c:pt>
              </c:numCache>
            </c:numRef>
          </c:val>
          <c:smooth val="0"/>
          <c:extLst>
            <c:ext xmlns:c16="http://schemas.microsoft.com/office/drawing/2014/chart" uri="{C3380CC4-5D6E-409C-BE32-E72D297353CC}">
              <c16:uniqueId val="{00000001-5BF3-4BB4-9828-E9C013B92512}"/>
            </c:ext>
          </c:extLst>
        </c:ser>
        <c:ser>
          <c:idx val="2"/>
          <c:order val="2"/>
          <c:tx>
            <c:v>12 knot</c:v>
          </c:tx>
          <c:spPr>
            <a:ln w="3175" cap="rnd">
              <a:solidFill>
                <a:schemeClr val="accent3"/>
              </a:solidFill>
              <a:round/>
            </a:ln>
            <a:effectLst/>
          </c:spPr>
          <c:marker>
            <c:symbol val="none"/>
          </c:marker>
          <c:cat>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'!$E$59:$E$69</c:f>
              <c:numCache>
                <c:formatCode>General</c:formatCode>
                <c:ptCount val="11"/>
                <c:pt idx="0">
                  <c:v>0</c:v>
                </c:pt>
                <c:pt idx="1">
                  <c:v>1.3603190341063002E-2</c:v>
                </c:pt>
                <c:pt idx="2">
                  <c:v>5.4412761364252007E-2</c:v>
                </c:pt>
                <c:pt idx="3">
                  <c:v>0.12242871306956699</c:v>
                </c:pt>
                <c:pt idx="4">
                  <c:v>0.21765104545700803</c:v>
                </c:pt>
                <c:pt idx="5">
                  <c:v>0.34007975852657496</c:v>
                </c:pt>
                <c:pt idx="6">
                  <c:v>0.48971485227826794</c:v>
                </c:pt>
                <c:pt idx="7">
                  <c:v>0.66655632671208687</c:v>
                </c:pt>
                <c:pt idx="8">
                  <c:v>0.87060418182803212</c:v>
                </c:pt>
                <c:pt idx="9">
                  <c:v>1.101858417626103</c:v>
                </c:pt>
                <c:pt idx="10">
                  <c:v>1.3603190341062998</c:v>
                </c:pt>
              </c:numCache>
            </c:numRef>
          </c:val>
          <c:smooth val="0"/>
          <c:extLst>
            <c:ext xmlns:c16="http://schemas.microsoft.com/office/drawing/2014/chart" uri="{C3380CC4-5D6E-409C-BE32-E72D297353CC}">
              <c16:uniqueId val="{00000002-5BF3-4BB4-9828-E9C013B92512}"/>
            </c:ext>
          </c:extLst>
        </c:ser>
        <c:ser>
          <c:idx val="3"/>
          <c:order val="3"/>
          <c:tx>
            <c:v>11 knot</c:v>
          </c:tx>
          <c:spPr>
            <a:ln w="3175" cap="rnd">
              <a:solidFill>
                <a:schemeClr val="accent4"/>
              </a:solidFill>
              <a:round/>
            </a:ln>
            <a:effectLst/>
          </c:spPr>
          <c:marker>
            <c:symbol val="none"/>
          </c:marker>
          <c:cat>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'!$F$59:$F$69</c:f>
              <c:numCache>
                <c:formatCode>General</c:formatCode>
                <c:ptCount val="11"/>
                <c:pt idx="0">
                  <c:v>0</c:v>
                </c:pt>
                <c:pt idx="1">
                  <c:v>1.3185605904970015E-2</c:v>
                </c:pt>
                <c:pt idx="2">
                  <c:v>5.2742423619880061E-2</c:v>
                </c:pt>
                <c:pt idx="3">
                  <c:v>0.11867045314473011</c:v>
                </c:pt>
                <c:pt idx="4">
                  <c:v>0.21096969447952024</c:v>
                </c:pt>
                <c:pt idx="5">
                  <c:v>0.32964014762425031</c:v>
                </c:pt>
                <c:pt idx="6">
                  <c:v>0.47468181257892045</c:v>
                </c:pt>
                <c:pt idx="7">
                  <c:v>0.64609468934353054</c:v>
                </c:pt>
                <c:pt idx="8">
                  <c:v>0.84387877791808097</c:v>
                </c:pt>
                <c:pt idx="9">
                  <c:v>1.068034078302571</c:v>
                </c:pt>
                <c:pt idx="10">
                  <c:v>1.3185605904970013</c:v>
                </c:pt>
              </c:numCache>
            </c:numRef>
          </c:val>
          <c:smooth val="0"/>
          <c:extLst>
            <c:ext xmlns:c16="http://schemas.microsoft.com/office/drawing/2014/chart" uri="{C3380CC4-5D6E-409C-BE32-E72D297353CC}">
              <c16:uniqueId val="{00000003-5BF3-4BB4-9828-E9C013B92512}"/>
            </c:ext>
          </c:extLst>
        </c:ser>
        <c:ser>
          <c:idx val="4"/>
          <c:order val="4"/>
          <c:tx>
            <c:v>10 knot</c:v>
          </c:tx>
          <c:spPr>
            <a:ln w="3175" cap="rnd">
              <a:solidFill>
                <a:schemeClr val="accent5"/>
              </a:solidFill>
              <a:round/>
            </a:ln>
            <a:effectLst/>
          </c:spPr>
          <c:marker>
            <c:symbol val="none"/>
          </c:marker>
          <c:cat>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'!$G$59:$G$69</c:f>
              <c:numCache>
                <c:formatCode>General</c:formatCode>
                <c:ptCount val="11"/>
                <c:pt idx="0">
                  <c:v>0</c:v>
                </c:pt>
                <c:pt idx="1">
                  <c:v>1.3348614769179808E-2</c:v>
                </c:pt>
                <c:pt idx="2">
                  <c:v>5.3394459076719233E-2</c:v>
                </c:pt>
                <c:pt idx="3">
                  <c:v>0.12013753292261824</c:v>
                </c:pt>
                <c:pt idx="4">
                  <c:v>0.21357783630687693</c:v>
                </c:pt>
                <c:pt idx="5">
                  <c:v>0.33371536922949513</c:v>
                </c:pt>
                <c:pt idx="6">
                  <c:v>0.48055013169047295</c:v>
                </c:pt>
                <c:pt idx="7">
                  <c:v>0.65408212368981034</c:v>
                </c:pt>
                <c:pt idx="8">
                  <c:v>0.85431134522750773</c:v>
                </c:pt>
                <c:pt idx="9">
                  <c:v>1.0812377963035642</c:v>
                </c:pt>
                <c:pt idx="10">
                  <c:v>1.3348614769179805</c:v>
                </c:pt>
              </c:numCache>
            </c:numRef>
          </c:val>
          <c:smooth val="0"/>
          <c:extLst>
            <c:ext xmlns:c16="http://schemas.microsoft.com/office/drawing/2014/chart" uri="{C3380CC4-5D6E-409C-BE32-E72D297353CC}">
              <c16:uniqueId val="{00000004-5BF3-4BB4-9828-E9C013B92512}"/>
            </c:ext>
          </c:extLst>
        </c:ser>
        <c:ser>
          <c:idx val="5"/>
          <c:order val="5"/>
          <c:tx>
            <c:v>9 knot</c:v>
          </c:tx>
          <c:spPr>
            <a:ln w="3175" cap="rnd">
              <a:solidFill>
                <a:schemeClr val="accent6"/>
              </a:solidFill>
              <a:round/>
            </a:ln>
            <a:effectLst/>
          </c:spPr>
          <c:marker>
            <c:symbol val="none"/>
          </c:marker>
          <c:cat>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'EPM '!$H$59:$H$69</c:f>
              <c:numCache>
                <c:formatCode>General</c:formatCode>
                <c:ptCount val="11"/>
                <c:pt idx="0">
                  <c:v>0</c:v>
                </c:pt>
                <c:pt idx="1">
                  <c:v>1.3262526411538147E-2</c:v>
                </c:pt>
                <c:pt idx="2">
                  <c:v>5.305010564615259E-2</c:v>
                </c:pt>
                <c:pt idx="3">
                  <c:v>0.1193627377038433</c:v>
                </c:pt>
                <c:pt idx="4">
                  <c:v>0.21220042258461036</c:v>
                </c:pt>
                <c:pt idx="5">
                  <c:v>0.33156316028845362</c:v>
                </c:pt>
                <c:pt idx="6">
                  <c:v>0.4774509508153732</c:v>
                </c:pt>
                <c:pt idx="7">
                  <c:v>0.64986379416536899</c:v>
                </c:pt>
                <c:pt idx="8">
                  <c:v>0.84880169033844144</c:v>
                </c:pt>
                <c:pt idx="9">
                  <c:v>1.0742646393345898</c:v>
                </c:pt>
                <c:pt idx="10">
                  <c:v>1.3262526411538145</c:v>
                </c:pt>
              </c:numCache>
            </c:numRef>
          </c:val>
          <c:smooth val="0"/>
          <c:extLst>
            <c:ext xmlns:c16="http://schemas.microsoft.com/office/drawing/2014/chart" uri="{C3380CC4-5D6E-409C-BE32-E72D297353CC}">
              <c16:uniqueId val="{00000005-5BF3-4BB4-9828-E9C013B92512}"/>
            </c:ext>
          </c:extLst>
        </c:ser>
        <c:dLbls>
          <c:showLegendKey val="0"/>
          <c:showVal val="0"/>
          <c:showCatName val="0"/>
          <c:showSerName val="0"/>
          <c:showPercent val="0"/>
          <c:showBubbleSize val="0"/>
        </c:dLbls>
        <c:smooth val="0"/>
        <c:axId val="-1938570592"/>
        <c:axId val="-1938564608"/>
      </c:lineChart>
      <c:catAx>
        <c:axId val="-19385705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8564608"/>
        <c:crosses val="autoZero"/>
        <c:auto val="1"/>
        <c:lblAlgn val="ctr"/>
        <c:lblOffset val="100"/>
        <c:noMultiLvlLbl val="0"/>
      </c:catAx>
      <c:valAx>
        <c:axId val="-19385646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out"/>
        <c:tickLblPos val="nextTo"/>
        <c:spPr>
          <a:noFill/>
          <a:ln>
            <a:solidFill>
              <a:schemeClr val="accent3"/>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8570592"/>
        <c:crosses val="autoZero"/>
        <c:crossBetween val="between"/>
      </c:valAx>
      <c:spPr>
        <a:noFill/>
        <a:ln>
          <a:noFill/>
        </a:ln>
        <a:effectLst/>
      </c:spPr>
    </c:plotArea>
    <c:legend>
      <c:legendPos val="t"/>
      <c:layout>
        <c:manualLayout>
          <c:xMode val="edge"/>
          <c:yMode val="edge"/>
          <c:x val="7.8051082969737104E-2"/>
          <c:y val="0.1730260306286252"/>
          <c:w val="0.9"/>
          <c:h val="7.951093027647443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CLEAN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'!$D$105:$D$114</c:f>
              <c:numCache>
                <c:formatCode>0.00000</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formatCode="General">
                  <c:v>-4.8735491472371877E-2</c:v>
                </c:pt>
                <c:pt idx="9" formatCode="General">
                  <c:v>0</c:v>
                </c:pt>
              </c:numCache>
            </c:numRef>
          </c:yVal>
          <c:smooth val="1"/>
          <c:extLst>
            <c:ext xmlns:c16="http://schemas.microsoft.com/office/drawing/2014/chart" uri="{C3380CC4-5D6E-409C-BE32-E72D297353CC}">
              <c16:uniqueId val="{00000000-389D-4645-B160-AC8925CF0F04}"/>
            </c:ext>
          </c:extLst>
        </c:ser>
        <c:ser>
          <c:idx val="1"/>
          <c:order val="1"/>
          <c:tx>
            <c:v>10KQ</c:v>
          </c:tx>
          <c:spPr>
            <a:ln w="0" cap="rnd">
              <a:solidFill>
                <a:schemeClr val="accent2"/>
              </a:solidFill>
              <a:round/>
            </a:ln>
            <a:effectLst/>
          </c:spPr>
          <c:marker>
            <c:symbol val="none"/>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'!$E$105:$E$114</c:f>
              <c:numCache>
                <c:formatCode>0.00000</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formatCode="General">
                  <c:v>-2.4399149483277228E-3</c:v>
                </c:pt>
                <c:pt idx="9" formatCode="General">
                  <c:v>0</c:v>
                </c:pt>
              </c:numCache>
            </c:numRef>
          </c:yVal>
          <c:smooth val="1"/>
          <c:extLst>
            <c:ext xmlns:c16="http://schemas.microsoft.com/office/drawing/2014/chart" uri="{C3380CC4-5D6E-409C-BE32-E72D297353CC}">
              <c16:uniqueId val="{00000001-389D-4645-B160-AC8925CF0F04}"/>
            </c:ext>
          </c:extLst>
        </c:ser>
        <c:ser>
          <c:idx val="2"/>
          <c:order val="2"/>
          <c:tx>
            <c:v>ηo</c:v>
          </c:tx>
          <c:spPr>
            <a:ln w="0" cap="rnd">
              <a:solidFill>
                <a:schemeClr val="accent3"/>
              </a:solidFill>
              <a:round/>
            </a:ln>
            <a:effectLst/>
          </c:spPr>
          <c:marker>
            <c:symbol val="none"/>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'!$F$105:$F$114</c:f>
              <c:numCache>
                <c:formatCode>0.00000</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formatCode="General">
                  <c:v>0</c:v>
                </c:pt>
                <c:pt idx="9" formatCode="General">
                  <c:v>0</c:v>
                </c:pt>
              </c:numCache>
            </c:numRef>
          </c:yVal>
          <c:smooth val="1"/>
          <c:extLst>
            <c:ext xmlns:c16="http://schemas.microsoft.com/office/drawing/2014/chart" uri="{C3380CC4-5D6E-409C-BE32-E72D297353CC}">
              <c16:uniqueId val="{00000002-389D-4645-B160-AC8925CF0F04}"/>
            </c:ext>
          </c:extLst>
        </c:ser>
        <c:ser>
          <c:idx val="3"/>
          <c:order val="3"/>
          <c:tx>
            <c:v>14 knot</c:v>
          </c:tx>
          <c:spPr>
            <a:ln w="0" cap="rnd">
              <a:solidFill>
                <a:schemeClr val="accent4"/>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'!$C$22:$C$32</c:f>
              <c:numCache>
                <c:formatCode>General</c:formatCode>
                <c:ptCount val="11"/>
                <c:pt idx="0">
                  <c:v>0</c:v>
                </c:pt>
                <c:pt idx="1">
                  <c:v>1.2347028180244494E-2</c:v>
                </c:pt>
                <c:pt idx="2">
                  <c:v>4.9388112720977977E-2</c:v>
                </c:pt>
                <c:pt idx="3">
                  <c:v>0.11112325362220044</c:v>
                </c:pt>
                <c:pt idx="4">
                  <c:v>0.19755245088391191</c:v>
                </c:pt>
                <c:pt idx="5">
                  <c:v>0.30867570450611231</c:v>
                </c:pt>
                <c:pt idx="6">
                  <c:v>0.44449301448880174</c:v>
                </c:pt>
                <c:pt idx="7">
                  <c:v>0.60500438083198005</c:v>
                </c:pt>
                <c:pt idx="8">
                  <c:v>0.79020980353564763</c:v>
                </c:pt>
                <c:pt idx="9">
                  <c:v>1.0001092825998039</c:v>
                </c:pt>
                <c:pt idx="10">
                  <c:v>1.2347028180244493</c:v>
                </c:pt>
              </c:numCache>
            </c:numRef>
          </c:yVal>
          <c:smooth val="1"/>
          <c:extLst>
            <c:ext xmlns:c16="http://schemas.microsoft.com/office/drawing/2014/chart" uri="{C3380CC4-5D6E-409C-BE32-E72D297353CC}">
              <c16:uniqueId val="{00000003-389D-4645-B160-AC8925CF0F04}"/>
            </c:ext>
          </c:extLst>
        </c:ser>
        <c:ser>
          <c:idx val="4"/>
          <c:order val="4"/>
          <c:tx>
            <c:v>13 knot</c:v>
          </c:tx>
          <c:spPr>
            <a:ln w="0" cap="rnd">
              <a:solidFill>
                <a:schemeClr val="accent5"/>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'!$D$22:$D$32</c:f>
              <c:numCache>
                <c:formatCode>General</c:formatCode>
                <c:ptCount val="11"/>
                <c:pt idx="0">
                  <c:v>0</c:v>
                </c:pt>
                <c:pt idx="1">
                  <c:v>1.1667119211544301E-2</c:v>
                </c:pt>
                <c:pt idx="2">
                  <c:v>4.6668476846177205E-2</c:v>
                </c:pt>
                <c:pt idx="3">
                  <c:v>0.10500407290389868</c:v>
                </c:pt>
                <c:pt idx="4">
                  <c:v>0.18667390738470882</c:v>
                </c:pt>
                <c:pt idx="5">
                  <c:v>0.29167798028860747</c:v>
                </c:pt>
                <c:pt idx="6">
                  <c:v>0.42001629161559473</c:v>
                </c:pt>
                <c:pt idx="7">
                  <c:v>0.57168884136567055</c:v>
                </c:pt>
                <c:pt idx="8">
                  <c:v>0.74669562953883528</c:v>
                </c:pt>
                <c:pt idx="9">
                  <c:v>0.94503665613508825</c:v>
                </c:pt>
                <c:pt idx="10">
                  <c:v>1.1667119211544299</c:v>
                </c:pt>
              </c:numCache>
            </c:numRef>
          </c:yVal>
          <c:smooth val="1"/>
          <c:extLst>
            <c:ext xmlns:c16="http://schemas.microsoft.com/office/drawing/2014/chart" uri="{C3380CC4-5D6E-409C-BE32-E72D297353CC}">
              <c16:uniqueId val="{00000004-389D-4645-B160-AC8925CF0F04}"/>
            </c:ext>
          </c:extLst>
        </c:ser>
        <c:ser>
          <c:idx val="5"/>
          <c:order val="5"/>
          <c:tx>
            <c:v>12 knot</c:v>
          </c:tx>
          <c:spPr>
            <a:ln w="0" cap="rnd">
              <a:solidFill>
                <a:schemeClr val="accent6"/>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'!$E$22:$E$32</c:f>
              <c:numCache>
                <c:formatCode>General</c:formatCode>
                <c:ptCount val="11"/>
                <c:pt idx="0">
                  <c:v>0</c:v>
                </c:pt>
                <c:pt idx="1">
                  <c:v>1.1335991950885837E-2</c:v>
                </c:pt>
                <c:pt idx="2">
                  <c:v>4.5343967803543349E-2</c:v>
                </c:pt>
                <c:pt idx="3">
                  <c:v>0.10202392755797252</c:v>
                </c:pt>
                <c:pt idx="4">
                  <c:v>0.1813758712141734</c:v>
                </c:pt>
                <c:pt idx="5">
                  <c:v>0.28339979877214588</c:v>
                </c:pt>
                <c:pt idx="6">
                  <c:v>0.40809571023189006</c:v>
                </c:pt>
                <c:pt idx="7">
                  <c:v>0.55546360559340591</c:v>
                </c:pt>
                <c:pt idx="8">
                  <c:v>0.72550348485669358</c:v>
                </c:pt>
                <c:pt idx="9">
                  <c:v>0.91821534802175275</c:v>
                </c:pt>
                <c:pt idx="10">
                  <c:v>1.1335991950885835</c:v>
                </c:pt>
              </c:numCache>
            </c:numRef>
          </c:yVal>
          <c:smooth val="1"/>
          <c:extLst>
            <c:ext xmlns:c16="http://schemas.microsoft.com/office/drawing/2014/chart" uri="{C3380CC4-5D6E-409C-BE32-E72D297353CC}">
              <c16:uniqueId val="{00000005-389D-4645-B160-AC8925CF0F04}"/>
            </c:ext>
          </c:extLst>
        </c:ser>
        <c:ser>
          <c:idx val="6"/>
          <c:order val="6"/>
          <c:tx>
            <c:v>11 knot</c:v>
          </c:tx>
          <c:spPr>
            <a:ln w="0" cap="rnd">
              <a:solidFill>
                <a:schemeClr val="accent1">
                  <a:lumMod val="60000"/>
                </a:schemeClr>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'!$F$22:$F$32</c:f>
              <c:numCache>
                <c:formatCode>General</c:formatCode>
                <c:ptCount val="11"/>
                <c:pt idx="0">
                  <c:v>0</c:v>
                </c:pt>
                <c:pt idx="1">
                  <c:v>1.0988004920808345E-2</c:v>
                </c:pt>
                <c:pt idx="2">
                  <c:v>4.3952019683233381E-2</c:v>
                </c:pt>
                <c:pt idx="3">
                  <c:v>9.8892044287275077E-2</c:v>
                </c:pt>
                <c:pt idx="4">
                  <c:v>0.17580807873293353</c:v>
                </c:pt>
                <c:pt idx="5">
                  <c:v>0.27470012302020858</c:v>
                </c:pt>
                <c:pt idx="6">
                  <c:v>0.39556817714910031</c:v>
                </c:pt>
                <c:pt idx="7">
                  <c:v>0.53841224111960873</c:v>
                </c:pt>
                <c:pt idx="8">
                  <c:v>0.7032323149317341</c:v>
                </c:pt>
                <c:pt idx="9">
                  <c:v>0.89002839858547589</c:v>
                </c:pt>
                <c:pt idx="10">
                  <c:v>1.0988004920808343</c:v>
                </c:pt>
              </c:numCache>
            </c:numRef>
          </c:yVal>
          <c:smooth val="1"/>
          <c:extLst>
            <c:ext xmlns:c16="http://schemas.microsoft.com/office/drawing/2014/chart" uri="{C3380CC4-5D6E-409C-BE32-E72D297353CC}">
              <c16:uniqueId val="{00000006-389D-4645-B160-AC8925CF0F04}"/>
            </c:ext>
          </c:extLst>
        </c:ser>
        <c:ser>
          <c:idx val="7"/>
          <c:order val="7"/>
          <c:tx>
            <c:v>10 knot</c:v>
          </c:tx>
          <c:spPr>
            <a:ln w="0" cap="rnd">
              <a:solidFill>
                <a:schemeClr val="accent2">
                  <a:lumMod val="60000"/>
                </a:schemeClr>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'!$G$22:$G$32</c:f>
              <c:numCache>
                <c:formatCode>General</c:formatCode>
                <c:ptCount val="11"/>
                <c:pt idx="0">
                  <c:v>0</c:v>
                </c:pt>
                <c:pt idx="1">
                  <c:v>1.1123845640983175E-2</c:v>
                </c:pt>
                <c:pt idx="2">
                  <c:v>4.4495382563932699E-2</c:v>
                </c:pt>
                <c:pt idx="3">
                  <c:v>0.10011461076884855</c:v>
                </c:pt>
                <c:pt idx="4">
                  <c:v>0.1779815302557308</c:v>
                </c:pt>
                <c:pt idx="5">
                  <c:v>0.2780961410245793</c:v>
                </c:pt>
                <c:pt idx="6">
                  <c:v>0.40045844307539419</c:v>
                </c:pt>
                <c:pt idx="7">
                  <c:v>0.54506843640817537</c:v>
                </c:pt>
                <c:pt idx="8">
                  <c:v>0.71192612102292319</c:v>
                </c:pt>
                <c:pt idx="9">
                  <c:v>0.90103149691963702</c:v>
                </c:pt>
                <c:pt idx="10">
                  <c:v>1.1123845640983172</c:v>
                </c:pt>
              </c:numCache>
            </c:numRef>
          </c:yVal>
          <c:smooth val="1"/>
          <c:extLst>
            <c:ext xmlns:c16="http://schemas.microsoft.com/office/drawing/2014/chart" uri="{C3380CC4-5D6E-409C-BE32-E72D297353CC}">
              <c16:uniqueId val="{00000007-389D-4645-B160-AC8925CF0F04}"/>
            </c:ext>
          </c:extLst>
        </c:ser>
        <c:ser>
          <c:idx val="8"/>
          <c:order val="8"/>
          <c:tx>
            <c:v>9 knot</c:v>
          </c:tx>
          <c:spPr>
            <a:ln w="0" cap="rnd">
              <a:solidFill>
                <a:schemeClr val="accent3">
                  <a:lumMod val="60000"/>
                </a:schemeClr>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'!$H$22:$H$32</c:f>
              <c:numCache>
                <c:formatCode>General</c:formatCode>
                <c:ptCount val="11"/>
                <c:pt idx="0">
                  <c:v>0</c:v>
                </c:pt>
                <c:pt idx="1">
                  <c:v>1.1052105342948457E-2</c:v>
                </c:pt>
                <c:pt idx="2">
                  <c:v>4.420842137179383E-2</c:v>
                </c:pt>
                <c:pt idx="3">
                  <c:v>9.9468948086536085E-2</c:v>
                </c:pt>
                <c:pt idx="4">
                  <c:v>0.17683368548717532</c:v>
                </c:pt>
                <c:pt idx="5">
                  <c:v>0.27630263357371138</c:v>
                </c:pt>
                <c:pt idx="6">
                  <c:v>0.39787579234614434</c:v>
                </c:pt>
                <c:pt idx="7">
                  <c:v>0.54155316180447421</c:v>
                </c:pt>
                <c:pt idx="8">
                  <c:v>0.70733474194870127</c:v>
                </c:pt>
                <c:pt idx="9">
                  <c:v>0.89522053277882496</c:v>
                </c:pt>
                <c:pt idx="10">
                  <c:v>1.1052105342948455</c:v>
                </c:pt>
              </c:numCache>
            </c:numRef>
          </c:yVal>
          <c:smooth val="1"/>
          <c:extLst>
            <c:ext xmlns:c16="http://schemas.microsoft.com/office/drawing/2014/chart" uri="{C3380CC4-5D6E-409C-BE32-E72D297353CC}">
              <c16:uniqueId val="{00000008-389D-4645-B160-AC8925CF0F04}"/>
            </c:ext>
          </c:extLst>
        </c:ser>
        <c:dLbls>
          <c:showLegendKey val="0"/>
          <c:showVal val="0"/>
          <c:showCatName val="0"/>
          <c:showSerName val="0"/>
          <c:showPercent val="0"/>
          <c:showBubbleSize val="0"/>
        </c:dLbls>
        <c:axId val="-1938564064"/>
        <c:axId val="-1938570048"/>
      </c:scatterChart>
      <c:valAx>
        <c:axId val="-1938564064"/>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0048"/>
        <c:crosses val="autoZero"/>
        <c:crossBetween val="midCat"/>
      </c:valAx>
      <c:valAx>
        <c:axId val="-1938570048"/>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KT</a:t>
                </a:r>
                <a:r>
                  <a:rPr lang="en-US" baseline="0"/>
                  <a:t> 10KQ </a:t>
                </a:r>
                <a:r>
                  <a:rPr lang="el-GR" baseline="0"/>
                  <a:t>η</a:t>
                </a:r>
                <a:r>
                  <a:rPr lang="en-US" baseline="0"/>
                  <a:t>o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4064"/>
        <c:crosses val="autoZero"/>
        <c:crossBetween val="midCat"/>
        <c:majorUnit val="0.1"/>
      </c:valAx>
      <c:spPr>
        <a:noFill/>
        <a:ln w="0">
          <a:solidFill>
            <a:schemeClr val="accent4"/>
          </a:solidFill>
        </a:ln>
        <a:effectLst/>
      </c:spPr>
    </c:plotArea>
    <c:legend>
      <c:legendPos val="t"/>
      <c:layout>
        <c:manualLayout>
          <c:xMode val="edge"/>
          <c:yMode val="edge"/>
          <c:x val="0.19958492818291129"/>
          <c:y val="7.707961239542245E-2"/>
          <c:w val="0.80041510852859044"/>
          <c:h val="6.3445796465089188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ROUGH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'!$D$105:$D$114</c:f>
              <c:numCache>
                <c:formatCode>0.00000</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formatCode="General">
                  <c:v>-4.8735491472371877E-2</c:v>
                </c:pt>
                <c:pt idx="9" formatCode="General">
                  <c:v>0</c:v>
                </c:pt>
              </c:numCache>
            </c:numRef>
          </c:yVal>
          <c:smooth val="1"/>
          <c:extLst>
            <c:ext xmlns:c16="http://schemas.microsoft.com/office/drawing/2014/chart" uri="{C3380CC4-5D6E-409C-BE32-E72D297353CC}">
              <c16:uniqueId val="{00000000-467E-4E87-82DB-8885D57D6B59}"/>
            </c:ext>
          </c:extLst>
        </c:ser>
        <c:ser>
          <c:idx val="1"/>
          <c:order val="1"/>
          <c:tx>
            <c:v>10KQ</c:v>
          </c:tx>
          <c:spPr>
            <a:ln w="0" cap="rnd">
              <a:solidFill>
                <a:schemeClr val="accent2"/>
              </a:solidFill>
              <a:round/>
            </a:ln>
            <a:effectLst/>
          </c:spPr>
          <c:marker>
            <c:symbol val="none"/>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'!$E$105:$E$114</c:f>
              <c:numCache>
                <c:formatCode>0.00000</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formatCode="General">
                  <c:v>-2.4399149483277228E-3</c:v>
                </c:pt>
                <c:pt idx="9" formatCode="General">
                  <c:v>0</c:v>
                </c:pt>
              </c:numCache>
            </c:numRef>
          </c:yVal>
          <c:smooth val="1"/>
          <c:extLst>
            <c:ext xmlns:c16="http://schemas.microsoft.com/office/drawing/2014/chart" uri="{C3380CC4-5D6E-409C-BE32-E72D297353CC}">
              <c16:uniqueId val="{00000001-467E-4E87-82DB-8885D57D6B59}"/>
            </c:ext>
          </c:extLst>
        </c:ser>
        <c:ser>
          <c:idx val="2"/>
          <c:order val="2"/>
          <c:tx>
            <c:v>ηo</c:v>
          </c:tx>
          <c:spPr>
            <a:ln w="0" cap="rnd">
              <a:solidFill>
                <a:schemeClr val="accent3"/>
              </a:solidFill>
              <a:round/>
            </a:ln>
            <a:effectLst/>
          </c:spPr>
          <c:marker>
            <c:symbol val="none"/>
          </c:marker>
          <c:xVal>
            <c:numRef>
              <c:f>'EPM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'EPM '!$F$105:$F$114</c:f>
              <c:numCache>
                <c:formatCode>0.00000</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formatCode="General">
                  <c:v>0</c:v>
                </c:pt>
                <c:pt idx="9" formatCode="General">
                  <c:v>0</c:v>
                </c:pt>
              </c:numCache>
            </c:numRef>
          </c:yVal>
          <c:smooth val="1"/>
          <c:extLst>
            <c:ext xmlns:c16="http://schemas.microsoft.com/office/drawing/2014/chart" uri="{C3380CC4-5D6E-409C-BE32-E72D297353CC}">
              <c16:uniqueId val="{00000002-467E-4E87-82DB-8885D57D6B59}"/>
            </c:ext>
          </c:extLst>
        </c:ser>
        <c:ser>
          <c:idx val="3"/>
          <c:order val="3"/>
          <c:tx>
            <c:v>14 knot</c:v>
          </c:tx>
          <c:spPr>
            <a:ln w="0" cap="rnd">
              <a:solidFill>
                <a:schemeClr val="accent4"/>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'!$C$59:$C$69</c:f>
              <c:numCache>
                <c:formatCode>General</c:formatCode>
                <c:ptCount val="11"/>
                <c:pt idx="0">
                  <c:v>0</c:v>
                </c:pt>
                <c:pt idx="1">
                  <c:v>1.4816433816293393E-2</c:v>
                </c:pt>
                <c:pt idx="2">
                  <c:v>5.9265735265173571E-2</c:v>
                </c:pt>
                <c:pt idx="3">
                  <c:v>0.13334790434664051</c:v>
                </c:pt>
                <c:pt idx="4">
                  <c:v>0.23706294106069428</c:v>
                </c:pt>
                <c:pt idx="5">
                  <c:v>0.37041084540733477</c:v>
                </c:pt>
                <c:pt idx="6">
                  <c:v>0.53339161738656204</c:v>
                </c:pt>
                <c:pt idx="7">
                  <c:v>0.72600525699837604</c:v>
                </c:pt>
                <c:pt idx="8">
                  <c:v>0.94825176424277713</c:v>
                </c:pt>
                <c:pt idx="9">
                  <c:v>1.2001311391197647</c:v>
                </c:pt>
                <c:pt idx="10">
                  <c:v>1.4816433816293391</c:v>
                </c:pt>
              </c:numCache>
            </c:numRef>
          </c:yVal>
          <c:smooth val="1"/>
          <c:extLst>
            <c:ext xmlns:c16="http://schemas.microsoft.com/office/drawing/2014/chart" uri="{C3380CC4-5D6E-409C-BE32-E72D297353CC}">
              <c16:uniqueId val="{00000003-467E-4E87-82DB-8885D57D6B59}"/>
            </c:ext>
          </c:extLst>
        </c:ser>
        <c:ser>
          <c:idx val="4"/>
          <c:order val="4"/>
          <c:tx>
            <c:v>13 knot</c:v>
          </c:tx>
          <c:spPr>
            <a:ln w="0" cap="rnd">
              <a:solidFill>
                <a:schemeClr val="accent5"/>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'!$D$59:$D$69</c:f>
              <c:numCache>
                <c:formatCode>General</c:formatCode>
                <c:ptCount val="11"/>
                <c:pt idx="0">
                  <c:v>0</c:v>
                </c:pt>
                <c:pt idx="1">
                  <c:v>1.4000543053853164E-2</c:v>
                </c:pt>
                <c:pt idx="2">
                  <c:v>5.6002172215412656E-2</c:v>
                </c:pt>
                <c:pt idx="3">
                  <c:v>0.12600488748467845</c:v>
                </c:pt>
                <c:pt idx="4">
                  <c:v>0.22400868886165062</c:v>
                </c:pt>
                <c:pt idx="5">
                  <c:v>0.35001357634632901</c:v>
                </c:pt>
                <c:pt idx="6">
                  <c:v>0.50401954993871378</c:v>
                </c:pt>
                <c:pt idx="7">
                  <c:v>0.6860266096388048</c:v>
                </c:pt>
                <c:pt idx="8">
                  <c:v>0.89603475544660249</c:v>
                </c:pt>
                <c:pt idx="9">
                  <c:v>1.134043987362106</c:v>
                </c:pt>
                <c:pt idx="10">
                  <c:v>1.4000543053853161</c:v>
                </c:pt>
              </c:numCache>
            </c:numRef>
          </c:yVal>
          <c:smooth val="1"/>
          <c:extLst>
            <c:ext xmlns:c16="http://schemas.microsoft.com/office/drawing/2014/chart" uri="{C3380CC4-5D6E-409C-BE32-E72D297353CC}">
              <c16:uniqueId val="{00000004-467E-4E87-82DB-8885D57D6B59}"/>
            </c:ext>
          </c:extLst>
        </c:ser>
        <c:ser>
          <c:idx val="5"/>
          <c:order val="5"/>
          <c:tx>
            <c:v>12 knot</c:v>
          </c:tx>
          <c:spPr>
            <a:ln w="0" cap="rnd">
              <a:solidFill>
                <a:schemeClr val="accent6"/>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'!$E$59:$E$69</c:f>
              <c:numCache>
                <c:formatCode>General</c:formatCode>
                <c:ptCount val="11"/>
                <c:pt idx="0">
                  <c:v>0</c:v>
                </c:pt>
                <c:pt idx="1">
                  <c:v>1.3603190341063002E-2</c:v>
                </c:pt>
                <c:pt idx="2">
                  <c:v>5.4412761364252007E-2</c:v>
                </c:pt>
                <c:pt idx="3">
                  <c:v>0.12242871306956699</c:v>
                </c:pt>
                <c:pt idx="4">
                  <c:v>0.21765104545700803</c:v>
                </c:pt>
                <c:pt idx="5">
                  <c:v>0.34007975852657496</c:v>
                </c:pt>
                <c:pt idx="6">
                  <c:v>0.48971485227826794</c:v>
                </c:pt>
                <c:pt idx="7">
                  <c:v>0.66655632671208687</c:v>
                </c:pt>
                <c:pt idx="8">
                  <c:v>0.87060418182803212</c:v>
                </c:pt>
                <c:pt idx="9">
                  <c:v>1.101858417626103</c:v>
                </c:pt>
                <c:pt idx="10">
                  <c:v>1.3603190341062998</c:v>
                </c:pt>
              </c:numCache>
            </c:numRef>
          </c:yVal>
          <c:smooth val="1"/>
          <c:extLst>
            <c:ext xmlns:c16="http://schemas.microsoft.com/office/drawing/2014/chart" uri="{C3380CC4-5D6E-409C-BE32-E72D297353CC}">
              <c16:uniqueId val="{00000005-467E-4E87-82DB-8885D57D6B59}"/>
            </c:ext>
          </c:extLst>
        </c:ser>
        <c:ser>
          <c:idx val="6"/>
          <c:order val="6"/>
          <c:tx>
            <c:v>11 knot</c:v>
          </c:tx>
          <c:spPr>
            <a:ln w="0" cap="rnd">
              <a:solidFill>
                <a:schemeClr val="accent1">
                  <a:lumMod val="60000"/>
                </a:schemeClr>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'!$F$59:$F$69</c:f>
              <c:numCache>
                <c:formatCode>General</c:formatCode>
                <c:ptCount val="11"/>
                <c:pt idx="0">
                  <c:v>0</c:v>
                </c:pt>
                <c:pt idx="1">
                  <c:v>1.3185605904970015E-2</c:v>
                </c:pt>
                <c:pt idx="2">
                  <c:v>5.2742423619880061E-2</c:v>
                </c:pt>
                <c:pt idx="3">
                  <c:v>0.11867045314473011</c:v>
                </c:pt>
                <c:pt idx="4">
                  <c:v>0.21096969447952024</c:v>
                </c:pt>
                <c:pt idx="5">
                  <c:v>0.32964014762425031</c:v>
                </c:pt>
                <c:pt idx="6">
                  <c:v>0.47468181257892045</c:v>
                </c:pt>
                <c:pt idx="7">
                  <c:v>0.64609468934353054</c:v>
                </c:pt>
                <c:pt idx="8">
                  <c:v>0.84387877791808097</c:v>
                </c:pt>
                <c:pt idx="9">
                  <c:v>1.068034078302571</c:v>
                </c:pt>
                <c:pt idx="10">
                  <c:v>1.3185605904970013</c:v>
                </c:pt>
              </c:numCache>
            </c:numRef>
          </c:yVal>
          <c:smooth val="1"/>
          <c:extLst>
            <c:ext xmlns:c16="http://schemas.microsoft.com/office/drawing/2014/chart" uri="{C3380CC4-5D6E-409C-BE32-E72D297353CC}">
              <c16:uniqueId val="{00000006-467E-4E87-82DB-8885D57D6B59}"/>
            </c:ext>
          </c:extLst>
        </c:ser>
        <c:ser>
          <c:idx val="7"/>
          <c:order val="7"/>
          <c:tx>
            <c:v>10 knot</c:v>
          </c:tx>
          <c:spPr>
            <a:ln w="0" cap="rnd">
              <a:solidFill>
                <a:schemeClr val="accent2">
                  <a:lumMod val="60000"/>
                </a:schemeClr>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'!$G$59:$G$69</c:f>
              <c:numCache>
                <c:formatCode>General</c:formatCode>
                <c:ptCount val="11"/>
                <c:pt idx="0">
                  <c:v>0</c:v>
                </c:pt>
                <c:pt idx="1">
                  <c:v>1.3348614769179808E-2</c:v>
                </c:pt>
                <c:pt idx="2">
                  <c:v>5.3394459076719233E-2</c:v>
                </c:pt>
                <c:pt idx="3">
                  <c:v>0.12013753292261824</c:v>
                </c:pt>
                <c:pt idx="4">
                  <c:v>0.21357783630687693</c:v>
                </c:pt>
                <c:pt idx="5">
                  <c:v>0.33371536922949513</c:v>
                </c:pt>
                <c:pt idx="6">
                  <c:v>0.48055013169047295</c:v>
                </c:pt>
                <c:pt idx="7">
                  <c:v>0.65408212368981034</c:v>
                </c:pt>
                <c:pt idx="8">
                  <c:v>0.85431134522750773</c:v>
                </c:pt>
                <c:pt idx="9">
                  <c:v>1.0812377963035642</c:v>
                </c:pt>
                <c:pt idx="10">
                  <c:v>1.3348614769179805</c:v>
                </c:pt>
              </c:numCache>
            </c:numRef>
          </c:yVal>
          <c:smooth val="1"/>
          <c:extLst>
            <c:ext xmlns:c16="http://schemas.microsoft.com/office/drawing/2014/chart" uri="{C3380CC4-5D6E-409C-BE32-E72D297353CC}">
              <c16:uniqueId val="{00000007-467E-4E87-82DB-8885D57D6B59}"/>
            </c:ext>
          </c:extLst>
        </c:ser>
        <c:ser>
          <c:idx val="8"/>
          <c:order val="8"/>
          <c:tx>
            <c:v>9 knot</c:v>
          </c:tx>
          <c:spPr>
            <a:ln w="0" cap="rnd">
              <a:solidFill>
                <a:schemeClr val="accent3">
                  <a:lumMod val="60000"/>
                </a:schemeClr>
              </a:solidFill>
              <a:round/>
            </a:ln>
            <a:effectLst/>
          </c:spPr>
          <c:marker>
            <c:symbol val="none"/>
          </c:marker>
          <c:xVal>
            <c:numRef>
              <c:f>'EPM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 '!$H$59:$H$69</c:f>
              <c:numCache>
                <c:formatCode>General</c:formatCode>
                <c:ptCount val="11"/>
                <c:pt idx="0">
                  <c:v>0</c:v>
                </c:pt>
                <c:pt idx="1">
                  <c:v>1.3262526411538147E-2</c:v>
                </c:pt>
                <c:pt idx="2">
                  <c:v>5.305010564615259E-2</c:v>
                </c:pt>
                <c:pt idx="3">
                  <c:v>0.1193627377038433</c:v>
                </c:pt>
                <c:pt idx="4">
                  <c:v>0.21220042258461036</c:v>
                </c:pt>
                <c:pt idx="5">
                  <c:v>0.33156316028845362</c:v>
                </c:pt>
                <c:pt idx="6">
                  <c:v>0.4774509508153732</c:v>
                </c:pt>
                <c:pt idx="7">
                  <c:v>0.64986379416536899</c:v>
                </c:pt>
                <c:pt idx="8">
                  <c:v>0.84880169033844144</c:v>
                </c:pt>
                <c:pt idx="9">
                  <c:v>1.0742646393345898</c:v>
                </c:pt>
                <c:pt idx="10">
                  <c:v>1.3262526411538145</c:v>
                </c:pt>
              </c:numCache>
            </c:numRef>
          </c:yVal>
          <c:smooth val="1"/>
          <c:extLst>
            <c:ext xmlns:c16="http://schemas.microsoft.com/office/drawing/2014/chart" uri="{C3380CC4-5D6E-409C-BE32-E72D297353CC}">
              <c16:uniqueId val="{00000008-467E-4E87-82DB-8885D57D6B59}"/>
            </c:ext>
          </c:extLst>
        </c:ser>
        <c:dLbls>
          <c:showLegendKey val="0"/>
          <c:showVal val="0"/>
          <c:showCatName val="0"/>
          <c:showSerName val="0"/>
          <c:showPercent val="0"/>
          <c:showBubbleSize val="0"/>
        </c:dLbls>
        <c:axId val="-1938562976"/>
        <c:axId val="-1938572224"/>
      </c:scatterChart>
      <c:valAx>
        <c:axId val="-1938562976"/>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2224"/>
        <c:crosses val="autoZero"/>
        <c:crossBetween val="midCat"/>
      </c:valAx>
      <c:valAx>
        <c:axId val="-1938572224"/>
        <c:scaling>
          <c:orientation val="minMax"/>
          <c:max val="1.3"/>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KT 10KQ 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2976"/>
        <c:crosses val="autoZero"/>
        <c:crossBetween val="midCat"/>
        <c:majorUnit val="0.1"/>
      </c:valAx>
      <c:spPr>
        <a:noFill/>
        <a:ln w="0">
          <a:solidFill>
            <a:schemeClr val="accent3"/>
          </a:solidFill>
        </a:ln>
        <a:effectLst/>
      </c:spPr>
    </c:plotArea>
    <c:legend>
      <c:legendPos val="t"/>
      <c:layout>
        <c:manualLayout>
          <c:xMode val="edge"/>
          <c:yMode val="edge"/>
          <c:x val="7.7741432426381152E-2"/>
          <c:y val="8.8251456203978465E-2"/>
          <c:w val="0.89999998453376817"/>
          <c:h val="6.182043073592949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EPM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47788210712268"/>
          <c:y val="9.1889358351747288E-2"/>
          <c:w val="0.83609467700343898"/>
          <c:h val="0.8229705392042711"/>
        </c:manualLayout>
      </c:layout>
      <c:scatterChart>
        <c:scatterStyle val="smoothMarker"/>
        <c:varyColors val="0"/>
        <c:ser>
          <c:idx val="1"/>
          <c:order val="0"/>
          <c:spPr>
            <a:ln w="19050" cap="rnd">
              <a:solidFill>
                <a:schemeClr val="accent4"/>
              </a:solidFill>
              <a:round/>
            </a:ln>
            <a:effectLst/>
          </c:spPr>
          <c:marker>
            <c:symbol val="none"/>
          </c:marker>
          <c:xVal>
            <c:numRef>
              <c:f>'EPM '!$A$261:$A$267</c:f>
              <c:numCache>
                <c:formatCode>General</c:formatCode>
                <c:ptCount val="7"/>
                <c:pt idx="0">
                  <c:v>60</c:v>
                </c:pt>
                <c:pt idx="1">
                  <c:v>65</c:v>
                </c:pt>
                <c:pt idx="2">
                  <c:v>70</c:v>
                </c:pt>
                <c:pt idx="3">
                  <c:v>75</c:v>
                </c:pt>
                <c:pt idx="4">
                  <c:v>80</c:v>
                </c:pt>
                <c:pt idx="5">
                  <c:v>85</c:v>
                </c:pt>
                <c:pt idx="6">
                  <c:v>90</c:v>
                </c:pt>
              </c:numCache>
            </c:numRef>
          </c:xVal>
          <c:yVal>
            <c:numRef>
              <c:f>'EPM '!$B$261:$B$267</c:f>
              <c:numCache>
                <c:formatCode>General</c:formatCode>
                <c:ptCount val="7"/>
                <c:pt idx="0">
                  <c:v>26.5</c:v>
                </c:pt>
                <c:pt idx="1">
                  <c:v>33.6</c:v>
                </c:pt>
                <c:pt idx="2">
                  <c:v>42.1</c:v>
                </c:pt>
                <c:pt idx="3">
                  <c:v>52.4</c:v>
                </c:pt>
                <c:pt idx="4">
                  <c:v>63.3</c:v>
                </c:pt>
                <c:pt idx="5">
                  <c:v>74.95</c:v>
                </c:pt>
                <c:pt idx="6">
                  <c:v>89.99</c:v>
                </c:pt>
              </c:numCache>
            </c:numRef>
          </c:yVal>
          <c:smooth val="1"/>
          <c:extLst>
            <c:ext xmlns:c16="http://schemas.microsoft.com/office/drawing/2014/chart" uri="{C3380CC4-5D6E-409C-BE32-E72D297353CC}">
              <c16:uniqueId val="{00000000-C071-4C1B-892B-C26D38582EF4}"/>
            </c:ext>
          </c:extLst>
        </c:ser>
        <c:ser>
          <c:idx val="2"/>
          <c:order val="1"/>
          <c:spPr>
            <a:ln w="19050" cap="rnd">
              <a:solidFill>
                <a:schemeClr val="accent6"/>
              </a:solidFill>
              <a:round/>
            </a:ln>
            <a:effectLst/>
          </c:spPr>
          <c:marker>
            <c:symbol val="none"/>
          </c:marker>
          <c:xVal>
            <c:numRef>
              <c:f>'EPM '!$A$267:$A$269</c:f>
              <c:numCache>
                <c:formatCode>General</c:formatCode>
                <c:ptCount val="3"/>
                <c:pt idx="0">
                  <c:v>90</c:v>
                </c:pt>
                <c:pt idx="1">
                  <c:v>95</c:v>
                </c:pt>
                <c:pt idx="2">
                  <c:v>100</c:v>
                </c:pt>
              </c:numCache>
            </c:numRef>
          </c:xVal>
          <c:yVal>
            <c:numRef>
              <c:f>'EPM '!$B$267:$B$269</c:f>
              <c:numCache>
                <c:formatCode>General</c:formatCode>
                <c:ptCount val="3"/>
                <c:pt idx="0">
                  <c:v>89.99</c:v>
                </c:pt>
                <c:pt idx="1">
                  <c:v>95.2</c:v>
                </c:pt>
                <c:pt idx="2">
                  <c:v>100</c:v>
                </c:pt>
              </c:numCache>
            </c:numRef>
          </c:yVal>
          <c:smooth val="1"/>
          <c:extLst>
            <c:ext xmlns:c16="http://schemas.microsoft.com/office/drawing/2014/chart" uri="{C3380CC4-5D6E-409C-BE32-E72D297353CC}">
              <c16:uniqueId val="{00000001-C071-4C1B-892B-C26D38582EF4}"/>
            </c:ext>
          </c:extLst>
        </c:ser>
        <c:ser>
          <c:idx val="3"/>
          <c:order val="2"/>
          <c:spPr>
            <a:ln w="19050" cap="rnd">
              <a:solidFill>
                <a:schemeClr val="accent2">
                  <a:lumMod val="60000"/>
                </a:schemeClr>
              </a:solidFill>
              <a:round/>
            </a:ln>
            <a:effectLst/>
          </c:spPr>
          <c:marker>
            <c:symbol val="none"/>
          </c:marker>
          <c:xVal>
            <c:numRef>
              <c:f>'EPM '!$C$261:$C$270</c:f>
              <c:numCache>
                <c:formatCode>General</c:formatCode>
                <c:ptCount val="10"/>
                <c:pt idx="0">
                  <c:v>60</c:v>
                </c:pt>
                <c:pt idx="1">
                  <c:v>65</c:v>
                </c:pt>
                <c:pt idx="2">
                  <c:v>70</c:v>
                </c:pt>
                <c:pt idx="3">
                  <c:v>75</c:v>
                </c:pt>
                <c:pt idx="4">
                  <c:v>80</c:v>
                </c:pt>
                <c:pt idx="5">
                  <c:v>85</c:v>
                </c:pt>
                <c:pt idx="6">
                  <c:v>90</c:v>
                </c:pt>
                <c:pt idx="7">
                  <c:v>95</c:v>
                </c:pt>
                <c:pt idx="8">
                  <c:v>100</c:v>
                </c:pt>
                <c:pt idx="9">
                  <c:v>105</c:v>
                </c:pt>
              </c:numCache>
            </c:numRef>
          </c:xVal>
          <c:yVal>
            <c:numRef>
              <c:f>'EPM '!$D$261:$D$270</c:f>
              <c:numCache>
                <c:formatCode>General</c:formatCode>
                <c:ptCount val="10"/>
                <c:pt idx="0">
                  <c:v>18.3</c:v>
                </c:pt>
                <c:pt idx="1">
                  <c:v>23.1</c:v>
                </c:pt>
                <c:pt idx="2">
                  <c:v>29</c:v>
                </c:pt>
                <c:pt idx="3">
                  <c:v>35.700000000000003</c:v>
                </c:pt>
                <c:pt idx="4">
                  <c:v>43.4</c:v>
                </c:pt>
                <c:pt idx="5">
                  <c:v>52.2</c:v>
                </c:pt>
                <c:pt idx="6">
                  <c:v>61.7</c:v>
                </c:pt>
                <c:pt idx="7">
                  <c:v>73</c:v>
                </c:pt>
                <c:pt idx="8">
                  <c:v>85</c:v>
                </c:pt>
                <c:pt idx="9">
                  <c:v>100</c:v>
                </c:pt>
              </c:numCache>
            </c:numRef>
          </c:yVal>
          <c:smooth val="1"/>
          <c:extLst>
            <c:ext xmlns:c16="http://schemas.microsoft.com/office/drawing/2014/chart" uri="{C3380CC4-5D6E-409C-BE32-E72D297353CC}">
              <c16:uniqueId val="{00000002-C071-4C1B-892B-C26D38582EF4}"/>
            </c:ext>
          </c:extLst>
        </c:ser>
        <c:ser>
          <c:idx val="5"/>
          <c:order val="3"/>
          <c:tx>
            <c:v>6</c:v>
          </c:tx>
          <c:spPr>
            <a:ln w="19050" cap="rnd">
              <a:solidFill>
                <a:schemeClr val="accent6">
                  <a:lumMod val="60000"/>
                </a:schemeClr>
              </a:solidFill>
              <a:round/>
            </a:ln>
            <a:effectLst/>
          </c:spPr>
          <c:marker>
            <c:symbol val="none"/>
          </c:marker>
          <c:xVal>
            <c:numRef>
              <c:f>'EPM '!$A$270</c:f>
              <c:numCache>
                <c:formatCode>General</c:formatCode>
                <c:ptCount val="1"/>
                <c:pt idx="0">
                  <c:v>105</c:v>
                </c:pt>
              </c:numCache>
            </c:numRef>
          </c:xVal>
          <c:yVal>
            <c:numRef>
              <c:f>'EPM '!$B$270</c:f>
              <c:numCache>
                <c:formatCode>General</c:formatCode>
                <c:ptCount val="1"/>
                <c:pt idx="0">
                  <c:v>100</c:v>
                </c:pt>
              </c:numCache>
            </c:numRef>
          </c:yVal>
          <c:smooth val="1"/>
          <c:extLst>
            <c:ext xmlns:c16="http://schemas.microsoft.com/office/drawing/2014/chart" uri="{C3380CC4-5D6E-409C-BE32-E72D297353CC}">
              <c16:uniqueId val="{00000003-C071-4C1B-892B-C26D38582EF4}"/>
            </c:ext>
          </c:extLst>
        </c:ser>
        <c:ser>
          <c:idx val="6"/>
          <c:order val="4"/>
          <c:tx>
            <c:v>0</c:v>
          </c:tx>
          <c:spPr>
            <a:ln w="19050" cap="rnd">
              <a:solidFill>
                <a:schemeClr val="accent2">
                  <a:lumMod val="80000"/>
                  <a:lumOff val="20000"/>
                </a:schemeClr>
              </a:solidFill>
              <a:round/>
            </a:ln>
            <a:effectLst/>
          </c:spPr>
          <c:marker>
            <c:symbol val="none"/>
          </c:marker>
          <c:xVal>
            <c:numRef>
              <c:f>'EPM '!$B$271:$B$272</c:f>
              <c:numCache>
                <c:formatCode>General</c:formatCode>
                <c:ptCount val="2"/>
                <c:pt idx="0">
                  <c:v>105</c:v>
                </c:pt>
                <c:pt idx="1">
                  <c:v>105</c:v>
                </c:pt>
              </c:numCache>
            </c:numRef>
          </c:xVal>
          <c:yVal>
            <c:numRef>
              <c:f>'EPM '!$A$271:$A$272</c:f>
              <c:numCache>
                <c:formatCode>General</c:formatCode>
                <c:ptCount val="2"/>
                <c:pt idx="0">
                  <c:v>15</c:v>
                </c:pt>
                <c:pt idx="1">
                  <c:v>100</c:v>
                </c:pt>
              </c:numCache>
            </c:numRef>
          </c:yVal>
          <c:smooth val="1"/>
          <c:extLst>
            <c:ext xmlns:c16="http://schemas.microsoft.com/office/drawing/2014/chart" uri="{C3380CC4-5D6E-409C-BE32-E72D297353CC}">
              <c16:uniqueId val="{00000004-C071-4C1B-892B-C26D38582EF4}"/>
            </c:ext>
          </c:extLst>
        </c:ser>
        <c:ser>
          <c:idx val="7"/>
          <c:order val="5"/>
          <c:tx>
            <c:v>9</c:v>
          </c:tx>
          <c:spPr>
            <a:ln w="19050" cap="rnd">
              <a:solidFill>
                <a:schemeClr val="accent4">
                  <a:lumMod val="80000"/>
                  <a:lumOff val="20000"/>
                </a:schemeClr>
              </a:solidFill>
              <a:round/>
            </a:ln>
            <a:effectLst/>
          </c:spPr>
          <c:marker>
            <c:symbol val="none"/>
          </c:marker>
          <c:dPt>
            <c:idx val="0"/>
            <c:marker>
              <c:symbol val="none"/>
            </c:marker>
            <c:bubble3D val="0"/>
            <c:spPr>
              <a:ln w="19050" cap="rnd">
                <a:solidFill>
                  <a:schemeClr val="accent4">
                    <a:lumMod val="80000"/>
                    <a:lumOff val="20000"/>
                  </a:schemeClr>
                </a:solidFill>
                <a:round/>
              </a:ln>
              <a:effectLst/>
            </c:spPr>
            <c:extLst>
              <c:ext xmlns:c16="http://schemas.microsoft.com/office/drawing/2014/chart" uri="{C3380CC4-5D6E-409C-BE32-E72D297353CC}">
                <c16:uniqueId val="{00000006-C071-4C1B-892B-C26D38582EF4}"/>
              </c:ext>
            </c:extLst>
          </c:dPt>
          <c:xVal>
            <c:numRef>
              <c:f>'EPM '!$B$272</c:f>
              <c:numCache>
                <c:formatCode>General</c:formatCode>
                <c:ptCount val="1"/>
                <c:pt idx="0">
                  <c:v>105</c:v>
                </c:pt>
              </c:numCache>
            </c:numRef>
          </c:xVal>
          <c:yVal>
            <c:numRef>
              <c:f>'EPM '!$A$271</c:f>
              <c:numCache>
                <c:formatCode>General</c:formatCode>
                <c:ptCount val="1"/>
                <c:pt idx="0">
                  <c:v>15</c:v>
                </c:pt>
              </c:numCache>
            </c:numRef>
          </c:yVal>
          <c:smooth val="1"/>
          <c:extLst>
            <c:ext xmlns:c16="http://schemas.microsoft.com/office/drawing/2014/chart" uri="{C3380CC4-5D6E-409C-BE32-E72D297353CC}">
              <c16:uniqueId val="{00000007-C071-4C1B-892B-C26D38582EF4}"/>
            </c:ext>
          </c:extLst>
        </c:ser>
        <c:ser>
          <c:idx val="8"/>
          <c:order val="6"/>
          <c:tx>
            <c:v>clean hull</c:v>
          </c:tx>
          <c:spPr>
            <a:ln w="19050" cap="rnd">
              <a:solidFill>
                <a:schemeClr val="accent6">
                  <a:lumMod val="80000"/>
                  <a:lumOff val="20000"/>
                </a:schemeClr>
              </a:solidFill>
              <a:round/>
            </a:ln>
            <a:effectLst/>
          </c:spPr>
          <c:marker>
            <c:symbol val="square"/>
            <c:size val="5"/>
            <c:spPr>
              <a:solidFill>
                <a:schemeClr val="accent6">
                  <a:lumMod val="80000"/>
                  <a:lumOff val="20000"/>
                </a:schemeClr>
              </a:solidFill>
              <a:ln w="9525">
                <a:solidFill>
                  <a:schemeClr val="accent6">
                    <a:lumMod val="80000"/>
                    <a:lumOff val="20000"/>
                  </a:schemeClr>
                </a:solidFill>
              </a:ln>
              <a:effectLst/>
            </c:spPr>
          </c:marker>
          <c:xVal>
            <c:numRef>
              <c:f>'EPM '!$A$242:$A$247</c:f>
              <c:numCache>
                <c:formatCode>_(* #,##0.00_);_(* \(#,##0.00\);_(* "-"??_);_(@_)</c:formatCode>
                <c:ptCount val="6"/>
                <c:pt idx="0">
                  <c:v>64.244451954692707</c:v>
                </c:pt>
                <c:pt idx="1">
                  <c:v>71.382724394102993</c:v>
                </c:pt>
                <c:pt idx="2">
                  <c:v>78.685956910894646</c:v>
                </c:pt>
                <c:pt idx="3">
                  <c:v>86.201416546802861</c:v>
                </c:pt>
                <c:pt idx="4">
                  <c:v>93.582298936116842</c:v>
                </c:pt>
                <c:pt idx="5">
                  <c:v>100.78093731581814</c:v>
                </c:pt>
              </c:numCache>
            </c:numRef>
          </c:xVal>
          <c:yVal>
            <c:numRef>
              <c:f>'EPM '!$B$242:$B$247</c:f>
              <c:numCache>
                <c:formatCode>0</c:formatCode>
                <c:ptCount val="6"/>
                <c:pt idx="0">
                  <c:v>28.41223170275688</c:v>
                </c:pt>
                <c:pt idx="1">
                  <c:v>39.086897091021186</c:v>
                </c:pt>
                <c:pt idx="2">
                  <c:v>52.353235860522396</c:v>
                </c:pt>
                <c:pt idx="3">
                  <c:v>69.824564282783768</c:v>
                </c:pt>
                <c:pt idx="4">
                  <c:v>89.340042739001845</c:v>
                </c:pt>
                <c:pt idx="5">
                  <c:v>113.16855188307935</c:v>
                </c:pt>
              </c:numCache>
            </c:numRef>
          </c:yVal>
          <c:smooth val="1"/>
          <c:extLst>
            <c:ext xmlns:c16="http://schemas.microsoft.com/office/drawing/2014/chart" uri="{C3380CC4-5D6E-409C-BE32-E72D297353CC}">
              <c16:uniqueId val="{00000008-C071-4C1B-892B-C26D38582EF4}"/>
            </c:ext>
          </c:extLst>
        </c:ser>
        <c:ser>
          <c:idx val="9"/>
          <c:order val="7"/>
          <c:tx>
            <c:v>rough hull</c:v>
          </c:tx>
          <c:spPr>
            <a:ln w="19050" cap="rnd">
              <a:solidFill>
                <a:schemeClr val="accent2">
                  <a:lumMod val="80000"/>
                </a:schemeClr>
              </a:solidFill>
              <a:round/>
            </a:ln>
            <a:effectLst/>
          </c:spPr>
          <c:marker>
            <c:symbol val="square"/>
            <c:size val="5"/>
            <c:spPr>
              <a:solidFill>
                <a:schemeClr val="accent2">
                  <a:lumMod val="80000"/>
                </a:schemeClr>
              </a:solidFill>
              <a:ln w="9525">
                <a:solidFill>
                  <a:schemeClr val="accent2">
                    <a:lumMod val="80000"/>
                  </a:schemeClr>
                </a:solidFill>
              </a:ln>
              <a:effectLst/>
            </c:spPr>
          </c:marker>
          <c:xVal>
            <c:numRef>
              <c:f>'EPM '!$C$242:$C$247</c:f>
              <c:numCache>
                <c:formatCode>_(* #,##0.00_);_(* \(#,##0.00\);_(* "-"??_);_(@_)</c:formatCode>
                <c:ptCount val="6"/>
                <c:pt idx="0">
                  <c:v>65.620136150724662</c:v>
                </c:pt>
                <c:pt idx="1">
                  <c:v>73.067724326152629</c:v>
                </c:pt>
                <c:pt idx="2">
                  <c:v>80.720938555141899</c:v>
                </c:pt>
                <c:pt idx="3">
                  <c:v>88.249398365409391</c:v>
                </c:pt>
                <c:pt idx="4">
                  <c:v>95.603514895860172</c:v>
                </c:pt>
                <c:pt idx="5">
                  <c:v>103.40430227848584</c:v>
                </c:pt>
              </c:numCache>
            </c:numRef>
          </c:xVal>
          <c:yVal>
            <c:numRef>
              <c:f>'EPM '!$D$242:$D$247</c:f>
              <c:numCache>
                <c:formatCode>0</c:formatCode>
                <c:ptCount val="6"/>
                <c:pt idx="0">
                  <c:v>29.226728897612414</c:v>
                </c:pt>
                <c:pt idx="1">
                  <c:v>40.591807006378886</c:v>
                </c:pt>
                <c:pt idx="2">
                  <c:v>54.729344794238713</c:v>
                </c:pt>
                <c:pt idx="3">
                  <c:v>71.72780216350948</c:v>
                </c:pt>
                <c:pt idx="4">
                  <c:v>91.736811185887646</c:v>
                </c:pt>
                <c:pt idx="5">
                  <c:v>116.41718819121671</c:v>
                </c:pt>
              </c:numCache>
            </c:numRef>
          </c:yVal>
          <c:smooth val="1"/>
          <c:extLst>
            <c:ext xmlns:c16="http://schemas.microsoft.com/office/drawing/2014/chart" uri="{C3380CC4-5D6E-409C-BE32-E72D297353CC}">
              <c16:uniqueId val="{00000009-C071-4C1B-892B-C26D38582EF4}"/>
            </c:ext>
          </c:extLst>
        </c:ser>
        <c:ser>
          <c:idx val="4"/>
          <c:order val="8"/>
          <c:spPr>
            <a:ln w="19050" cap="rnd">
              <a:solidFill>
                <a:schemeClr val="accent4">
                  <a:lumMod val="60000"/>
                </a:schemeClr>
              </a:solidFill>
              <a:round/>
            </a:ln>
            <a:effectLst/>
          </c:spPr>
          <c:marker>
            <c:symbol val="none"/>
          </c:marker>
          <c:xVal>
            <c:numRef>
              <c:f>'EPM '!$A$269:$A$270</c:f>
              <c:numCache>
                <c:formatCode>General</c:formatCode>
                <c:ptCount val="2"/>
                <c:pt idx="0">
                  <c:v>100</c:v>
                </c:pt>
                <c:pt idx="1">
                  <c:v>105</c:v>
                </c:pt>
              </c:numCache>
            </c:numRef>
          </c:xVal>
          <c:yVal>
            <c:numRef>
              <c:f>'EPM '!$B$269:$B$270</c:f>
              <c:numCache>
                <c:formatCode>General</c:formatCode>
                <c:ptCount val="2"/>
                <c:pt idx="0">
                  <c:v>100</c:v>
                </c:pt>
                <c:pt idx="1">
                  <c:v>100</c:v>
                </c:pt>
              </c:numCache>
            </c:numRef>
          </c:yVal>
          <c:smooth val="1"/>
          <c:extLst>
            <c:ext xmlns:c16="http://schemas.microsoft.com/office/drawing/2014/chart" uri="{C3380CC4-5D6E-409C-BE32-E72D297353CC}">
              <c16:uniqueId val="{0000000A-C071-4C1B-892B-C26D38582EF4}"/>
            </c:ext>
          </c:extLst>
        </c:ser>
        <c:dLbls>
          <c:showLegendKey val="0"/>
          <c:showVal val="0"/>
          <c:showCatName val="0"/>
          <c:showSerName val="0"/>
          <c:showPercent val="0"/>
          <c:showBubbleSize val="0"/>
        </c:dLbls>
        <c:axId val="-1938571680"/>
        <c:axId val="-1938568960"/>
      </c:scatterChart>
      <c:valAx>
        <c:axId val="-1938571680"/>
        <c:scaling>
          <c:orientation val="minMax"/>
          <c:max val="110"/>
          <c:min val="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RPM</a:t>
                </a:r>
                <a:r>
                  <a:rPr lang="en-US" sz="1100" baseline="0"/>
                  <a:t> %</a:t>
                </a:r>
              </a:p>
            </c:rich>
          </c:tx>
          <c:layout>
            <c:manualLayout>
              <c:xMode val="edge"/>
              <c:yMode val="edge"/>
              <c:x val="0.48579966083398596"/>
              <c:y val="0.95104711812651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8960"/>
        <c:crosses val="autoZero"/>
        <c:crossBetween val="midCat"/>
        <c:majorUnit val="10"/>
        <c:minorUnit val="1"/>
      </c:valAx>
      <c:valAx>
        <c:axId val="-1938568960"/>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BHP  %</a:t>
                </a:r>
                <a:endParaRPr lang="id-ID" sz="1100"/>
              </a:p>
            </c:rich>
          </c:tx>
          <c:layout>
            <c:manualLayout>
              <c:xMode val="edge"/>
              <c:yMode val="edge"/>
              <c:x val="1.4022065847912444E-2"/>
              <c:y val="0.4494099715056194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1680"/>
        <c:crosses val="autoZero"/>
        <c:crossBetween val="midCat"/>
        <c:majorUnit val="10"/>
      </c:valAx>
      <c:spPr>
        <a:noFill/>
        <a:ln w="0">
          <a:solidFill>
            <a:schemeClr val="accent3"/>
          </a:solidFill>
        </a:ln>
        <a:effectLst/>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8"/>
        <c:delete val="1"/>
      </c:legendEntry>
      <c:layout>
        <c:manualLayout>
          <c:xMode val="edge"/>
          <c:yMode val="edge"/>
          <c:x val="0.70628729614696029"/>
          <c:y val="1.9487025157328534E-2"/>
          <c:w val="0.19218095820954809"/>
          <c:h val="6.810066968176566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CLEAN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A3B8-41C6-A29B-FA7087A6B1F0}"/>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A3B8-41C6-A29B-FA7087A6B1F0}"/>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A3B8-41C6-A29B-FA7087A6B1F0}"/>
            </c:ext>
          </c:extLst>
        </c:ser>
        <c:ser>
          <c:idx val="4"/>
          <c:order val="4"/>
          <c:tx>
            <c:v>13 knot</c:v>
          </c:tx>
          <c:spPr>
            <a:ln w="0" cap="rnd">
              <a:solidFill>
                <a:schemeClr val="accent5"/>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'!$D$22:$D$32</c:f>
              <c:numCache>
                <c:formatCode>General</c:formatCode>
                <c:ptCount val="11"/>
                <c:pt idx="0">
                  <c:v>0</c:v>
                </c:pt>
                <c:pt idx="1">
                  <c:v>1.1667119211544301E-2</c:v>
                </c:pt>
                <c:pt idx="2">
                  <c:v>4.6668476846177205E-2</c:v>
                </c:pt>
                <c:pt idx="3">
                  <c:v>0.10500407290389868</c:v>
                </c:pt>
                <c:pt idx="4">
                  <c:v>0.18667390738470882</c:v>
                </c:pt>
                <c:pt idx="5">
                  <c:v>0.29167798028860747</c:v>
                </c:pt>
                <c:pt idx="6">
                  <c:v>0.42001629161559473</c:v>
                </c:pt>
                <c:pt idx="7">
                  <c:v>0.57168884136567055</c:v>
                </c:pt>
                <c:pt idx="8">
                  <c:v>0.74669562953883528</c:v>
                </c:pt>
                <c:pt idx="9">
                  <c:v>0.94503665613508825</c:v>
                </c:pt>
                <c:pt idx="10">
                  <c:v>1.1667119211544299</c:v>
                </c:pt>
              </c:numCache>
            </c:numRef>
          </c:yVal>
          <c:smooth val="1"/>
          <c:extLst xmlns:c15="http://schemas.microsoft.com/office/drawing/2012/chart">
            <c:ext xmlns:c16="http://schemas.microsoft.com/office/drawing/2014/chart" uri="{C3380CC4-5D6E-409C-BE32-E72D297353CC}">
              <c16:uniqueId val="{00000003-A3B8-41C6-A29B-FA7087A6B1F0}"/>
            </c:ext>
          </c:extLst>
        </c:ser>
        <c:ser>
          <c:idx val="9"/>
          <c:order val="9"/>
          <c:spPr>
            <a:ln w="3175" cap="rnd">
              <a:solidFill>
                <a:schemeClr val="accent4">
                  <a:lumMod val="60000"/>
                </a:schemeClr>
              </a:solidFill>
              <a:round/>
            </a:ln>
            <a:effectLst/>
          </c:spPr>
          <c:marker>
            <c:symbol val="none"/>
          </c:marker>
          <c:xVal>
            <c:numRef>
              <c:f>'[4]EPM '!$W$152:$W$159</c:f>
              <c:numCache>
                <c:formatCode>General</c:formatCode>
                <c:ptCount val="8"/>
                <c:pt idx="0">
                  <c:v>0.46</c:v>
                </c:pt>
                <c:pt idx="1">
                  <c:v>0.46</c:v>
                </c:pt>
                <c:pt idx="2">
                  <c:v>0.46</c:v>
                </c:pt>
                <c:pt idx="3">
                  <c:v>0.46</c:v>
                </c:pt>
                <c:pt idx="4">
                  <c:v>0.46</c:v>
                </c:pt>
                <c:pt idx="5">
                  <c:v>0.46</c:v>
                </c:pt>
                <c:pt idx="6">
                  <c:v>0.46</c:v>
                </c:pt>
                <c:pt idx="7">
                  <c:v>0.46</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A3B8-41C6-A29B-FA7087A6B1F0}"/>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'!$Y$152:$Y$159</c:f>
              <c:numCache>
                <c:formatCode>General</c:formatCode>
                <c:ptCount val="8"/>
                <c:pt idx="0">
                  <c:v>0.214</c:v>
                </c:pt>
                <c:pt idx="1">
                  <c:v>0.214</c:v>
                </c:pt>
                <c:pt idx="2">
                  <c:v>0.214</c:v>
                </c:pt>
                <c:pt idx="3">
                  <c:v>0.214</c:v>
                </c:pt>
                <c:pt idx="4">
                  <c:v>0.214</c:v>
                </c:pt>
                <c:pt idx="5">
                  <c:v>0.214</c:v>
                </c:pt>
                <c:pt idx="6">
                  <c:v>0.214</c:v>
                </c:pt>
                <c:pt idx="7">
                  <c:v>0.214</c:v>
                </c:pt>
              </c:numCache>
            </c:numRef>
          </c:yVal>
          <c:smooth val="1"/>
          <c:extLst>
            <c:ext xmlns:c16="http://schemas.microsoft.com/office/drawing/2014/chart" uri="{C3380CC4-5D6E-409C-BE32-E72D297353CC}">
              <c16:uniqueId val="{00000005-A3B8-41C6-A29B-FA7087A6B1F0}"/>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'!$AA$152:$AA$159</c:f>
              <c:numCache>
                <c:formatCode>General</c:formatCode>
                <c:ptCount val="8"/>
                <c:pt idx="0">
                  <c:v>0.27300000000000002</c:v>
                </c:pt>
                <c:pt idx="1">
                  <c:v>0.27300000000000002</c:v>
                </c:pt>
                <c:pt idx="2">
                  <c:v>0.27300000000000002</c:v>
                </c:pt>
                <c:pt idx="3">
                  <c:v>0.27300000000000002</c:v>
                </c:pt>
                <c:pt idx="4">
                  <c:v>0.27300000000000002</c:v>
                </c:pt>
                <c:pt idx="5">
                  <c:v>0.27300000000000002</c:v>
                </c:pt>
                <c:pt idx="6">
                  <c:v>0.27300000000000002</c:v>
                </c:pt>
                <c:pt idx="7">
                  <c:v>0.27300000000000002</c:v>
                </c:pt>
              </c:numCache>
            </c:numRef>
          </c:yVal>
          <c:smooth val="1"/>
          <c:extLst>
            <c:ext xmlns:c16="http://schemas.microsoft.com/office/drawing/2014/chart" uri="{C3380CC4-5D6E-409C-BE32-E72D297353CC}">
              <c16:uniqueId val="{00000006-A3B8-41C6-A29B-FA7087A6B1F0}"/>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'!$AC$152:$AC$162</c:f>
              <c:numCache>
                <c:formatCode>General</c:formatCode>
                <c:ptCount val="11"/>
                <c:pt idx="0">
                  <c:v>0.52</c:v>
                </c:pt>
                <c:pt idx="1">
                  <c:v>0.52</c:v>
                </c:pt>
                <c:pt idx="2">
                  <c:v>0.52</c:v>
                </c:pt>
                <c:pt idx="3">
                  <c:v>0.52</c:v>
                </c:pt>
                <c:pt idx="4">
                  <c:v>0.52</c:v>
                </c:pt>
                <c:pt idx="5">
                  <c:v>0.52</c:v>
                </c:pt>
                <c:pt idx="6">
                  <c:v>0.52</c:v>
                </c:pt>
                <c:pt idx="7">
                  <c:v>0.52</c:v>
                </c:pt>
                <c:pt idx="8">
                  <c:v>0.52</c:v>
                </c:pt>
                <c:pt idx="9">
                  <c:v>0.52</c:v>
                </c:pt>
                <c:pt idx="10">
                  <c:v>0.52</c:v>
                </c:pt>
              </c:numCache>
            </c:numRef>
          </c:yVal>
          <c:smooth val="1"/>
          <c:extLst>
            <c:ext xmlns:c16="http://schemas.microsoft.com/office/drawing/2014/chart" uri="{C3380CC4-5D6E-409C-BE32-E72D297353CC}">
              <c16:uniqueId val="{00000007-A3B8-41C6-A29B-FA7087A6B1F0}"/>
            </c:ext>
          </c:extLst>
        </c:ser>
        <c:dLbls>
          <c:showLegendKey val="0"/>
          <c:showVal val="0"/>
          <c:showCatName val="0"/>
          <c:showSerName val="0"/>
          <c:showPercent val="0"/>
          <c:showBubbleSize val="0"/>
        </c:dLbls>
        <c:axId val="-1938564064"/>
        <c:axId val="-1938570048"/>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'!$C$22:$C$32</c15:sqref>
                        </c15:formulaRef>
                      </c:ext>
                    </c:extLst>
                    <c:numCache>
                      <c:formatCode>General</c:formatCode>
                      <c:ptCount val="11"/>
                      <c:pt idx="0">
                        <c:v>0</c:v>
                      </c:pt>
                      <c:pt idx="1">
                        <c:v>1.2347028180244494E-2</c:v>
                      </c:pt>
                      <c:pt idx="2">
                        <c:v>4.9388112720977977E-2</c:v>
                      </c:pt>
                      <c:pt idx="3">
                        <c:v>0.11112325362220044</c:v>
                      </c:pt>
                      <c:pt idx="4">
                        <c:v>0.19755245088391191</c:v>
                      </c:pt>
                      <c:pt idx="5">
                        <c:v>0.30867570450611231</c:v>
                      </c:pt>
                      <c:pt idx="6">
                        <c:v>0.44449301448880174</c:v>
                      </c:pt>
                      <c:pt idx="7">
                        <c:v>0.60500438083198005</c:v>
                      </c:pt>
                      <c:pt idx="8">
                        <c:v>0.79020980353564763</c:v>
                      </c:pt>
                      <c:pt idx="9">
                        <c:v>1.0001092825998039</c:v>
                      </c:pt>
                      <c:pt idx="10">
                        <c:v>1.2347028180244493</c:v>
                      </c:pt>
                    </c:numCache>
                  </c:numRef>
                </c:yVal>
                <c:smooth val="1"/>
                <c:extLst>
                  <c:ext xmlns:c16="http://schemas.microsoft.com/office/drawing/2014/chart" uri="{C3380CC4-5D6E-409C-BE32-E72D297353CC}">
                    <c16:uniqueId val="{00000008-A3B8-41C6-A29B-FA7087A6B1F0}"/>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'!$E$22:$E$32</c15:sqref>
                        </c15:formulaRef>
                      </c:ext>
                    </c:extLst>
                    <c:numCache>
                      <c:formatCode>General</c:formatCode>
                      <c:ptCount val="11"/>
                      <c:pt idx="0">
                        <c:v>0</c:v>
                      </c:pt>
                      <c:pt idx="1">
                        <c:v>1.1335991950885837E-2</c:v>
                      </c:pt>
                      <c:pt idx="2">
                        <c:v>4.5343967803543349E-2</c:v>
                      </c:pt>
                      <c:pt idx="3">
                        <c:v>0.10202392755797252</c:v>
                      </c:pt>
                      <c:pt idx="4">
                        <c:v>0.1813758712141734</c:v>
                      </c:pt>
                      <c:pt idx="5">
                        <c:v>0.28339979877214588</c:v>
                      </c:pt>
                      <c:pt idx="6">
                        <c:v>0.40809571023189006</c:v>
                      </c:pt>
                      <c:pt idx="7">
                        <c:v>0.55546360559340591</c:v>
                      </c:pt>
                      <c:pt idx="8">
                        <c:v>0.72550348485669358</c:v>
                      </c:pt>
                      <c:pt idx="9">
                        <c:v>0.91821534802175275</c:v>
                      </c:pt>
                      <c:pt idx="10">
                        <c:v>1.1335991950885835</c:v>
                      </c:pt>
                    </c:numCache>
                  </c:numRef>
                </c:yVal>
                <c:smooth val="1"/>
                <c:extLst xmlns:c15="http://schemas.microsoft.com/office/drawing/2012/chart">
                  <c:ext xmlns:c16="http://schemas.microsoft.com/office/drawing/2014/chart" uri="{C3380CC4-5D6E-409C-BE32-E72D297353CC}">
                    <c16:uniqueId val="{00000009-A3B8-41C6-A29B-FA7087A6B1F0}"/>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'!$F$22:$F$32</c15:sqref>
                        </c15:formulaRef>
                      </c:ext>
                    </c:extLst>
                    <c:numCache>
                      <c:formatCode>General</c:formatCode>
                      <c:ptCount val="11"/>
                      <c:pt idx="0">
                        <c:v>0</c:v>
                      </c:pt>
                      <c:pt idx="1">
                        <c:v>1.0988004920808345E-2</c:v>
                      </c:pt>
                      <c:pt idx="2">
                        <c:v>4.3952019683233381E-2</c:v>
                      </c:pt>
                      <c:pt idx="3">
                        <c:v>9.8892044287275077E-2</c:v>
                      </c:pt>
                      <c:pt idx="4">
                        <c:v>0.17580807873293353</c:v>
                      </c:pt>
                      <c:pt idx="5">
                        <c:v>0.27470012302020858</c:v>
                      </c:pt>
                      <c:pt idx="6">
                        <c:v>0.39556817714910031</c:v>
                      </c:pt>
                      <c:pt idx="7">
                        <c:v>0.53841224111960873</c:v>
                      </c:pt>
                      <c:pt idx="8">
                        <c:v>0.7032323149317341</c:v>
                      </c:pt>
                      <c:pt idx="9">
                        <c:v>0.89002839858547589</c:v>
                      </c:pt>
                      <c:pt idx="10">
                        <c:v>1.0988004920808343</c:v>
                      </c:pt>
                    </c:numCache>
                  </c:numRef>
                </c:yVal>
                <c:smooth val="1"/>
                <c:extLst xmlns:c15="http://schemas.microsoft.com/office/drawing/2012/chart">
                  <c:ext xmlns:c16="http://schemas.microsoft.com/office/drawing/2014/chart" uri="{C3380CC4-5D6E-409C-BE32-E72D297353CC}">
                    <c16:uniqueId val="{0000000A-A3B8-41C6-A29B-FA7087A6B1F0}"/>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'!$G$22:$G$32</c15:sqref>
                        </c15:formulaRef>
                      </c:ext>
                    </c:extLst>
                    <c:numCache>
                      <c:formatCode>General</c:formatCode>
                      <c:ptCount val="11"/>
                      <c:pt idx="0">
                        <c:v>0</c:v>
                      </c:pt>
                      <c:pt idx="1">
                        <c:v>1.1123845640983175E-2</c:v>
                      </c:pt>
                      <c:pt idx="2">
                        <c:v>4.4495382563932699E-2</c:v>
                      </c:pt>
                      <c:pt idx="3">
                        <c:v>0.10011461076884855</c:v>
                      </c:pt>
                      <c:pt idx="4">
                        <c:v>0.1779815302557308</c:v>
                      </c:pt>
                      <c:pt idx="5">
                        <c:v>0.2780961410245793</c:v>
                      </c:pt>
                      <c:pt idx="6">
                        <c:v>0.40045844307539419</c:v>
                      </c:pt>
                      <c:pt idx="7">
                        <c:v>0.54506843640817537</c:v>
                      </c:pt>
                      <c:pt idx="8">
                        <c:v>0.71192612102292319</c:v>
                      </c:pt>
                      <c:pt idx="9">
                        <c:v>0.90103149691963702</c:v>
                      </c:pt>
                      <c:pt idx="10">
                        <c:v>1.1123845640983172</c:v>
                      </c:pt>
                    </c:numCache>
                  </c:numRef>
                </c:yVal>
                <c:smooth val="1"/>
                <c:extLst xmlns:c15="http://schemas.microsoft.com/office/drawing/2012/chart">
                  <c:ext xmlns:c16="http://schemas.microsoft.com/office/drawing/2014/chart" uri="{C3380CC4-5D6E-409C-BE32-E72D297353CC}">
                    <c16:uniqueId val="{0000000B-A3B8-41C6-A29B-FA7087A6B1F0}"/>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'!$H$22:$H$32</c15:sqref>
                        </c15:formulaRef>
                      </c:ext>
                    </c:extLst>
                    <c:numCache>
                      <c:formatCode>General</c:formatCode>
                      <c:ptCount val="11"/>
                      <c:pt idx="0">
                        <c:v>0</c:v>
                      </c:pt>
                      <c:pt idx="1">
                        <c:v>1.1052105342948457E-2</c:v>
                      </c:pt>
                      <c:pt idx="2">
                        <c:v>4.420842137179383E-2</c:v>
                      </c:pt>
                      <c:pt idx="3">
                        <c:v>9.9468948086536085E-2</c:v>
                      </c:pt>
                      <c:pt idx="4">
                        <c:v>0.17683368548717532</c:v>
                      </c:pt>
                      <c:pt idx="5">
                        <c:v>0.27630263357371138</c:v>
                      </c:pt>
                      <c:pt idx="6">
                        <c:v>0.39787579234614434</c:v>
                      </c:pt>
                      <c:pt idx="7">
                        <c:v>0.54155316180447421</c:v>
                      </c:pt>
                      <c:pt idx="8">
                        <c:v>0.70733474194870127</c:v>
                      </c:pt>
                      <c:pt idx="9">
                        <c:v>0.89522053277882496</c:v>
                      </c:pt>
                      <c:pt idx="10">
                        <c:v>1.1052105342948455</c:v>
                      </c:pt>
                    </c:numCache>
                  </c:numRef>
                </c:yVal>
                <c:smooth val="1"/>
                <c:extLst xmlns:c15="http://schemas.microsoft.com/office/drawing/2012/chart">
                  <c:ext xmlns:c16="http://schemas.microsoft.com/office/drawing/2014/chart" uri="{C3380CC4-5D6E-409C-BE32-E72D297353CC}">
                    <c16:uniqueId val="{0000000C-A3B8-41C6-A29B-FA7087A6B1F0}"/>
                  </c:ext>
                </c:extLst>
              </c15:ser>
            </c15:filteredScatterSeries>
          </c:ext>
        </c:extLst>
      </c:scatterChart>
      <c:valAx>
        <c:axId val="-1938564064"/>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0048"/>
        <c:crosses val="autoZero"/>
        <c:crossBetween val="midCat"/>
      </c:valAx>
      <c:valAx>
        <c:axId val="-1938570048"/>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KT</a:t>
                </a:r>
                <a:r>
                  <a:rPr lang="en-US" baseline="0"/>
                  <a:t> 10KQ </a:t>
                </a:r>
                <a:r>
                  <a:rPr lang="el-GR" baseline="0"/>
                  <a:t>η</a:t>
                </a:r>
                <a:r>
                  <a:rPr lang="en-US" baseline="0"/>
                  <a:t>o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4064"/>
        <c:crosses val="autoZero"/>
        <c:crossBetween val="midCat"/>
        <c:majorUnit val="0.1"/>
      </c:valAx>
      <c:spPr>
        <a:noFill/>
        <a:ln w="0">
          <a:solidFill>
            <a:schemeClr val="accent4"/>
          </a:solidFill>
        </a:ln>
        <a:effectLst/>
      </c:spPr>
    </c:plotArea>
    <c:legend>
      <c:legendPos val="t"/>
      <c:layout>
        <c:manualLayout>
          <c:xMode val="edge"/>
          <c:yMode val="edge"/>
          <c:x val="2.1553290171449659E-2"/>
          <c:y val="7.707961239542245E-2"/>
          <c:w val="0.89885609518813214"/>
          <c:h val="6.117557327301620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CLEAN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C4EC-4689-A33E-59E3D99255B2}"/>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C4EC-4689-A33E-59E3D99255B2}"/>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C4EC-4689-A33E-59E3D99255B2}"/>
            </c:ext>
          </c:extLst>
        </c:ser>
        <c:ser>
          <c:idx val="5"/>
          <c:order val="5"/>
          <c:tx>
            <c:v>12 knot</c:v>
          </c:tx>
          <c:spPr>
            <a:ln w="0" cap="rnd">
              <a:solidFill>
                <a:schemeClr val="accent6"/>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'!$E$22:$E$32</c:f>
              <c:numCache>
                <c:formatCode>General</c:formatCode>
                <c:ptCount val="11"/>
                <c:pt idx="0">
                  <c:v>0</c:v>
                </c:pt>
                <c:pt idx="1">
                  <c:v>1.1335991950885837E-2</c:v>
                </c:pt>
                <c:pt idx="2">
                  <c:v>4.5343967803543349E-2</c:v>
                </c:pt>
                <c:pt idx="3">
                  <c:v>0.10202392755797252</c:v>
                </c:pt>
                <c:pt idx="4">
                  <c:v>0.1813758712141734</c:v>
                </c:pt>
                <c:pt idx="5">
                  <c:v>0.28339979877214588</c:v>
                </c:pt>
                <c:pt idx="6">
                  <c:v>0.40809571023189006</c:v>
                </c:pt>
                <c:pt idx="7">
                  <c:v>0.55546360559340591</c:v>
                </c:pt>
                <c:pt idx="8">
                  <c:v>0.72550348485669358</c:v>
                </c:pt>
                <c:pt idx="9">
                  <c:v>0.91821534802175275</c:v>
                </c:pt>
                <c:pt idx="10">
                  <c:v>1.1335991950885835</c:v>
                </c:pt>
              </c:numCache>
            </c:numRef>
          </c:yVal>
          <c:smooth val="1"/>
          <c:extLst xmlns:c15="http://schemas.microsoft.com/office/drawing/2012/chart">
            <c:ext xmlns:c16="http://schemas.microsoft.com/office/drawing/2014/chart" uri="{C3380CC4-5D6E-409C-BE32-E72D297353CC}">
              <c16:uniqueId val="{00000003-C4EC-4689-A33E-59E3D99255B2}"/>
            </c:ext>
          </c:extLst>
        </c:ser>
        <c:ser>
          <c:idx val="9"/>
          <c:order val="9"/>
          <c:spPr>
            <a:ln w="3175" cap="rnd">
              <a:solidFill>
                <a:schemeClr val="accent4">
                  <a:lumMod val="60000"/>
                </a:schemeClr>
              </a:solidFill>
              <a:round/>
            </a:ln>
            <a:effectLst/>
          </c:spPr>
          <c:marker>
            <c:symbol val="none"/>
          </c:marker>
          <c:xVal>
            <c:numRef>
              <c:f>'[4]EPM '!$AG$152:$AG$159</c:f>
              <c:numCache>
                <c:formatCode>General</c:formatCode>
                <c:ptCount val="8"/>
                <c:pt idx="0">
                  <c:v>0.46600000000000003</c:v>
                </c:pt>
                <c:pt idx="1">
                  <c:v>0.46600000000000003</c:v>
                </c:pt>
                <c:pt idx="2">
                  <c:v>0.46600000000000003</c:v>
                </c:pt>
                <c:pt idx="3">
                  <c:v>0.46600000000000003</c:v>
                </c:pt>
                <c:pt idx="4">
                  <c:v>0.46600000000000003</c:v>
                </c:pt>
                <c:pt idx="5">
                  <c:v>0.46600000000000003</c:v>
                </c:pt>
                <c:pt idx="6">
                  <c:v>0.46600000000000003</c:v>
                </c:pt>
                <c:pt idx="7">
                  <c:v>0.46600000000000003</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C4EC-4689-A33E-59E3D99255B2}"/>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'!$AI$152:$AI$159</c:f>
              <c:numCache>
                <c:formatCode>General</c:formatCode>
                <c:ptCount val="8"/>
                <c:pt idx="0">
                  <c:v>0.21299999999999999</c:v>
                </c:pt>
                <c:pt idx="1">
                  <c:v>0.21299999999999999</c:v>
                </c:pt>
                <c:pt idx="2">
                  <c:v>0.21299999999999999</c:v>
                </c:pt>
                <c:pt idx="3">
                  <c:v>0.21299999999999999</c:v>
                </c:pt>
                <c:pt idx="4">
                  <c:v>0.21299999999999999</c:v>
                </c:pt>
                <c:pt idx="5">
                  <c:v>0.21299999999999999</c:v>
                </c:pt>
                <c:pt idx="6">
                  <c:v>0.21299999999999999</c:v>
                </c:pt>
                <c:pt idx="7">
                  <c:v>0.21299999999999999</c:v>
                </c:pt>
              </c:numCache>
            </c:numRef>
          </c:yVal>
          <c:smooth val="1"/>
          <c:extLst>
            <c:ext xmlns:c16="http://schemas.microsoft.com/office/drawing/2014/chart" uri="{C3380CC4-5D6E-409C-BE32-E72D297353CC}">
              <c16:uniqueId val="{00000005-C4EC-4689-A33E-59E3D99255B2}"/>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'!$AK$152:$AK$159</c:f>
              <c:numCache>
                <c:formatCode>General</c:formatCode>
                <c:ptCount val="8"/>
                <c:pt idx="0">
                  <c:v>0.26900000000000002</c:v>
                </c:pt>
                <c:pt idx="1">
                  <c:v>0.26900000000000002</c:v>
                </c:pt>
                <c:pt idx="2">
                  <c:v>0.26900000000000002</c:v>
                </c:pt>
                <c:pt idx="3">
                  <c:v>0.26900000000000002</c:v>
                </c:pt>
                <c:pt idx="4">
                  <c:v>0.26900000000000002</c:v>
                </c:pt>
                <c:pt idx="5">
                  <c:v>0.26900000000000002</c:v>
                </c:pt>
                <c:pt idx="6">
                  <c:v>0.26900000000000002</c:v>
                </c:pt>
                <c:pt idx="7">
                  <c:v>0.26900000000000002</c:v>
                </c:pt>
              </c:numCache>
            </c:numRef>
          </c:yVal>
          <c:smooth val="1"/>
          <c:extLst>
            <c:ext xmlns:c16="http://schemas.microsoft.com/office/drawing/2014/chart" uri="{C3380CC4-5D6E-409C-BE32-E72D297353CC}">
              <c16:uniqueId val="{00000006-C4EC-4689-A33E-59E3D99255B2}"/>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'!$AM$152:$AM$162</c:f>
              <c:numCache>
                <c:formatCode>General</c:formatCode>
                <c:ptCount val="11"/>
                <c:pt idx="0">
                  <c:v>0.52400000000000002</c:v>
                </c:pt>
                <c:pt idx="1">
                  <c:v>0.52400000000000002</c:v>
                </c:pt>
                <c:pt idx="2">
                  <c:v>0.52400000000000002</c:v>
                </c:pt>
                <c:pt idx="3">
                  <c:v>0.52400000000000002</c:v>
                </c:pt>
                <c:pt idx="4">
                  <c:v>0.52400000000000002</c:v>
                </c:pt>
                <c:pt idx="5">
                  <c:v>0.52400000000000002</c:v>
                </c:pt>
                <c:pt idx="6">
                  <c:v>0.52400000000000002</c:v>
                </c:pt>
                <c:pt idx="7">
                  <c:v>0.52400000000000002</c:v>
                </c:pt>
                <c:pt idx="8">
                  <c:v>0.52400000000000002</c:v>
                </c:pt>
                <c:pt idx="9">
                  <c:v>0.52400000000000002</c:v>
                </c:pt>
                <c:pt idx="10">
                  <c:v>0.52400000000000002</c:v>
                </c:pt>
              </c:numCache>
            </c:numRef>
          </c:yVal>
          <c:smooth val="1"/>
          <c:extLst>
            <c:ext xmlns:c16="http://schemas.microsoft.com/office/drawing/2014/chart" uri="{C3380CC4-5D6E-409C-BE32-E72D297353CC}">
              <c16:uniqueId val="{00000007-C4EC-4689-A33E-59E3D99255B2}"/>
            </c:ext>
          </c:extLst>
        </c:ser>
        <c:dLbls>
          <c:showLegendKey val="0"/>
          <c:showVal val="0"/>
          <c:showCatName val="0"/>
          <c:showSerName val="0"/>
          <c:showPercent val="0"/>
          <c:showBubbleSize val="0"/>
        </c:dLbls>
        <c:axId val="-1938564064"/>
        <c:axId val="-1938570048"/>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'!$C$22:$C$32</c15:sqref>
                        </c15:formulaRef>
                      </c:ext>
                    </c:extLst>
                    <c:numCache>
                      <c:formatCode>General</c:formatCode>
                      <c:ptCount val="11"/>
                      <c:pt idx="0">
                        <c:v>0</c:v>
                      </c:pt>
                      <c:pt idx="1">
                        <c:v>1.2347028180244494E-2</c:v>
                      </c:pt>
                      <c:pt idx="2">
                        <c:v>4.9388112720977977E-2</c:v>
                      </c:pt>
                      <c:pt idx="3">
                        <c:v>0.11112325362220044</c:v>
                      </c:pt>
                      <c:pt idx="4">
                        <c:v>0.19755245088391191</c:v>
                      </c:pt>
                      <c:pt idx="5">
                        <c:v>0.30867570450611231</c:v>
                      </c:pt>
                      <c:pt idx="6">
                        <c:v>0.44449301448880174</c:v>
                      </c:pt>
                      <c:pt idx="7">
                        <c:v>0.60500438083198005</c:v>
                      </c:pt>
                      <c:pt idx="8">
                        <c:v>0.79020980353564763</c:v>
                      </c:pt>
                      <c:pt idx="9">
                        <c:v>1.0001092825998039</c:v>
                      </c:pt>
                      <c:pt idx="10">
                        <c:v>1.2347028180244493</c:v>
                      </c:pt>
                    </c:numCache>
                  </c:numRef>
                </c:yVal>
                <c:smooth val="1"/>
                <c:extLst>
                  <c:ext xmlns:c16="http://schemas.microsoft.com/office/drawing/2014/chart" uri="{C3380CC4-5D6E-409C-BE32-E72D297353CC}">
                    <c16:uniqueId val="{00000008-C4EC-4689-A33E-59E3D99255B2}"/>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'!$D$22:$D$32</c15:sqref>
                        </c15:formulaRef>
                      </c:ext>
                    </c:extLst>
                    <c:numCache>
                      <c:formatCode>General</c:formatCode>
                      <c:ptCount val="11"/>
                      <c:pt idx="0">
                        <c:v>0</c:v>
                      </c:pt>
                      <c:pt idx="1">
                        <c:v>1.1667119211544301E-2</c:v>
                      </c:pt>
                      <c:pt idx="2">
                        <c:v>4.6668476846177205E-2</c:v>
                      </c:pt>
                      <c:pt idx="3">
                        <c:v>0.10500407290389868</c:v>
                      </c:pt>
                      <c:pt idx="4">
                        <c:v>0.18667390738470882</c:v>
                      </c:pt>
                      <c:pt idx="5">
                        <c:v>0.29167798028860747</c:v>
                      </c:pt>
                      <c:pt idx="6">
                        <c:v>0.42001629161559473</c:v>
                      </c:pt>
                      <c:pt idx="7">
                        <c:v>0.57168884136567055</c:v>
                      </c:pt>
                      <c:pt idx="8">
                        <c:v>0.74669562953883528</c:v>
                      </c:pt>
                      <c:pt idx="9">
                        <c:v>0.94503665613508825</c:v>
                      </c:pt>
                      <c:pt idx="10">
                        <c:v>1.1667119211544299</c:v>
                      </c:pt>
                    </c:numCache>
                  </c:numRef>
                </c:yVal>
                <c:smooth val="1"/>
                <c:extLst xmlns:c15="http://schemas.microsoft.com/office/drawing/2012/chart">
                  <c:ext xmlns:c16="http://schemas.microsoft.com/office/drawing/2014/chart" uri="{C3380CC4-5D6E-409C-BE32-E72D297353CC}">
                    <c16:uniqueId val="{00000009-C4EC-4689-A33E-59E3D99255B2}"/>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'!$F$22:$F$32</c15:sqref>
                        </c15:formulaRef>
                      </c:ext>
                    </c:extLst>
                    <c:numCache>
                      <c:formatCode>General</c:formatCode>
                      <c:ptCount val="11"/>
                      <c:pt idx="0">
                        <c:v>0</c:v>
                      </c:pt>
                      <c:pt idx="1">
                        <c:v>1.0988004920808345E-2</c:v>
                      </c:pt>
                      <c:pt idx="2">
                        <c:v>4.3952019683233381E-2</c:v>
                      </c:pt>
                      <c:pt idx="3">
                        <c:v>9.8892044287275077E-2</c:v>
                      </c:pt>
                      <c:pt idx="4">
                        <c:v>0.17580807873293353</c:v>
                      </c:pt>
                      <c:pt idx="5">
                        <c:v>0.27470012302020858</c:v>
                      </c:pt>
                      <c:pt idx="6">
                        <c:v>0.39556817714910031</c:v>
                      </c:pt>
                      <c:pt idx="7">
                        <c:v>0.53841224111960873</c:v>
                      </c:pt>
                      <c:pt idx="8">
                        <c:v>0.7032323149317341</c:v>
                      </c:pt>
                      <c:pt idx="9">
                        <c:v>0.89002839858547589</c:v>
                      </c:pt>
                      <c:pt idx="10">
                        <c:v>1.0988004920808343</c:v>
                      </c:pt>
                    </c:numCache>
                  </c:numRef>
                </c:yVal>
                <c:smooth val="1"/>
                <c:extLst xmlns:c15="http://schemas.microsoft.com/office/drawing/2012/chart">
                  <c:ext xmlns:c16="http://schemas.microsoft.com/office/drawing/2014/chart" uri="{C3380CC4-5D6E-409C-BE32-E72D297353CC}">
                    <c16:uniqueId val="{0000000A-C4EC-4689-A33E-59E3D99255B2}"/>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'!$G$22:$G$32</c15:sqref>
                        </c15:formulaRef>
                      </c:ext>
                    </c:extLst>
                    <c:numCache>
                      <c:formatCode>General</c:formatCode>
                      <c:ptCount val="11"/>
                      <c:pt idx="0">
                        <c:v>0</c:v>
                      </c:pt>
                      <c:pt idx="1">
                        <c:v>1.1123845640983175E-2</c:v>
                      </c:pt>
                      <c:pt idx="2">
                        <c:v>4.4495382563932699E-2</c:v>
                      </c:pt>
                      <c:pt idx="3">
                        <c:v>0.10011461076884855</c:v>
                      </c:pt>
                      <c:pt idx="4">
                        <c:v>0.1779815302557308</c:v>
                      </c:pt>
                      <c:pt idx="5">
                        <c:v>0.2780961410245793</c:v>
                      </c:pt>
                      <c:pt idx="6">
                        <c:v>0.40045844307539419</c:v>
                      </c:pt>
                      <c:pt idx="7">
                        <c:v>0.54506843640817537</c:v>
                      </c:pt>
                      <c:pt idx="8">
                        <c:v>0.71192612102292319</c:v>
                      </c:pt>
                      <c:pt idx="9">
                        <c:v>0.90103149691963702</c:v>
                      </c:pt>
                      <c:pt idx="10">
                        <c:v>1.1123845640983172</c:v>
                      </c:pt>
                    </c:numCache>
                  </c:numRef>
                </c:yVal>
                <c:smooth val="1"/>
                <c:extLst xmlns:c15="http://schemas.microsoft.com/office/drawing/2012/chart">
                  <c:ext xmlns:c16="http://schemas.microsoft.com/office/drawing/2014/chart" uri="{C3380CC4-5D6E-409C-BE32-E72D297353CC}">
                    <c16:uniqueId val="{0000000B-C4EC-4689-A33E-59E3D99255B2}"/>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'!$H$22:$H$32</c15:sqref>
                        </c15:formulaRef>
                      </c:ext>
                    </c:extLst>
                    <c:numCache>
                      <c:formatCode>General</c:formatCode>
                      <c:ptCount val="11"/>
                      <c:pt idx="0">
                        <c:v>0</c:v>
                      </c:pt>
                      <c:pt idx="1">
                        <c:v>1.1052105342948457E-2</c:v>
                      </c:pt>
                      <c:pt idx="2">
                        <c:v>4.420842137179383E-2</c:v>
                      </c:pt>
                      <c:pt idx="3">
                        <c:v>9.9468948086536085E-2</c:v>
                      </c:pt>
                      <c:pt idx="4">
                        <c:v>0.17683368548717532</c:v>
                      </c:pt>
                      <c:pt idx="5">
                        <c:v>0.27630263357371138</c:v>
                      </c:pt>
                      <c:pt idx="6">
                        <c:v>0.39787579234614434</c:v>
                      </c:pt>
                      <c:pt idx="7">
                        <c:v>0.54155316180447421</c:v>
                      </c:pt>
                      <c:pt idx="8">
                        <c:v>0.70733474194870127</c:v>
                      </c:pt>
                      <c:pt idx="9">
                        <c:v>0.89522053277882496</c:v>
                      </c:pt>
                      <c:pt idx="10">
                        <c:v>1.1052105342948455</c:v>
                      </c:pt>
                    </c:numCache>
                  </c:numRef>
                </c:yVal>
                <c:smooth val="1"/>
                <c:extLst xmlns:c15="http://schemas.microsoft.com/office/drawing/2012/chart">
                  <c:ext xmlns:c16="http://schemas.microsoft.com/office/drawing/2014/chart" uri="{C3380CC4-5D6E-409C-BE32-E72D297353CC}">
                    <c16:uniqueId val="{0000000C-C4EC-4689-A33E-59E3D99255B2}"/>
                  </c:ext>
                </c:extLst>
              </c15:ser>
            </c15:filteredScatterSeries>
          </c:ext>
        </c:extLst>
      </c:scatterChart>
      <c:valAx>
        <c:axId val="-1938564064"/>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0048"/>
        <c:crosses val="autoZero"/>
        <c:crossBetween val="midCat"/>
      </c:valAx>
      <c:valAx>
        <c:axId val="-1938570048"/>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KT</a:t>
                </a:r>
                <a:r>
                  <a:rPr lang="en-US" baseline="0"/>
                  <a:t> 10KQ </a:t>
                </a:r>
                <a:r>
                  <a:rPr lang="el-GR" baseline="0"/>
                  <a:t>η</a:t>
                </a:r>
                <a:r>
                  <a:rPr lang="en-US" baseline="0"/>
                  <a:t>o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4064"/>
        <c:crosses val="autoZero"/>
        <c:crossBetween val="midCat"/>
        <c:majorUnit val="0.1"/>
      </c:valAx>
      <c:spPr>
        <a:noFill/>
        <a:ln w="0">
          <a:solidFill>
            <a:schemeClr val="accent4"/>
          </a:solidFill>
        </a:ln>
        <a:effectLst/>
      </c:spPr>
    </c:plotArea>
    <c:legend>
      <c:legendPos val="t"/>
      <c:layout>
        <c:manualLayout>
          <c:xMode val="edge"/>
          <c:yMode val="edge"/>
          <c:x val="2.1553290171449659E-2"/>
          <c:y val="7.707961239542245E-2"/>
          <c:w val="0.89885609518813214"/>
          <c:h val="6.117557327301620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CLEAN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BEDD-497C-8094-0AAA3ED9E851}"/>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BEDD-497C-8094-0AAA3ED9E851}"/>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BEDD-497C-8094-0AAA3ED9E851}"/>
            </c:ext>
          </c:extLst>
        </c:ser>
        <c:ser>
          <c:idx val="6"/>
          <c:order val="6"/>
          <c:tx>
            <c:v>11 knot</c:v>
          </c:tx>
          <c:spPr>
            <a:ln w="0" cap="rnd">
              <a:solidFill>
                <a:schemeClr val="accent1">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'!$F$22:$F$32</c:f>
              <c:numCache>
                <c:formatCode>General</c:formatCode>
                <c:ptCount val="11"/>
                <c:pt idx="0">
                  <c:v>0</c:v>
                </c:pt>
                <c:pt idx="1">
                  <c:v>1.0988004920808345E-2</c:v>
                </c:pt>
                <c:pt idx="2">
                  <c:v>4.3952019683233381E-2</c:v>
                </c:pt>
                <c:pt idx="3">
                  <c:v>9.8892044287275077E-2</c:v>
                </c:pt>
                <c:pt idx="4">
                  <c:v>0.17580807873293353</c:v>
                </c:pt>
                <c:pt idx="5">
                  <c:v>0.27470012302020858</c:v>
                </c:pt>
                <c:pt idx="6">
                  <c:v>0.39556817714910031</c:v>
                </c:pt>
                <c:pt idx="7">
                  <c:v>0.53841224111960873</c:v>
                </c:pt>
                <c:pt idx="8">
                  <c:v>0.7032323149317341</c:v>
                </c:pt>
                <c:pt idx="9">
                  <c:v>0.89002839858547589</c:v>
                </c:pt>
                <c:pt idx="10">
                  <c:v>1.0988004920808343</c:v>
                </c:pt>
              </c:numCache>
            </c:numRef>
          </c:yVal>
          <c:smooth val="1"/>
          <c:extLst xmlns:c15="http://schemas.microsoft.com/office/drawing/2012/chart">
            <c:ext xmlns:c16="http://schemas.microsoft.com/office/drawing/2014/chart" uri="{C3380CC4-5D6E-409C-BE32-E72D297353CC}">
              <c16:uniqueId val="{00000003-BEDD-497C-8094-0AAA3ED9E851}"/>
            </c:ext>
          </c:extLst>
        </c:ser>
        <c:ser>
          <c:idx val="9"/>
          <c:order val="9"/>
          <c:spPr>
            <a:ln w="3175" cap="rnd">
              <a:solidFill>
                <a:schemeClr val="accent4">
                  <a:lumMod val="60000"/>
                </a:schemeClr>
              </a:solidFill>
              <a:round/>
            </a:ln>
            <a:effectLst/>
          </c:spPr>
          <c:marker>
            <c:symbol val="none"/>
          </c:marker>
          <c:xVal>
            <c:numRef>
              <c:f>'[4]EPM '!$AQ$152:$AQ$159</c:f>
              <c:numCache>
                <c:formatCode>General</c:formatCode>
                <c:ptCount val="8"/>
                <c:pt idx="0">
                  <c:v>0.47</c:v>
                </c:pt>
                <c:pt idx="1">
                  <c:v>0.47</c:v>
                </c:pt>
                <c:pt idx="2">
                  <c:v>0.47</c:v>
                </c:pt>
                <c:pt idx="3">
                  <c:v>0.47</c:v>
                </c:pt>
                <c:pt idx="4">
                  <c:v>0.47</c:v>
                </c:pt>
                <c:pt idx="5">
                  <c:v>0.47</c:v>
                </c:pt>
                <c:pt idx="6">
                  <c:v>0.47</c:v>
                </c:pt>
                <c:pt idx="7">
                  <c:v>0.47</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BEDD-497C-8094-0AAA3ED9E851}"/>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'!$AS$152:$AS$159</c:f>
              <c:numCache>
                <c:formatCode>General</c:formatCode>
                <c:ptCount val="8"/>
                <c:pt idx="0">
                  <c:v>0.21</c:v>
                </c:pt>
                <c:pt idx="1">
                  <c:v>0.21</c:v>
                </c:pt>
                <c:pt idx="2">
                  <c:v>0.21</c:v>
                </c:pt>
                <c:pt idx="3">
                  <c:v>0.21</c:v>
                </c:pt>
                <c:pt idx="4">
                  <c:v>0.21</c:v>
                </c:pt>
                <c:pt idx="5">
                  <c:v>0.21</c:v>
                </c:pt>
                <c:pt idx="6">
                  <c:v>0.21</c:v>
                </c:pt>
                <c:pt idx="7">
                  <c:v>0.21</c:v>
                </c:pt>
              </c:numCache>
            </c:numRef>
          </c:yVal>
          <c:smooth val="1"/>
          <c:extLst>
            <c:ext xmlns:c16="http://schemas.microsoft.com/office/drawing/2014/chart" uri="{C3380CC4-5D6E-409C-BE32-E72D297353CC}">
              <c16:uniqueId val="{00000005-BEDD-497C-8094-0AAA3ED9E851}"/>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'!$AU$152:$AU$159</c:f>
              <c:numCache>
                <c:formatCode>General</c:formatCode>
                <c:ptCount val="8"/>
                <c:pt idx="0">
                  <c:v>0.26700000000000002</c:v>
                </c:pt>
                <c:pt idx="1">
                  <c:v>0.26700000000000002</c:v>
                </c:pt>
                <c:pt idx="2">
                  <c:v>0.26700000000000002</c:v>
                </c:pt>
                <c:pt idx="3">
                  <c:v>0.26700000000000002</c:v>
                </c:pt>
                <c:pt idx="4">
                  <c:v>0.26700000000000002</c:v>
                </c:pt>
                <c:pt idx="5">
                  <c:v>0.26700000000000002</c:v>
                </c:pt>
                <c:pt idx="6">
                  <c:v>0.26700000000000002</c:v>
                </c:pt>
                <c:pt idx="7">
                  <c:v>0.26700000000000002</c:v>
                </c:pt>
              </c:numCache>
            </c:numRef>
          </c:yVal>
          <c:smooth val="1"/>
          <c:extLst>
            <c:ext xmlns:c16="http://schemas.microsoft.com/office/drawing/2014/chart" uri="{C3380CC4-5D6E-409C-BE32-E72D297353CC}">
              <c16:uniqueId val="{00000006-BEDD-497C-8094-0AAA3ED9E851}"/>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'!$AW$152:$AW$162</c:f>
              <c:numCache>
                <c:formatCode>General</c:formatCode>
                <c:ptCount val="11"/>
                <c:pt idx="0">
                  <c:v>0.53</c:v>
                </c:pt>
                <c:pt idx="1">
                  <c:v>0.53</c:v>
                </c:pt>
                <c:pt idx="2">
                  <c:v>0.53</c:v>
                </c:pt>
                <c:pt idx="3">
                  <c:v>0.53</c:v>
                </c:pt>
                <c:pt idx="4">
                  <c:v>0.53</c:v>
                </c:pt>
                <c:pt idx="5">
                  <c:v>0.53</c:v>
                </c:pt>
                <c:pt idx="6">
                  <c:v>0.53</c:v>
                </c:pt>
                <c:pt idx="7">
                  <c:v>0.53</c:v>
                </c:pt>
                <c:pt idx="8">
                  <c:v>0.53</c:v>
                </c:pt>
                <c:pt idx="9">
                  <c:v>0.53</c:v>
                </c:pt>
                <c:pt idx="10">
                  <c:v>0.53</c:v>
                </c:pt>
              </c:numCache>
            </c:numRef>
          </c:yVal>
          <c:smooth val="1"/>
          <c:extLst>
            <c:ext xmlns:c16="http://schemas.microsoft.com/office/drawing/2014/chart" uri="{C3380CC4-5D6E-409C-BE32-E72D297353CC}">
              <c16:uniqueId val="{00000007-BEDD-497C-8094-0AAA3ED9E851}"/>
            </c:ext>
          </c:extLst>
        </c:ser>
        <c:dLbls>
          <c:showLegendKey val="0"/>
          <c:showVal val="0"/>
          <c:showCatName val="0"/>
          <c:showSerName val="0"/>
          <c:showPercent val="0"/>
          <c:showBubbleSize val="0"/>
        </c:dLbls>
        <c:axId val="-1938564064"/>
        <c:axId val="-1938570048"/>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'!$C$22:$C$32</c15:sqref>
                        </c15:formulaRef>
                      </c:ext>
                    </c:extLst>
                    <c:numCache>
                      <c:formatCode>General</c:formatCode>
                      <c:ptCount val="11"/>
                      <c:pt idx="0">
                        <c:v>0</c:v>
                      </c:pt>
                      <c:pt idx="1">
                        <c:v>1.2347028180244494E-2</c:v>
                      </c:pt>
                      <c:pt idx="2">
                        <c:v>4.9388112720977977E-2</c:v>
                      </c:pt>
                      <c:pt idx="3">
                        <c:v>0.11112325362220044</c:v>
                      </c:pt>
                      <c:pt idx="4">
                        <c:v>0.19755245088391191</c:v>
                      </c:pt>
                      <c:pt idx="5">
                        <c:v>0.30867570450611231</c:v>
                      </c:pt>
                      <c:pt idx="6">
                        <c:v>0.44449301448880174</c:v>
                      </c:pt>
                      <c:pt idx="7">
                        <c:v>0.60500438083198005</c:v>
                      </c:pt>
                      <c:pt idx="8">
                        <c:v>0.79020980353564763</c:v>
                      </c:pt>
                      <c:pt idx="9">
                        <c:v>1.0001092825998039</c:v>
                      </c:pt>
                      <c:pt idx="10">
                        <c:v>1.2347028180244493</c:v>
                      </c:pt>
                    </c:numCache>
                  </c:numRef>
                </c:yVal>
                <c:smooth val="1"/>
                <c:extLst>
                  <c:ext xmlns:c16="http://schemas.microsoft.com/office/drawing/2014/chart" uri="{C3380CC4-5D6E-409C-BE32-E72D297353CC}">
                    <c16:uniqueId val="{00000008-BEDD-497C-8094-0AAA3ED9E851}"/>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'!$D$22:$D$32</c15:sqref>
                        </c15:formulaRef>
                      </c:ext>
                    </c:extLst>
                    <c:numCache>
                      <c:formatCode>General</c:formatCode>
                      <c:ptCount val="11"/>
                      <c:pt idx="0">
                        <c:v>0</c:v>
                      </c:pt>
                      <c:pt idx="1">
                        <c:v>1.1667119211544301E-2</c:v>
                      </c:pt>
                      <c:pt idx="2">
                        <c:v>4.6668476846177205E-2</c:v>
                      </c:pt>
                      <c:pt idx="3">
                        <c:v>0.10500407290389868</c:v>
                      </c:pt>
                      <c:pt idx="4">
                        <c:v>0.18667390738470882</c:v>
                      </c:pt>
                      <c:pt idx="5">
                        <c:v>0.29167798028860747</c:v>
                      </c:pt>
                      <c:pt idx="6">
                        <c:v>0.42001629161559473</c:v>
                      </c:pt>
                      <c:pt idx="7">
                        <c:v>0.57168884136567055</c:v>
                      </c:pt>
                      <c:pt idx="8">
                        <c:v>0.74669562953883528</c:v>
                      </c:pt>
                      <c:pt idx="9">
                        <c:v>0.94503665613508825</c:v>
                      </c:pt>
                      <c:pt idx="10">
                        <c:v>1.1667119211544299</c:v>
                      </c:pt>
                    </c:numCache>
                  </c:numRef>
                </c:yVal>
                <c:smooth val="1"/>
                <c:extLst xmlns:c15="http://schemas.microsoft.com/office/drawing/2012/chart">
                  <c:ext xmlns:c16="http://schemas.microsoft.com/office/drawing/2014/chart" uri="{C3380CC4-5D6E-409C-BE32-E72D297353CC}">
                    <c16:uniqueId val="{00000009-BEDD-497C-8094-0AAA3ED9E851}"/>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'!$E$22:$E$32</c15:sqref>
                        </c15:formulaRef>
                      </c:ext>
                    </c:extLst>
                    <c:numCache>
                      <c:formatCode>General</c:formatCode>
                      <c:ptCount val="11"/>
                      <c:pt idx="0">
                        <c:v>0</c:v>
                      </c:pt>
                      <c:pt idx="1">
                        <c:v>1.1335991950885837E-2</c:v>
                      </c:pt>
                      <c:pt idx="2">
                        <c:v>4.5343967803543349E-2</c:v>
                      </c:pt>
                      <c:pt idx="3">
                        <c:v>0.10202392755797252</c:v>
                      </c:pt>
                      <c:pt idx="4">
                        <c:v>0.1813758712141734</c:v>
                      </c:pt>
                      <c:pt idx="5">
                        <c:v>0.28339979877214588</c:v>
                      </c:pt>
                      <c:pt idx="6">
                        <c:v>0.40809571023189006</c:v>
                      </c:pt>
                      <c:pt idx="7">
                        <c:v>0.55546360559340591</c:v>
                      </c:pt>
                      <c:pt idx="8">
                        <c:v>0.72550348485669358</c:v>
                      </c:pt>
                      <c:pt idx="9">
                        <c:v>0.91821534802175275</c:v>
                      </c:pt>
                      <c:pt idx="10">
                        <c:v>1.1335991950885835</c:v>
                      </c:pt>
                    </c:numCache>
                  </c:numRef>
                </c:yVal>
                <c:smooth val="1"/>
                <c:extLst xmlns:c15="http://schemas.microsoft.com/office/drawing/2012/chart">
                  <c:ext xmlns:c16="http://schemas.microsoft.com/office/drawing/2014/chart" uri="{C3380CC4-5D6E-409C-BE32-E72D297353CC}">
                    <c16:uniqueId val="{0000000A-BEDD-497C-8094-0AAA3ED9E851}"/>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'!$G$22:$G$32</c15:sqref>
                        </c15:formulaRef>
                      </c:ext>
                    </c:extLst>
                    <c:numCache>
                      <c:formatCode>General</c:formatCode>
                      <c:ptCount val="11"/>
                      <c:pt idx="0">
                        <c:v>0</c:v>
                      </c:pt>
                      <c:pt idx="1">
                        <c:v>1.1123845640983175E-2</c:v>
                      </c:pt>
                      <c:pt idx="2">
                        <c:v>4.4495382563932699E-2</c:v>
                      </c:pt>
                      <c:pt idx="3">
                        <c:v>0.10011461076884855</c:v>
                      </c:pt>
                      <c:pt idx="4">
                        <c:v>0.1779815302557308</c:v>
                      </c:pt>
                      <c:pt idx="5">
                        <c:v>0.2780961410245793</c:v>
                      </c:pt>
                      <c:pt idx="6">
                        <c:v>0.40045844307539419</c:v>
                      </c:pt>
                      <c:pt idx="7">
                        <c:v>0.54506843640817537</c:v>
                      </c:pt>
                      <c:pt idx="8">
                        <c:v>0.71192612102292319</c:v>
                      </c:pt>
                      <c:pt idx="9">
                        <c:v>0.90103149691963702</c:v>
                      </c:pt>
                      <c:pt idx="10">
                        <c:v>1.1123845640983172</c:v>
                      </c:pt>
                    </c:numCache>
                  </c:numRef>
                </c:yVal>
                <c:smooth val="1"/>
                <c:extLst xmlns:c15="http://schemas.microsoft.com/office/drawing/2012/chart">
                  <c:ext xmlns:c16="http://schemas.microsoft.com/office/drawing/2014/chart" uri="{C3380CC4-5D6E-409C-BE32-E72D297353CC}">
                    <c16:uniqueId val="{0000000B-BEDD-497C-8094-0AAA3ED9E851}"/>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'!$H$22:$H$32</c15:sqref>
                        </c15:formulaRef>
                      </c:ext>
                    </c:extLst>
                    <c:numCache>
                      <c:formatCode>General</c:formatCode>
                      <c:ptCount val="11"/>
                      <c:pt idx="0">
                        <c:v>0</c:v>
                      </c:pt>
                      <c:pt idx="1">
                        <c:v>1.1052105342948457E-2</c:v>
                      </c:pt>
                      <c:pt idx="2">
                        <c:v>4.420842137179383E-2</c:v>
                      </c:pt>
                      <c:pt idx="3">
                        <c:v>9.9468948086536085E-2</c:v>
                      </c:pt>
                      <c:pt idx="4">
                        <c:v>0.17683368548717532</c:v>
                      </c:pt>
                      <c:pt idx="5">
                        <c:v>0.27630263357371138</c:v>
                      </c:pt>
                      <c:pt idx="6">
                        <c:v>0.39787579234614434</c:v>
                      </c:pt>
                      <c:pt idx="7">
                        <c:v>0.54155316180447421</c:v>
                      </c:pt>
                      <c:pt idx="8">
                        <c:v>0.70733474194870127</c:v>
                      </c:pt>
                      <c:pt idx="9">
                        <c:v>0.89522053277882496</c:v>
                      </c:pt>
                      <c:pt idx="10">
                        <c:v>1.1052105342948455</c:v>
                      </c:pt>
                    </c:numCache>
                  </c:numRef>
                </c:yVal>
                <c:smooth val="1"/>
                <c:extLst xmlns:c15="http://schemas.microsoft.com/office/drawing/2012/chart">
                  <c:ext xmlns:c16="http://schemas.microsoft.com/office/drawing/2014/chart" uri="{C3380CC4-5D6E-409C-BE32-E72D297353CC}">
                    <c16:uniqueId val="{0000000C-BEDD-497C-8094-0AAA3ED9E851}"/>
                  </c:ext>
                </c:extLst>
              </c15:ser>
            </c15:filteredScatterSeries>
          </c:ext>
        </c:extLst>
      </c:scatterChart>
      <c:valAx>
        <c:axId val="-1938564064"/>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0048"/>
        <c:crosses val="autoZero"/>
        <c:crossBetween val="midCat"/>
      </c:valAx>
      <c:valAx>
        <c:axId val="-1938570048"/>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KT</a:t>
                </a:r>
                <a:r>
                  <a:rPr lang="en-US" baseline="0"/>
                  <a:t> 10KQ </a:t>
                </a:r>
                <a:r>
                  <a:rPr lang="el-GR" baseline="0"/>
                  <a:t>η</a:t>
                </a:r>
                <a:r>
                  <a:rPr lang="en-US" baseline="0"/>
                  <a:t>o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4064"/>
        <c:crosses val="autoZero"/>
        <c:crossBetween val="midCat"/>
        <c:majorUnit val="0.1"/>
      </c:valAx>
      <c:spPr>
        <a:noFill/>
        <a:ln w="0">
          <a:solidFill>
            <a:schemeClr val="accent4"/>
          </a:solidFill>
        </a:ln>
        <a:effectLst/>
      </c:spPr>
    </c:plotArea>
    <c:legend>
      <c:legendPos val="t"/>
      <c:layout>
        <c:manualLayout>
          <c:xMode val="edge"/>
          <c:yMode val="edge"/>
          <c:x val="2.1553290171449659E-2"/>
          <c:y val="7.707961239542245E-2"/>
          <c:w val="0.89885609518813214"/>
          <c:h val="6.117557327301620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CLEAN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C08E-42D3-BCDE-EF499EE3FDC1}"/>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C08E-42D3-BCDE-EF499EE3FDC1}"/>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C08E-42D3-BCDE-EF499EE3FDC1}"/>
            </c:ext>
          </c:extLst>
        </c:ser>
        <c:ser>
          <c:idx val="7"/>
          <c:order val="7"/>
          <c:tx>
            <c:v>10 knot</c:v>
          </c:tx>
          <c:spPr>
            <a:ln w="0" cap="rnd">
              <a:solidFill>
                <a:schemeClr val="accent2">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'!$G$22:$G$32</c:f>
              <c:numCache>
                <c:formatCode>General</c:formatCode>
                <c:ptCount val="11"/>
                <c:pt idx="0">
                  <c:v>0</c:v>
                </c:pt>
                <c:pt idx="1">
                  <c:v>1.1123845640983175E-2</c:v>
                </c:pt>
                <c:pt idx="2">
                  <c:v>4.4495382563932699E-2</c:v>
                </c:pt>
                <c:pt idx="3">
                  <c:v>0.10011461076884855</c:v>
                </c:pt>
                <c:pt idx="4">
                  <c:v>0.1779815302557308</c:v>
                </c:pt>
                <c:pt idx="5">
                  <c:v>0.2780961410245793</c:v>
                </c:pt>
                <c:pt idx="6">
                  <c:v>0.40045844307539419</c:v>
                </c:pt>
                <c:pt idx="7">
                  <c:v>0.54506843640817537</c:v>
                </c:pt>
                <c:pt idx="8">
                  <c:v>0.71192612102292319</c:v>
                </c:pt>
                <c:pt idx="9">
                  <c:v>0.90103149691963702</c:v>
                </c:pt>
                <c:pt idx="10">
                  <c:v>1.1123845640983172</c:v>
                </c:pt>
              </c:numCache>
            </c:numRef>
          </c:yVal>
          <c:smooth val="1"/>
          <c:extLst xmlns:c15="http://schemas.microsoft.com/office/drawing/2012/chart">
            <c:ext xmlns:c16="http://schemas.microsoft.com/office/drawing/2014/chart" uri="{C3380CC4-5D6E-409C-BE32-E72D297353CC}">
              <c16:uniqueId val="{00000003-C08E-42D3-BCDE-EF499EE3FDC1}"/>
            </c:ext>
          </c:extLst>
        </c:ser>
        <c:ser>
          <c:idx val="9"/>
          <c:order val="9"/>
          <c:spPr>
            <a:ln w="3175" cap="rnd">
              <a:solidFill>
                <a:schemeClr val="accent4">
                  <a:lumMod val="60000"/>
                </a:schemeClr>
              </a:solidFill>
              <a:round/>
            </a:ln>
            <a:effectLst/>
          </c:spPr>
          <c:marker>
            <c:symbol val="none"/>
          </c:marker>
          <c:xVal>
            <c:numRef>
              <c:f>'[4]EPM '!$BA$152:$BA$159</c:f>
              <c:numCache>
                <c:formatCode>General</c:formatCode>
                <c:ptCount val="8"/>
                <c:pt idx="0">
                  <c:v>0.46800000000000003</c:v>
                </c:pt>
                <c:pt idx="1">
                  <c:v>0.46800000000000003</c:v>
                </c:pt>
                <c:pt idx="2">
                  <c:v>0.46800000000000003</c:v>
                </c:pt>
                <c:pt idx="3">
                  <c:v>0.46800000000000003</c:v>
                </c:pt>
                <c:pt idx="4">
                  <c:v>0.46800000000000003</c:v>
                </c:pt>
                <c:pt idx="5">
                  <c:v>0.46800000000000003</c:v>
                </c:pt>
                <c:pt idx="6">
                  <c:v>0.46800000000000003</c:v>
                </c:pt>
                <c:pt idx="7">
                  <c:v>0.46800000000000003</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C08E-42D3-BCDE-EF499EE3FDC1}"/>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'!$BC$152:$BC$159</c:f>
              <c:numCache>
                <c:formatCode>General</c:formatCode>
                <c:ptCount val="8"/>
                <c:pt idx="0">
                  <c:v>0.21199999999999999</c:v>
                </c:pt>
                <c:pt idx="1">
                  <c:v>0.21199999999999999</c:v>
                </c:pt>
                <c:pt idx="2">
                  <c:v>0.21199999999999999</c:v>
                </c:pt>
                <c:pt idx="3">
                  <c:v>0.21199999999999999</c:v>
                </c:pt>
                <c:pt idx="4">
                  <c:v>0.21199999999999999</c:v>
                </c:pt>
                <c:pt idx="5">
                  <c:v>0.21199999999999999</c:v>
                </c:pt>
                <c:pt idx="6">
                  <c:v>0.21199999999999999</c:v>
                </c:pt>
                <c:pt idx="7">
                  <c:v>0.21199999999999999</c:v>
                </c:pt>
              </c:numCache>
            </c:numRef>
          </c:yVal>
          <c:smooth val="1"/>
          <c:extLst>
            <c:ext xmlns:c16="http://schemas.microsoft.com/office/drawing/2014/chart" uri="{C3380CC4-5D6E-409C-BE32-E72D297353CC}">
              <c16:uniqueId val="{00000005-C08E-42D3-BCDE-EF499EE3FDC1}"/>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'!$BE$152:$BE$159</c:f>
              <c:numCache>
                <c:formatCode>General</c:formatCode>
                <c:ptCount val="8"/>
                <c:pt idx="0">
                  <c:v>0.26800000000000002</c:v>
                </c:pt>
                <c:pt idx="1">
                  <c:v>0.26800000000000002</c:v>
                </c:pt>
                <c:pt idx="2">
                  <c:v>0.26800000000000002</c:v>
                </c:pt>
                <c:pt idx="3">
                  <c:v>0.26800000000000002</c:v>
                </c:pt>
                <c:pt idx="4">
                  <c:v>0.26800000000000002</c:v>
                </c:pt>
                <c:pt idx="5">
                  <c:v>0.26800000000000002</c:v>
                </c:pt>
                <c:pt idx="6">
                  <c:v>0.26800000000000002</c:v>
                </c:pt>
                <c:pt idx="7">
                  <c:v>0.26800000000000002</c:v>
                </c:pt>
              </c:numCache>
            </c:numRef>
          </c:yVal>
          <c:smooth val="1"/>
          <c:extLst>
            <c:ext xmlns:c16="http://schemas.microsoft.com/office/drawing/2014/chart" uri="{C3380CC4-5D6E-409C-BE32-E72D297353CC}">
              <c16:uniqueId val="{00000006-C08E-42D3-BCDE-EF499EE3FDC1}"/>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'!$BG$152:$BG$162</c:f>
              <c:numCache>
                <c:formatCode>General</c:formatCode>
                <c:ptCount val="11"/>
                <c:pt idx="0">
                  <c:v>0.52700000000000002</c:v>
                </c:pt>
                <c:pt idx="1">
                  <c:v>0.52700000000000002</c:v>
                </c:pt>
                <c:pt idx="2">
                  <c:v>0.52700000000000002</c:v>
                </c:pt>
                <c:pt idx="3">
                  <c:v>0.52700000000000002</c:v>
                </c:pt>
                <c:pt idx="4">
                  <c:v>0.52700000000000002</c:v>
                </c:pt>
                <c:pt idx="5">
                  <c:v>0.52700000000000002</c:v>
                </c:pt>
                <c:pt idx="6">
                  <c:v>0.52700000000000002</c:v>
                </c:pt>
                <c:pt idx="7">
                  <c:v>0.52700000000000002</c:v>
                </c:pt>
                <c:pt idx="8">
                  <c:v>0.52700000000000002</c:v>
                </c:pt>
                <c:pt idx="9">
                  <c:v>0.52700000000000002</c:v>
                </c:pt>
                <c:pt idx="10">
                  <c:v>0.52700000000000002</c:v>
                </c:pt>
              </c:numCache>
            </c:numRef>
          </c:yVal>
          <c:smooth val="1"/>
          <c:extLst>
            <c:ext xmlns:c16="http://schemas.microsoft.com/office/drawing/2014/chart" uri="{C3380CC4-5D6E-409C-BE32-E72D297353CC}">
              <c16:uniqueId val="{00000007-C08E-42D3-BCDE-EF499EE3FDC1}"/>
            </c:ext>
          </c:extLst>
        </c:ser>
        <c:dLbls>
          <c:showLegendKey val="0"/>
          <c:showVal val="0"/>
          <c:showCatName val="0"/>
          <c:showSerName val="0"/>
          <c:showPercent val="0"/>
          <c:showBubbleSize val="0"/>
        </c:dLbls>
        <c:axId val="-1938564064"/>
        <c:axId val="-1938570048"/>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'!$C$22:$C$32</c15:sqref>
                        </c15:formulaRef>
                      </c:ext>
                    </c:extLst>
                    <c:numCache>
                      <c:formatCode>General</c:formatCode>
                      <c:ptCount val="11"/>
                      <c:pt idx="0">
                        <c:v>0</c:v>
                      </c:pt>
                      <c:pt idx="1">
                        <c:v>1.2347028180244494E-2</c:v>
                      </c:pt>
                      <c:pt idx="2">
                        <c:v>4.9388112720977977E-2</c:v>
                      </c:pt>
                      <c:pt idx="3">
                        <c:v>0.11112325362220044</c:v>
                      </c:pt>
                      <c:pt idx="4">
                        <c:v>0.19755245088391191</c:v>
                      </c:pt>
                      <c:pt idx="5">
                        <c:v>0.30867570450611231</c:v>
                      </c:pt>
                      <c:pt idx="6">
                        <c:v>0.44449301448880174</c:v>
                      </c:pt>
                      <c:pt idx="7">
                        <c:v>0.60500438083198005</c:v>
                      </c:pt>
                      <c:pt idx="8">
                        <c:v>0.79020980353564763</c:v>
                      </c:pt>
                      <c:pt idx="9">
                        <c:v>1.0001092825998039</c:v>
                      </c:pt>
                      <c:pt idx="10">
                        <c:v>1.2347028180244493</c:v>
                      </c:pt>
                    </c:numCache>
                  </c:numRef>
                </c:yVal>
                <c:smooth val="1"/>
                <c:extLst>
                  <c:ext xmlns:c16="http://schemas.microsoft.com/office/drawing/2014/chart" uri="{C3380CC4-5D6E-409C-BE32-E72D297353CC}">
                    <c16:uniqueId val="{00000008-C08E-42D3-BCDE-EF499EE3FDC1}"/>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'!$D$22:$D$32</c15:sqref>
                        </c15:formulaRef>
                      </c:ext>
                    </c:extLst>
                    <c:numCache>
                      <c:formatCode>General</c:formatCode>
                      <c:ptCount val="11"/>
                      <c:pt idx="0">
                        <c:v>0</c:v>
                      </c:pt>
                      <c:pt idx="1">
                        <c:v>1.1667119211544301E-2</c:v>
                      </c:pt>
                      <c:pt idx="2">
                        <c:v>4.6668476846177205E-2</c:v>
                      </c:pt>
                      <c:pt idx="3">
                        <c:v>0.10500407290389868</c:v>
                      </c:pt>
                      <c:pt idx="4">
                        <c:v>0.18667390738470882</c:v>
                      </c:pt>
                      <c:pt idx="5">
                        <c:v>0.29167798028860747</c:v>
                      </c:pt>
                      <c:pt idx="6">
                        <c:v>0.42001629161559473</c:v>
                      </c:pt>
                      <c:pt idx="7">
                        <c:v>0.57168884136567055</c:v>
                      </c:pt>
                      <c:pt idx="8">
                        <c:v>0.74669562953883528</c:v>
                      </c:pt>
                      <c:pt idx="9">
                        <c:v>0.94503665613508825</c:v>
                      </c:pt>
                      <c:pt idx="10">
                        <c:v>1.1667119211544299</c:v>
                      </c:pt>
                    </c:numCache>
                  </c:numRef>
                </c:yVal>
                <c:smooth val="1"/>
                <c:extLst xmlns:c15="http://schemas.microsoft.com/office/drawing/2012/chart">
                  <c:ext xmlns:c16="http://schemas.microsoft.com/office/drawing/2014/chart" uri="{C3380CC4-5D6E-409C-BE32-E72D297353CC}">
                    <c16:uniqueId val="{00000009-C08E-42D3-BCDE-EF499EE3FDC1}"/>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'!$E$22:$E$32</c15:sqref>
                        </c15:formulaRef>
                      </c:ext>
                    </c:extLst>
                    <c:numCache>
                      <c:formatCode>General</c:formatCode>
                      <c:ptCount val="11"/>
                      <c:pt idx="0">
                        <c:v>0</c:v>
                      </c:pt>
                      <c:pt idx="1">
                        <c:v>1.1335991950885837E-2</c:v>
                      </c:pt>
                      <c:pt idx="2">
                        <c:v>4.5343967803543349E-2</c:v>
                      </c:pt>
                      <c:pt idx="3">
                        <c:v>0.10202392755797252</c:v>
                      </c:pt>
                      <c:pt idx="4">
                        <c:v>0.1813758712141734</c:v>
                      </c:pt>
                      <c:pt idx="5">
                        <c:v>0.28339979877214588</c:v>
                      </c:pt>
                      <c:pt idx="6">
                        <c:v>0.40809571023189006</c:v>
                      </c:pt>
                      <c:pt idx="7">
                        <c:v>0.55546360559340591</c:v>
                      </c:pt>
                      <c:pt idx="8">
                        <c:v>0.72550348485669358</c:v>
                      </c:pt>
                      <c:pt idx="9">
                        <c:v>0.91821534802175275</c:v>
                      </c:pt>
                      <c:pt idx="10">
                        <c:v>1.1335991950885835</c:v>
                      </c:pt>
                    </c:numCache>
                  </c:numRef>
                </c:yVal>
                <c:smooth val="1"/>
                <c:extLst xmlns:c15="http://schemas.microsoft.com/office/drawing/2012/chart">
                  <c:ext xmlns:c16="http://schemas.microsoft.com/office/drawing/2014/chart" uri="{C3380CC4-5D6E-409C-BE32-E72D297353CC}">
                    <c16:uniqueId val="{0000000A-C08E-42D3-BCDE-EF499EE3FDC1}"/>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'!$F$22:$F$32</c15:sqref>
                        </c15:formulaRef>
                      </c:ext>
                    </c:extLst>
                    <c:numCache>
                      <c:formatCode>General</c:formatCode>
                      <c:ptCount val="11"/>
                      <c:pt idx="0">
                        <c:v>0</c:v>
                      </c:pt>
                      <c:pt idx="1">
                        <c:v>1.0988004920808345E-2</c:v>
                      </c:pt>
                      <c:pt idx="2">
                        <c:v>4.3952019683233381E-2</c:v>
                      </c:pt>
                      <c:pt idx="3">
                        <c:v>9.8892044287275077E-2</c:v>
                      </c:pt>
                      <c:pt idx="4">
                        <c:v>0.17580807873293353</c:v>
                      </c:pt>
                      <c:pt idx="5">
                        <c:v>0.27470012302020858</c:v>
                      </c:pt>
                      <c:pt idx="6">
                        <c:v>0.39556817714910031</c:v>
                      </c:pt>
                      <c:pt idx="7">
                        <c:v>0.53841224111960873</c:v>
                      </c:pt>
                      <c:pt idx="8">
                        <c:v>0.7032323149317341</c:v>
                      </c:pt>
                      <c:pt idx="9">
                        <c:v>0.89002839858547589</c:v>
                      </c:pt>
                      <c:pt idx="10">
                        <c:v>1.0988004920808343</c:v>
                      </c:pt>
                    </c:numCache>
                  </c:numRef>
                </c:yVal>
                <c:smooth val="1"/>
                <c:extLst xmlns:c15="http://schemas.microsoft.com/office/drawing/2012/chart">
                  <c:ext xmlns:c16="http://schemas.microsoft.com/office/drawing/2014/chart" uri="{C3380CC4-5D6E-409C-BE32-E72D297353CC}">
                    <c16:uniqueId val="{0000000B-C08E-42D3-BCDE-EF499EE3FDC1}"/>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'!$H$22:$H$32</c15:sqref>
                        </c15:formulaRef>
                      </c:ext>
                    </c:extLst>
                    <c:numCache>
                      <c:formatCode>General</c:formatCode>
                      <c:ptCount val="11"/>
                      <c:pt idx="0">
                        <c:v>0</c:v>
                      </c:pt>
                      <c:pt idx="1">
                        <c:v>1.1052105342948457E-2</c:v>
                      </c:pt>
                      <c:pt idx="2">
                        <c:v>4.420842137179383E-2</c:v>
                      </c:pt>
                      <c:pt idx="3">
                        <c:v>9.9468948086536085E-2</c:v>
                      </c:pt>
                      <c:pt idx="4">
                        <c:v>0.17683368548717532</c:v>
                      </c:pt>
                      <c:pt idx="5">
                        <c:v>0.27630263357371138</c:v>
                      </c:pt>
                      <c:pt idx="6">
                        <c:v>0.39787579234614434</c:v>
                      </c:pt>
                      <c:pt idx="7">
                        <c:v>0.54155316180447421</c:v>
                      </c:pt>
                      <c:pt idx="8">
                        <c:v>0.70733474194870127</c:v>
                      </c:pt>
                      <c:pt idx="9">
                        <c:v>0.89522053277882496</c:v>
                      </c:pt>
                      <c:pt idx="10">
                        <c:v>1.1052105342948455</c:v>
                      </c:pt>
                    </c:numCache>
                  </c:numRef>
                </c:yVal>
                <c:smooth val="1"/>
                <c:extLst xmlns:c15="http://schemas.microsoft.com/office/drawing/2012/chart">
                  <c:ext xmlns:c16="http://schemas.microsoft.com/office/drawing/2014/chart" uri="{C3380CC4-5D6E-409C-BE32-E72D297353CC}">
                    <c16:uniqueId val="{0000000C-C08E-42D3-BCDE-EF499EE3FDC1}"/>
                  </c:ext>
                </c:extLst>
              </c15:ser>
            </c15:filteredScatterSeries>
          </c:ext>
        </c:extLst>
      </c:scatterChart>
      <c:valAx>
        <c:axId val="-1938564064"/>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0048"/>
        <c:crosses val="autoZero"/>
        <c:crossBetween val="midCat"/>
      </c:valAx>
      <c:valAx>
        <c:axId val="-1938570048"/>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KT</a:t>
                </a:r>
                <a:r>
                  <a:rPr lang="en-US" baseline="0"/>
                  <a:t> 10KQ </a:t>
                </a:r>
                <a:r>
                  <a:rPr lang="el-GR" baseline="0"/>
                  <a:t>η</a:t>
                </a:r>
                <a:r>
                  <a:rPr lang="en-US" baseline="0"/>
                  <a:t>o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4064"/>
        <c:crosses val="autoZero"/>
        <c:crossBetween val="midCat"/>
        <c:majorUnit val="0.1"/>
      </c:valAx>
      <c:spPr>
        <a:noFill/>
        <a:ln w="0">
          <a:solidFill>
            <a:schemeClr val="accent4"/>
          </a:solidFill>
        </a:ln>
        <a:effectLst/>
      </c:spPr>
    </c:plotArea>
    <c:legend>
      <c:legendPos val="t"/>
      <c:layout>
        <c:manualLayout>
          <c:xMode val="edge"/>
          <c:yMode val="edge"/>
          <c:x val="2.1553290171449659E-2"/>
          <c:y val="7.707961239542245E-2"/>
          <c:w val="0.89885609518813214"/>
          <c:h val="6.117557327301620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CLEAN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458F-44C4-968B-75719F98786A}"/>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458F-44C4-968B-75719F98786A}"/>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458F-44C4-968B-75719F98786A}"/>
            </c:ext>
          </c:extLst>
        </c:ser>
        <c:ser>
          <c:idx val="8"/>
          <c:order val="8"/>
          <c:tx>
            <c:v>9 knot</c:v>
          </c:tx>
          <c:spPr>
            <a:ln w="0" cap="rnd">
              <a:solidFill>
                <a:schemeClr val="accent3">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'!$H$22:$H$32</c:f>
              <c:numCache>
                <c:formatCode>General</c:formatCode>
                <c:ptCount val="11"/>
                <c:pt idx="0">
                  <c:v>0</c:v>
                </c:pt>
                <c:pt idx="1">
                  <c:v>1.1052105342948457E-2</c:v>
                </c:pt>
                <c:pt idx="2">
                  <c:v>4.420842137179383E-2</c:v>
                </c:pt>
                <c:pt idx="3">
                  <c:v>9.9468948086536085E-2</c:v>
                </c:pt>
                <c:pt idx="4">
                  <c:v>0.17683368548717532</c:v>
                </c:pt>
                <c:pt idx="5">
                  <c:v>0.27630263357371138</c:v>
                </c:pt>
                <c:pt idx="6">
                  <c:v>0.39787579234614434</c:v>
                </c:pt>
                <c:pt idx="7">
                  <c:v>0.54155316180447421</c:v>
                </c:pt>
                <c:pt idx="8">
                  <c:v>0.70733474194870127</c:v>
                </c:pt>
                <c:pt idx="9">
                  <c:v>0.89522053277882496</c:v>
                </c:pt>
                <c:pt idx="10">
                  <c:v>1.1052105342948455</c:v>
                </c:pt>
              </c:numCache>
            </c:numRef>
          </c:yVal>
          <c:smooth val="1"/>
          <c:extLst xmlns:c15="http://schemas.microsoft.com/office/drawing/2012/chart">
            <c:ext xmlns:c16="http://schemas.microsoft.com/office/drawing/2014/chart" uri="{C3380CC4-5D6E-409C-BE32-E72D297353CC}">
              <c16:uniqueId val="{00000003-458F-44C4-968B-75719F98786A}"/>
            </c:ext>
          </c:extLst>
        </c:ser>
        <c:ser>
          <c:idx val="9"/>
          <c:order val="9"/>
          <c:spPr>
            <a:ln w="3175" cap="rnd">
              <a:solidFill>
                <a:schemeClr val="accent4">
                  <a:lumMod val="60000"/>
                </a:schemeClr>
              </a:solidFill>
              <a:round/>
            </a:ln>
            <a:effectLst/>
          </c:spPr>
          <c:marker>
            <c:symbol val="none"/>
          </c:marker>
          <c:xVal>
            <c:numRef>
              <c:f>'[4]EPM '!$BK$152:$BK$159</c:f>
              <c:numCache>
                <c:formatCode>General</c:formatCode>
                <c:ptCount val="8"/>
                <c:pt idx="0">
                  <c:v>0.47</c:v>
                </c:pt>
                <c:pt idx="1">
                  <c:v>0.47</c:v>
                </c:pt>
                <c:pt idx="2">
                  <c:v>0.47</c:v>
                </c:pt>
                <c:pt idx="3">
                  <c:v>0.47</c:v>
                </c:pt>
                <c:pt idx="4">
                  <c:v>0.47</c:v>
                </c:pt>
                <c:pt idx="5">
                  <c:v>0.47</c:v>
                </c:pt>
                <c:pt idx="6">
                  <c:v>0.47</c:v>
                </c:pt>
                <c:pt idx="7">
                  <c:v>0.47</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458F-44C4-968B-75719F98786A}"/>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'!$BM$152:$BM$159</c:f>
              <c:numCache>
                <c:formatCode>General</c:formatCode>
                <c:ptCount val="8"/>
                <c:pt idx="0">
                  <c:v>0.21199999999999999</c:v>
                </c:pt>
                <c:pt idx="1">
                  <c:v>0.21199999999999999</c:v>
                </c:pt>
                <c:pt idx="2">
                  <c:v>0.21199999999999999</c:v>
                </c:pt>
                <c:pt idx="3">
                  <c:v>0.21199999999999999</c:v>
                </c:pt>
                <c:pt idx="4">
                  <c:v>0.21199999999999999</c:v>
                </c:pt>
                <c:pt idx="5">
                  <c:v>0.21199999999999999</c:v>
                </c:pt>
                <c:pt idx="6">
                  <c:v>0.21199999999999999</c:v>
                </c:pt>
                <c:pt idx="7">
                  <c:v>0.21199999999999999</c:v>
                </c:pt>
              </c:numCache>
            </c:numRef>
          </c:yVal>
          <c:smooth val="1"/>
          <c:extLst>
            <c:ext xmlns:c16="http://schemas.microsoft.com/office/drawing/2014/chart" uri="{C3380CC4-5D6E-409C-BE32-E72D297353CC}">
              <c16:uniqueId val="{00000005-458F-44C4-968B-75719F98786A}"/>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'!$BO$152:$BO$159</c:f>
              <c:numCache>
                <c:formatCode>General</c:formatCode>
                <c:ptCount val="8"/>
                <c:pt idx="0">
                  <c:v>0.26800000000000002</c:v>
                </c:pt>
                <c:pt idx="1">
                  <c:v>0.26800000000000002</c:v>
                </c:pt>
                <c:pt idx="2">
                  <c:v>0.26800000000000002</c:v>
                </c:pt>
                <c:pt idx="3">
                  <c:v>0.26800000000000002</c:v>
                </c:pt>
                <c:pt idx="4">
                  <c:v>0.26800000000000002</c:v>
                </c:pt>
                <c:pt idx="5">
                  <c:v>0.26800000000000002</c:v>
                </c:pt>
                <c:pt idx="6">
                  <c:v>0.26800000000000002</c:v>
                </c:pt>
                <c:pt idx="7">
                  <c:v>0.26800000000000002</c:v>
                </c:pt>
              </c:numCache>
            </c:numRef>
          </c:yVal>
          <c:smooth val="1"/>
          <c:extLst>
            <c:ext xmlns:c16="http://schemas.microsoft.com/office/drawing/2014/chart" uri="{C3380CC4-5D6E-409C-BE32-E72D297353CC}">
              <c16:uniqueId val="{00000006-458F-44C4-968B-75719F98786A}"/>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'!$BQ$152:$BQ$162</c:f>
              <c:numCache>
                <c:formatCode>General</c:formatCode>
                <c:ptCount val="11"/>
                <c:pt idx="0">
                  <c:v>0.53</c:v>
                </c:pt>
                <c:pt idx="1">
                  <c:v>0.53</c:v>
                </c:pt>
                <c:pt idx="2">
                  <c:v>0.53</c:v>
                </c:pt>
                <c:pt idx="3">
                  <c:v>0.53</c:v>
                </c:pt>
                <c:pt idx="4">
                  <c:v>0.53</c:v>
                </c:pt>
                <c:pt idx="5">
                  <c:v>0.53</c:v>
                </c:pt>
                <c:pt idx="6">
                  <c:v>0.53</c:v>
                </c:pt>
                <c:pt idx="7">
                  <c:v>0.53</c:v>
                </c:pt>
                <c:pt idx="8">
                  <c:v>0.53</c:v>
                </c:pt>
                <c:pt idx="9">
                  <c:v>0.53</c:v>
                </c:pt>
                <c:pt idx="10">
                  <c:v>0.53</c:v>
                </c:pt>
              </c:numCache>
            </c:numRef>
          </c:yVal>
          <c:smooth val="1"/>
          <c:extLst>
            <c:ext xmlns:c16="http://schemas.microsoft.com/office/drawing/2014/chart" uri="{C3380CC4-5D6E-409C-BE32-E72D297353CC}">
              <c16:uniqueId val="{00000007-458F-44C4-968B-75719F98786A}"/>
            </c:ext>
          </c:extLst>
        </c:ser>
        <c:dLbls>
          <c:showLegendKey val="0"/>
          <c:showVal val="0"/>
          <c:showCatName val="0"/>
          <c:showSerName val="0"/>
          <c:showPercent val="0"/>
          <c:showBubbleSize val="0"/>
        </c:dLbls>
        <c:axId val="-1938564064"/>
        <c:axId val="-1938570048"/>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'!$C$22:$C$32</c15:sqref>
                        </c15:formulaRef>
                      </c:ext>
                    </c:extLst>
                    <c:numCache>
                      <c:formatCode>General</c:formatCode>
                      <c:ptCount val="11"/>
                      <c:pt idx="0">
                        <c:v>0</c:v>
                      </c:pt>
                      <c:pt idx="1">
                        <c:v>1.2347028180244494E-2</c:v>
                      </c:pt>
                      <c:pt idx="2">
                        <c:v>4.9388112720977977E-2</c:v>
                      </c:pt>
                      <c:pt idx="3">
                        <c:v>0.11112325362220044</c:v>
                      </c:pt>
                      <c:pt idx="4">
                        <c:v>0.19755245088391191</c:v>
                      </c:pt>
                      <c:pt idx="5">
                        <c:v>0.30867570450611231</c:v>
                      </c:pt>
                      <c:pt idx="6">
                        <c:v>0.44449301448880174</c:v>
                      </c:pt>
                      <c:pt idx="7">
                        <c:v>0.60500438083198005</c:v>
                      </c:pt>
                      <c:pt idx="8">
                        <c:v>0.79020980353564763</c:v>
                      </c:pt>
                      <c:pt idx="9">
                        <c:v>1.0001092825998039</c:v>
                      </c:pt>
                      <c:pt idx="10">
                        <c:v>1.2347028180244493</c:v>
                      </c:pt>
                    </c:numCache>
                  </c:numRef>
                </c:yVal>
                <c:smooth val="1"/>
                <c:extLst>
                  <c:ext xmlns:c16="http://schemas.microsoft.com/office/drawing/2014/chart" uri="{C3380CC4-5D6E-409C-BE32-E72D297353CC}">
                    <c16:uniqueId val="{00000008-458F-44C4-968B-75719F98786A}"/>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'!$D$22:$D$32</c15:sqref>
                        </c15:formulaRef>
                      </c:ext>
                    </c:extLst>
                    <c:numCache>
                      <c:formatCode>General</c:formatCode>
                      <c:ptCount val="11"/>
                      <c:pt idx="0">
                        <c:v>0</c:v>
                      </c:pt>
                      <c:pt idx="1">
                        <c:v>1.1667119211544301E-2</c:v>
                      </c:pt>
                      <c:pt idx="2">
                        <c:v>4.6668476846177205E-2</c:v>
                      </c:pt>
                      <c:pt idx="3">
                        <c:v>0.10500407290389868</c:v>
                      </c:pt>
                      <c:pt idx="4">
                        <c:v>0.18667390738470882</c:v>
                      </c:pt>
                      <c:pt idx="5">
                        <c:v>0.29167798028860747</c:v>
                      </c:pt>
                      <c:pt idx="6">
                        <c:v>0.42001629161559473</c:v>
                      </c:pt>
                      <c:pt idx="7">
                        <c:v>0.57168884136567055</c:v>
                      </c:pt>
                      <c:pt idx="8">
                        <c:v>0.74669562953883528</c:v>
                      </c:pt>
                      <c:pt idx="9">
                        <c:v>0.94503665613508825</c:v>
                      </c:pt>
                      <c:pt idx="10">
                        <c:v>1.1667119211544299</c:v>
                      </c:pt>
                    </c:numCache>
                  </c:numRef>
                </c:yVal>
                <c:smooth val="1"/>
                <c:extLst xmlns:c15="http://schemas.microsoft.com/office/drawing/2012/chart">
                  <c:ext xmlns:c16="http://schemas.microsoft.com/office/drawing/2014/chart" uri="{C3380CC4-5D6E-409C-BE32-E72D297353CC}">
                    <c16:uniqueId val="{00000009-458F-44C4-968B-75719F98786A}"/>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'!$E$22:$E$32</c15:sqref>
                        </c15:formulaRef>
                      </c:ext>
                    </c:extLst>
                    <c:numCache>
                      <c:formatCode>General</c:formatCode>
                      <c:ptCount val="11"/>
                      <c:pt idx="0">
                        <c:v>0</c:v>
                      </c:pt>
                      <c:pt idx="1">
                        <c:v>1.1335991950885837E-2</c:v>
                      </c:pt>
                      <c:pt idx="2">
                        <c:v>4.5343967803543349E-2</c:v>
                      </c:pt>
                      <c:pt idx="3">
                        <c:v>0.10202392755797252</c:v>
                      </c:pt>
                      <c:pt idx="4">
                        <c:v>0.1813758712141734</c:v>
                      </c:pt>
                      <c:pt idx="5">
                        <c:v>0.28339979877214588</c:v>
                      </c:pt>
                      <c:pt idx="6">
                        <c:v>0.40809571023189006</c:v>
                      </c:pt>
                      <c:pt idx="7">
                        <c:v>0.55546360559340591</c:v>
                      </c:pt>
                      <c:pt idx="8">
                        <c:v>0.72550348485669358</c:v>
                      </c:pt>
                      <c:pt idx="9">
                        <c:v>0.91821534802175275</c:v>
                      </c:pt>
                      <c:pt idx="10">
                        <c:v>1.1335991950885835</c:v>
                      </c:pt>
                    </c:numCache>
                  </c:numRef>
                </c:yVal>
                <c:smooth val="1"/>
                <c:extLst xmlns:c15="http://schemas.microsoft.com/office/drawing/2012/chart">
                  <c:ext xmlns:c16="http://schemas.microsoft.com/office/drawing/2014/chart" uri="{C3380CC4-5D6E-409C-BE32-E72D297353CC}">
                    <c16:uniqueId val="{0000000A-458F-44C4-968B-75719F98786A}"/>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'!$F$22:$F$32</c15:sqref>
                        </c15:formulaRef>
                      </c:ext>
                    </c:extLst>
                    <c:numCache>
                      <c:formatCode>General</c:formatCode>
                      <c:ptCount val="11"/>
                      <c:pt idx="0">
                        <c:v>0</c:v>
                      </c:pt>
                      <c:pt idx="1">
                        <c:v>1.0988004920808345E-2</c:v>
                      </c:pt>
                      <c:pt idx="2">
                        <c:v>4.3952019683233381E-2</c:v>
                      </c:pt>
                      <c:pt idx="3">
                        <c:v>9.8892044287275077E-2</c:v>
                      </c:pt>
                      <c:pt idx="4">
                        <c:v>0.17580807873293353</c:v>
                      </c:pt>
                      <c:pt idx="5">
                        <c:v>0.27470012302020858</c:v>
                      </c:pt>
                      <c:pt idx="6">
                        <c:v>0.39556817714910031</c:v>
                      </c:pt>
                      <c:pt idx="7">
                        <c:v>0.53841224111960873</c:v>
                      </c:pt>
                      <c:pt idx="8">
                        <c:v>0.7032323149317341</c:v>
                      </c:pt>
                      <c:pt idx="9">
                        <c:v>0.89002839858547589</c:v>
                      </c:pt>
                      <c:pt idx="10">
                        <c:v>1.0988004920808343</c:v>
                      </c:pt>
                    </c:numCache>
                  </c:numRef>
                </c:yVal>
                <c:smooth val="1"/>
                <c:extLst xmlns:c15="http://schemas.microsoft.com/office/drawing/2012/chart">
                  <c:ext xmlns:c16="http://schemas.microsoft.com/office/drawing/2014/chart" uri="{C3380CC4-5D6E-409C-BE32-E72D297353CC}">
                    <c16:uniqueId val="{0000000B-458F-44C4-968B-75719F98786A}"/>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'!$G$22:$G$32</c15:sqref>
                        </c15:formulaRef>
                      </c:ext>
                    </c:extLst>
                    <c:numCache>
                      <c:formatCode>General</c:formatCode>
                      <c:ptCount val="11"/>
                      <c:pt idx="0">
                        <c:v>0</c:v>
                      </c:pt>
                      <c:pt idx="1">
                        <c:v>1.1123845640983175E-2</c:v>
                      </c:pt>
                      <c:pt idx="2">
                        <c:v>4.4495382563932699E-2</c:v>
                      </c:pt>
                      <c:pt idx="3">
                        <c:v>0.10011461076884855</c:v>
                      </c:pt>
                      <c:pt idx="4">
                        <c:v>0.1779815302557308</c:v>
                      </c:pt>
                      <c:pt idx="5">
                        <c:v>0.2780961410245793</c:v>
                      </c:pt>
                      <c:pt idx="6">
                        <c:v>0.40045844307539419</c:v>
                      </c:pt>
                      <c:pt idx="7">
                        <c:v>0.54506843640817537</c:v>
                      </c:pt>
                      <c:pt idx="8">
                        <c:v>0.71192612102292319</c:v>
                      </c:pt>
                      <c:pt idx="9">
                        <c:v>0.90103149691963702</c:v>
                      </c:pt>
                      <c:pt idx="10">
                        <c:v>1.1123845640983172</c:v>
                      </c:pt>
                    </c:numCache>
                  </c:numRef>
                </c:yVal>
                <c:smooth val="1"/>
                <c:extLst xmlns:c15="http://schemas.microsoft.com/office/drawing/2012/chart">
                  <c:ext xmlns:c16="http://schemas.microsoft.com/office/drawing/2014/chart" uri="{C3380CC4-5D6E-409C-BE32-E72D297353CC}">
                    <c16:uniqueId val="{0000000C-458F-44C4-968B-75719F98786A}"/>
                  </c:ext>
                </c:extLst>
              </c15:ser>
            </c15:filteredScatterSeries>
          </c:ext>
        </c:extLst>
      </c:scatterChart>
      <c:valAx>
        <c:axId val="-1938564064"/>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0048"/>
        <c:crosses val="autoZero"/>
        <c:crossBetween val="midCat"/>
      </c:valAx>
      <c:valAx>
        <c:axId val="-1938570048"/>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KT</a:t>
                </a:r>
                <a:r>
                  <a:rPr lang="en-US" baseline="0"/>
                  <a:t> 10KQ </a:t>
                </a:r>
                <a:r>
                  <a:rPr lang="el-GR" baseline="0"/>
                  <a:t>η</a:t>
                </a:r>
                <a:r>
                  <a:rPr lang="en-US" baseline="0"/>
                  <a:t>o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4064"/>
        <c:crosses val="autoZero"/>
        <c:crossBetween val="midCat"/>
        <c:majorUnit val="0.1"/>
      </c:valAx>
      <c:spPr>
        <a:noFill/>
        <a:ln w="0">
          <a:solidFill>
            <a:schemeClr val="accent4"/>
          </a:solidFill>
        </a:ln>
        <a:effectLst/>
      </c:spPr>
    </c:plotArea>
    <c:legend>
      <c:legendPos val="t"/>
      <c:layout>
        <c:manualLayout>
          <c:xMode val="edge"/>
          <c:yMode val="edge"/>
          <c:x val="2.1553290171449659E-2"/>
          <c:y val="7.707961239542245E-2"/>
          <c:w val="0.89885609518813214"/>
          <c:h val="6.117557327301620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ROUGH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FB47-46FF-8E1D-ADA304D4F5DF}"/>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FB47-46FF-8E1D-ADA304D4F5DF}"/>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FB47-46FF-8E1D-ADA304D4F5DF}"/>
            </c:ext>
          </c:extLst>
        </c:ser>
        <c:ser>
          <c:idx val="4"/>
          <c:order val="4"/>
          <c:tx>
            <c:v>13 knot</c:v>
          </c:tx>
          <c:spPr>
            <a:ln w="0" cap="rnd">
              <a:solidFill>
                <a:schemeClr val="accent5"/>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'!$D$59:$D$69</c:f>
              <c:numCache>
                <c:formatCode>General</c:formatCode>
                <c:ptCount val="11"/>
                <c:pt idx="0">
                  <c:v>0</c:v>
                </c:pt>
                <c:pt idx="1">
                  <c:v>1.4000543053853164E-2</c:v>
                </c:pt>
                <c:pt idx="2">
                  <c:v>5.6002172215412656E-2</c:v>
                </c:pt>
                <c:pt idx="3">
                  <c:v>0.12600488748467845</c:v>
                </c:pt>
                <c:pt idx="4">
                  <c:v>0.22400868886165062</c:v>
                </c:pt>
                <c:pt idx="5">
                  <c:v>0.35001357634632901</c:v>
                </c:pt>
                <c:pt idx="6">
                  <c:v>0.50401954993871378</c:v>
                </c:pt>
                <c:pt idx="7">
                  <c:v>0.6860266096388048</c:v>
                </c:pt>
                <c:pt idx="8">
                  <c:v>0.89603475544660249</c:v>
                </c:pt>
                <c:pt idx="9">
                  <c:v>1.134043987362106</c:v>
                </c:pt>
                <c:pt idx="10">
                  <c:v>1.4000543053853161</c:v>
                </c:pt>
              </c:numCache>
            </c:numRef>
          </c:yVal>
          <c:smooth val="1"/>
          <c:extLst xmlns:c15="http://schemas.microsoft.com/office/drawing/2012/chart">
            <c:ext xmlns:c16="http://schemas.microsoft.com/office/drawing/2014/chart" uri="{C3380CC4-5D6E-409C-BE32-E72D297353CC}">
              <c16:uniqueId val="{00000003-FB47-46FF-8E1D-ADA304D4F5DF}"/>
            </c:ext>
          </c:extLst>
        </c:ser>
        <c:ser>
          <c:idx val="9"/>
          <c:order val="9"/>
          <c:spPr>
            <a:ln w="3175" cap="rnd">
              <a:solidFill>
                <a:schemeClr val="accent4">
                  <a:lumMod val="60000"/>
                </a:schemeClr>
              </a:solidFill>
              <a:round/>
            </a:ln>
            <a:effectLst/>
          </c:spPr>
          <c:marker>
            <c:symbol val="none"/>
          </c:marker>
          <c:xVal>
            <c:numRef>
              <c:f>'[4]EPM '!$W$183:$W$190</c:f>
              <c:numCache>
                <c:formatCode>General</c:formatCode>
                <c:ptCount val="8"/>
                <c:pt idx="0">
                  <c:v>0.433</c:v>
                </c:pt>
                <c:pt idx="1">
                  <c:v>0.433</c:v>
                </c:pt>
                <c:pt idx="2">
                  <c:v>0.433</c:v>
                </c:pt>
                <c:pt idx="3">
                  <c:v>0.433</c:v>
                </c:pt>
                <c:pt idx="4">
                  <c:v>0.433</c:v>
                </c:pt>
                <c:pt idx="5">
                  <c:v>0.433</c:v>
                </c:pt>
                <c:pt idx="6">
                  <c:v>0.433</c:v>
                </c:pt>
                <c:pt idx="7">
                  <c:v>0.433</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FB47-46FF-8E1D-ADA304D4F5DF}"/>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'!$Y$183:$Y$190</c:f>
              <c:numCache>
                <c:formatCode>General</c:formatCode>
                <c:ptCount val="8"/>
                <c:pt idx="0">
                  <c:v>0.23</c:v>
                </c:pt>
                <c:pt idx="1">
                  <c:v>0.23</c:v>
                </c:pt>
                <c:pt idx="2">
                  <c:v>0.23</c:v>
                </c:pt>
                <c:pt idx="3">
                  <c:v>0.23</c:v>
                </c:pt>
                <c:pt idx="4">
                  <c:v>0.23</c:v>
                </c:pt>
                <c:pt idx="5">
                  <c:v>0.23</c:v>
                </c:pt>
                <c:pt idx="6">
                  <c:v>0.23</c:v>
                </c:pt>
                <c:pt idx="7">
                  <c:v>0.23</c:v>
                </c:pt>
              </c:numCache>
            </c:numRef>
          </c:yVal>
          <c:smooth val="1"/>
          <c:extLst>
            <c:ext xmlns:c16="http://schemas.microsoft.com/office/drawing/2014/chart" uri="{C3380CC4-5D6E-409C-BE32-E72D297353CC}">
              <c16:uniqueId val="{00000005-FB47-46FF-8E1D-ADA304D4F5DF}"/>
            </c:ext>
          </c:extLst>
        </c:ser>
        <c:ser>
          <c:idx val="11"/>
          <c:order val="11"/>
          <c:spPr>
            <a:ln w="3175" cap="rnd">
              <a:solidFill>
                <a:schemeClr val="accent6">
                  <a:lumMod val="60000"/>
                </a:schemeClr>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'!$AA$183:$AA$190</c:f>
              <c:numCache>
                <c:formatCode>General</c:formatCode>
                <c:ptCount val="8"/>
                <c:pt idx="0">
                  <c:v>0.28999999999999998</c:v>
                </c:pt>
                <c:pt idx="1">
                  <c:v>0.28999999999999998</c:v>
                </c:pt>
                <c:pt idx="2">
                  <c:v>0.28999999999999998</c:v>
                </c:pt>
                <c:pt idx="3">
                  <c:v>0.28999999999999998</c:v>
                </c:pt>
                <c:pt idx="4">
                  <c:v>0.28999999999999998</c:v>
                </c:pt>
                <c:pt idx="5">
                  <c:v>0.28999999999999998</c:v>
                </c:pt>
                <c:pt idx="6">
                  <c:v>0.28999999999999998</c:v>
                </c:pt>
                <c:pt idx="7">
                  <c:v>0.28999999999999998</c:v>
                </c:pt>
              </c:numCache>
            </c:numRef>
          </c:yVal>
          <c:smooth val="1"/>
          <c:extLst>
            <c:ext xmlns:c16="http://schemas.microsoft.com/office/drawing/2014/chart" uri="{C3380CC4-5D6E-409C-BE32-E72D297353CC}">
              <c16:uniqueId val="{00000006-FB47-46FF-8E1D-ADA304D4F5DF}"/>
            </c:ext>
          </c:extLst>
        </c:ser>
        <c:ser>
          <c:idx val="12"/>
          <c:order val="12"/>
          <c:spPr>
            <a:ln w="3175" cap="rnd">
              <a:solidFill>
                <a:schemeClr val="accent1">
                  <a:lumMod val="80000"/>
                  <a:lumOff val="20000"/>
                </a:schemeClr>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'!$AC$183:$AC$193</c:f>
              <c:numCache>
                <c:formatCode>General</c:formatCode>
                <c:ptCount val="11"/>
                <c:pt idx="0">
                  <c:v>0.495</c:v>
                </c:pt>
                <c:pt idx="1">
                  <c:v>0.495</c:v>
                </c:pt>
                <c:pt idx="2">
                  <c:v>0.495</c:v>
                </c:pt>
                <c:pt idx="3">
                  <c:v>0.495</c:v>
                </c:pt>
                <c:pt idx="4">
                  <c:v>0.495</c:v>
                </c:pt>
                <c:pt idx="5">
                  <c:v>0.495</c:v>
                </c:pt>
                <c:pt idx="6">
                  <c:v>0.495</c:v>
                </c:pt>
                <c:pt idx="7">
                  <c:v>0.495</c:v>
                </c:pt>
                <c:pt idx="8">
                  <c:v>0.495</c:v>
                </c:pt>
                <c:pt idx="9">
                  <c:v>0.495</c:v>
                </c:pt>
                <c:pt idx="10">
                  <c:v>0.495</c:v>
                </c:pt>
              </c:numCache>
            </c:numRef>
          </c:yVal>
          <c:smooth val="1"/>
          <c:extLst>
            <c:ext xmlns:c16="http://schemas.microsoft.com/office/drawing/2014/chart" uri="{C3380CC4-5D6E-409C-BE32-E72D297353CC}">
              <c16:uniqueId val="{00000007-FB47-46FF-8E1D-ADA304D4F5DF}"/>
            </c:ext>
          </c:extLst>
        </c:ser>
        <c:dLbls>
          <c:showLegendKey val="0"/>
          <c:showVal val="0"/>
          <c:showCatName val="0"/>
          <c:showSerName val="0"/>
          <c:showPercent val="0"/>
          <c:showBubbleSize val="0"/>
        </c:dLbls>
        <c:axId val="-1938562976"/>
        <c:axId val="-1938572224"/>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'!$C$59:$C$69</c15:sqref>
                        </c15:formulaRef>
                      </c:ext>
                    </c:extLst>
                    <c:numCache>
                      <c:formatCode>General</c:formatCode>
                      <c:ptCount val="11"/>
                      <c:pt idx="0">
                        <c:v>0</c:v>
                      </c:pt>
                      <c:pt idx="1">
                        <c:v>1.4816433816293393E-2</c:v>
                      </c:pt>
                      <c:pt idx="2">
                        <c:v>5.9265735265173571E-2</c:v>
                      </c:pt>
                      <c:pt idx="3">
                        <c:v>0.13334790434664051</c:v>
                      </c:pt>
                      <c:pt idx="4">
                        <c:v>0.23706294106069428</c:v>
                      </c:pt>
                      <c:pt idx="5">
                        <c:v>0.37041084540733477</c:v>
                      </c:pt>
                      <c:pt idx="6">
                        <c:v>0.53339161738656204</c:v>
                      </c:pt>
                      <c:pt idx="7">
                        <c:v>0.72600525699837604</c:v>
                      </c:pt>
                      <c:pt idx="8">
                        <c:v>0.94825176424277713</c:v>
                      </c:pt>
                      <c:pt idx="9">
                        <c:v>1.2001311391197647</c:v>
                      </c:pt>
                      <c:pt idx="10">
                        <c:v>1.4816433816293391</c:v>
                      </c:pt>
                    </c:numCache>
                  </c:numRef>
                </c:yVal>
                <c:smooth val="1"/>
                <c:extLst>
                  <c:ext xmlns:c16="http://schemas.microsoft.com/office/drawing/2014/chart" uri="{C3380CC4-5D6E-409C-BE32-E72D297353CC}">
                    <c16:uniqueId val="{00000008-FB47-46FF-8E1D-ADA304D4F5DF}"/>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'!$E$59:$E$69</c15:sqref>
                        </c15:formulaRef>
                      </c:ext>
                    </c:extLst>
                    <c:numCache>
                      <c:formatCode>General</c:formatCode>
                      <c:ptCount val="11"/>
                      <c:pt idx="0">
                        <c:v>0</c:v>
                      </c:pt>
                      <c:pt idx="1">
                        <c:v>1.3603190341063002E-2</c:v>
                      </c:pt>
                      <c:pt idx="2">
                        <c:v>5.4412761364252007E-2</c:v>
                      </c:pt>
                      <c:pt idx="3">
                        <c:v>0.12242871306956699</c:v>
                      </c:pt>
                      <c:pt idx="4">
                        <c:v>0.21765104545700803</c:v>
                      </c:pt>
                      <c:pt idx="5">
                        <c:v>0.34007975852657496</c:v>
                      </c:pt>
                      <c:pt idx="6">
                        <c:v>0.48971485227826794</c:v>
                      </c:pt>
                      <c:pt idx="7">
                        <c:v>0.66655632671208687</c:v>
                      </c:pt>
                      <c:pt idx="8">
                        <c:v>0.87060418182803212</c:v>
                      </c:pt>
                      <c:pt idx="9">
                        <c:v>1.101858417626103</c:v>
                      </c:pt>
                      <c:pt idx="10">
                        <c:v>1.3603190341062998</c:v>
                      </c:pt>
                    </c:numCache>
                  </c:numRef>
                </c:yVal>
                <c:smooth val="1"/>
                <c:extLst xmlns:c15="http://schemas.microsoft.com/office/drawing/2012/chart">
                  <c:ext xmlns:c16="http://schemas.microsoft.com/office/drawing/2014/chart" uri="{C3380CC4-5D6E-409C-BE32-E72D297353CC}">
                    <c16:uniqueId val="{00000009-FB47-46FF-8E1D-ADA304D4F5DF}"/>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'!$F$59:$F$69</c15:sqref>
                        </c15:formulaRef>
                      </c:ext>
                    </c:extLst>
                    <c:numCache>
                      <c:formatCode>General</c:formatCode>
                      <c:ptCount val="11"/>
                      <c:pt idx="0">
                        <c:v>0</c:v>
                      </c:pt>
                      <c:pt idx="1">
                        <c:v>1.3185605904970015E-2</c:v>
                      </c:pt>
                      <c:pt idx="2">
                        <c:v>5.2742423619880061E-2</c:v>
                      </c:pt>
                      <c:pt idx="3">
                        <c:v>0.11867045314473011</c:v>
                      </c:pt>
                      <c:pt idx="4">
                        <c:v>0.21096969447952024</c:v>
                      </c:pt>
                      <c:pt idx="5">
                        <c:v>0.32964014762425031</c:v>
                      </c:pt>
                      <c:pt idx="6">
                        <c:v>0.47468181257892045</c:v>
                      </c:pt>
                      <c:pt idx="7">
                        <c:v>0.64609468934353054</c:v>
                      </c:pt>
                      <c:pt idx="8">
                        <c:v>0.84387877791808097</c:v>
                      </c:pt>
                      <c:pt idx="9">
                        <c:v>1.068034078302571</c:v>
                      </c:pt>
                      <c:pt idx="10">
                        <c:v>1.3185605904970013</c:v>
                      </c:pt>
                    </c:numCache>
                  </c:numRef>
                </c:yVal>
                <c:smooth val="1"/>
                <c:extLst xmlns:c15="http://schemas.microsoft.com/office/drawing/2012/chart">
                  <c:ext xmlns:c16="http://schemas.microsoft.com/office/drawing/2014/chart" uri="{C3380CC4-5D6E-409C-BE32-E72D297353CC}">
                    <c16:uniqueId val="{0000000A-FB47-46FF-8E1D-ADA304D4F5DF}"/>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'!$G$59:$G$69</c15:sqref>
                        </c15:formulaRef>
                      </c:ext>
                    </c:extLst>
                    <c:numCache>
                      <c:formatCode>General</c:formatCode>
                      <c:ptCount val="11"/>
                      <c:pt idx="0">
                        <c:v>0</c:v>
                      </c:pt>
                      <c:pt idx="1">
                        <c:v>1.3348614769179808E-2</c:v>
                      </c:pt>
                      <c:pt idx="2">
                        <c:v>5.3394459076719233E-2</c:v>
                      </c:pt>
                      <c:pt idx="3">
                        <c:v>0.12013753292261824</c:v>
                      </c:pt>
                      <c:pt idx="4">
                        <c:v>0.21357783630687693</c:v>
                      </c:pt>
                      <c:pt idx="5">
                        <c:v>0.33371536922949513</c:v>
                      </c:pt>
                      <c:pt idx="6">
                        <c:v>0.48055013169047295</c:v>
                      </c:pt>
                      <c:pt idx="7">
                        <c:v>0.65408212368981034</c:v>
                      </c:pt>
                      <c:pt idx="8">
                        <c:v>0.85431134522750773</c:v>
                      </c:pt>
                      <c:pt idx="9">
                        <c:v>1.0812377963035642</c:v>
                      </c:pt>
                      <c:pt idx="10">
                        <c:v>1.3348614769179805</c:v>
                      </c:pt>
                    </c:numCache>
                  </c:numRef>
                </c:yVal>
                <c:smooth val="1"/>
                <c:extLst xmlns:c15="http://schemas.microsoft.com/office/drawing/2012/chart">
                  <c:ext xmlns:c16="http://schemas.microsoft.com/office/drawing/2014/chart" uri="{C3380CC4-5D6E-409C-BE32-E72D297353CC}">
                    <c16:uniqueId val="{0000000B-FB47-46FF-8E1D-ADA304D4F5DF}"/>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'!$H$59:$H$69</c15:sqref>
                        </c15:formulaRef>
                      </c:ext>
                    </c:extLst>
                    <c:numCache>
                      <c:formatCode>General</c:formatCode>
                      <c:ptCount val="11"/>
                      <c:pt idx="0">
                        <c:v>0</c:v>
                      </c:pt>
                      <c:pt idx="1">
                        <c:v>1.3262526411538147E-2</c:v>
                      </c:pt>
                      <c:pt idx="2">
                        <c:v>5.305010564615259E-2</c:v>
                      </c:pt>
                      <c:pt idx="3">
                        <c:v>0.1193627377038433</c:v>
                      </c:pt>
                      <c:pt idx="4">
                        <c:v>0.21220042258461036</c:v>
                      </c:pt>
                      <c:pt idx="5">
                        <c:v>0.33156316028845362</c:v>
                      </c:pt>
                      <c:pt idx="6">
                        <c:v>0.4774509508153732</c:v>
                      </c:pt>
                      <c:pt idx="7">
                        <c:v>0.64986379416536899</c:v>
                      </c:pt>
                      <c:pt idx="8">
                        <c:v>0.84880169033844144</c:v>
                      </c:pt>
                      <c:pt idx="9">
                        <c:v>1.0742646393345898</c:v>
                      </c:pt>
                      <c:pt idx="10">
                        <c:v>1.3262526411538145</c:v>
                      </c:pt>
                    </c:numCache>
                  </c:numRef>
                </c:yVal>
                <c:smooth val="1"/>
                <c:extLst xmlns:c15="http://schemas.microsoft.com/office/drawing/2012/chart">
                  <c:ext xmlns:c16="http://schemas.microsoft.com/office/drawing/2014/chart" uri="{C3380CC4-5D6E-409C-BE32-E72D297353CC}">
                    <c16:uniqueId val="{0000000C-FB47-46FF-8E1D-ADA304D4F5DF}"/>
                  </c:ext>
                </c:extLst>
              </c15:ser>
            </c15:filteredScatterSeries>
          </c:ext>
        </c:extLst>
      </c:scatterChart>
      <c:valAx>
        <c:axId val="-1938562976"/>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2224"/>
        <c:crosses val="autoZero"/>
        <c:crossBetween val="midCat"/>
      </c:valAx>
      <c:valAx>
        <c:axId val="-1938572224"/>
        <c:scaling>
          <c:orientation val="minMax"/>
          <c:max val="1.3"/>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KT 10KQ 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2976"/>
        <c:crosses val="autoZero"/>
        <c:crossBetween val="midCat"/>
        <c:majorUnit val="0.1"/>
      </c:valAx>
      <c:spPr>
        <a:noFill/>
        <a:ln w="0">
          <a:solidFill>
            <a:schemeClr val="accent3"/>
          </a:solidFill>
        </a:ln>
        <a:effectLst/>
      </c:spPr>
    </c:plotArea>
    <c:legend>
      <c:legendPos val="t"/>
      <c:layout>
        <c:manualLayout>
          <c:xMode val="edge"/>
          <c:yMode val="edge"/>
          <c:x val="7.7741432426381152E-2"/>
          <c:y val="8.8251456203978465E-2"/>
          <c:w val="0.89999993037140247"/>
          <c:h val="6.5854139690152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ROUGH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51B1-4149-A870-C3A1E6E56801}"/>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51B1-4149-A870-C3A1E6E56801}"/>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51B1-4149-A870-C3A1E6E56801}"/>
            </c:ext>
          </c:extLst>
        </c:ser>
        <c:ser>
          <c:idx val="5"/>
          <c:order val="5"/>
          <c:tx>
            <c:v>12 knot</c:v>
          </c:tx>
          <c:spPr>
            <a:ln w="0" cap="rnd">
              <a:solidFill>
                <a:schemeClr val="accent6"/>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'!$E$59:$E$69</c:f>
              <c:numCache>
                <c:formatCode>General</c:formatCode>
                <c:ptCount val="11"/>
                <c:pt idx="0">
                  <c:v>0</c:v>
                </c:pt>
                <c:pt idx="1">
                  <c:v>1.3603190341063002E-2</c:v>
                </c:pt>
                <c:pt idx="2">
                  <c:v>5.4412761364252007E-2</c:v>
                </c:pt>
                <c:pt idx="3">
                  <c:v>0.12242871306956699</c:v>
                </c:pt>
                <c:pt idx="4">
                  <c:v>0.21765104545700803</c:v>
                </c:pt>
                <c:pt idx="5">
                  <c:v>0.34007975852657496</c:v>
                </c:pt>
                <c:pt idx="6">
                  <c:v>0.48971485227826794</c:v>
                </c:pt>
                <c:pt idx="7">
                  <c:v>0.66655632671208687</c:v>
                </c:pt>
                <c:pt idx="8">
                  <c:v>0.87060418182803212</c:v>
                </c:pt>
                <c:pt idx="9">
                  <c:v>1.101858417626103</c:v>
                </c:pt>
                <c:pt idx="10">
                  <c:v>1.3603190341062998</c:v>
                </c:pt>
              </c:numCache>
            </c:numRef>
          </c:yVal>
          <c:smooth val="1"/>
          <c:extLst xmlns:c15="http://schemas.microsoft.com/office/drawing/2012/chart">
            <c:ext xmlns:c16="http://schemas.microsoft.com/office/drawing/2014/chart" uri="{C3380CC4-5D6E-409C-BE32-E72D297353CC}">
              <c16:uniqueId val="{00000003-51B1-4149-A870-C3A1E6E56801}"/>
            </c:ext>
          </c:extLst>
        </c:ser>
        <c:ser>
          <c:idx val="9"/>
          <c:order val="9"/>
          <c:spPr>
            <a:ln w="3175" cap="rnd">
              <a:solidFill>
                <a:schemeClr val="accent4">
                  <a:lumMod val="60000"/>
                </a:schemeClr>
              </a:solidFill>
              <a:round/>
            </a:ln>
            <a:effectLst/>
          </c:spPr>
          <c:marker>
            <c:symbol val="none"/>
          </c:marker>
          <c:xVal>
            <c:numRef>
              <c:f>'[4]EPM '!$AF$183:$AF$190</c:f>
              <c:numCache>
                <c:formatCode>General</c:formatCode>
                <c:ptCount val="8"/>
                <c:pt idx="0">
                  <c:v>0.439</c:v>
                </c:pt>
                <c:pt idx="1">
                  <c:v>0.439</c:v>
                </c:pt>
                <c:pt idx="2">
                  <c:v>0.439</c:v>
                </c:pt>
                <c:pt idx="3">
                  <c:v>0.439</c:v>
                </c:pt>
                <c:pt idx="4">
                  <c:v>0.439</c:v>
                </c:pt>
                <c:pt idx="5">
                  <c:v>0.439</c:v>
                </c:pt>
                <c:pt idx="6">
                  <c:v>0.439</c:v>
                </c:pt>
                <c:pt idx="7">
                  <c:v>0.439</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51B1-4149-A870-C3A1E6E56801}"/>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'!$AH$183:$AH$190</c:f>
              <c:numCache>
                <c:formatCode>General</c:formatCode>
                <c:ptCount val="8"/>
                <c:pt idx="0">
                  <c:v>0.22800000000000001</c:v>
                </c:pt>
                <c:pt idx="1">
                  <c:v>0.22800000000000001</c:v>
                </c:pt>
                <c:pt idx="2">
                  <c:v>0.22800000000000001</c:v>
                </c:pt>
                <c:pt idx="3">
                  <c:v>0.22800000000000001</c:v>
                </c:pt>
                <c:pt idx="4">
                  <c:v>0.22800000000000001</c:v>
                </c:pt>
                <c:pt idx="5">
                  <c:v>0.22800000000000001</c:v>
                </c:pt>
                <c:pt idx="6">
                  <c:v>0.22800000000000001</c:v>
                </c:pt>
                <c:pt idx="7">
                  <c:v>0.22800000000000001</c:v>
                </c:pt>
              </c:numCache>
            </c:numRef>
          </c:yVal>
          <c:smooth val="1"/>
          <c:extLst>
            <c:ext xmlns:c16="http://schemas.microsoft.com/office/drawing/2014/chart" uri="{C3380CC4-5D6E-409C-BE32-E72D297353CC}">
              <c16:uniqueId val="{00000005-51B1-4149-A870-C3A1E6E56801}"/>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'!$AJ$183:$AJ$190</c:f>
              <c:numCache>
                <c:formatCode>General</c:formatCode>
                <c:ptCount val="8"/>
                <c:pt idx="0">
                  <c:v>0.28699999999999998</c:v>
                </c:pt>
                <c:pt idx="1">
                  <c:v>0.28699999999999998</c:v>
                </c:pt>
                <c:pt idx="2">
                  <c:v>0.28699999999999998</c:v>
                </c:pt>
                <c:pt idx="3">
                  <c:v>0.28699999999999998</c:v>
                </c:pt>
                <c:pt idx="4">
                  <c:v>0.28699999999999998</c:v>
                </c:pt>
                <c:pt idx="5">
                  <c:v>0.28699999999999998</c:v>
                </c:pt>
                <c:pt idx="6">
                  <c:v>0.28699999999999998</c:v>
                </c:pt>
                <c:pt idx="7">
                  <c:v>0.28699999999999998</c:v>
                </c:pt>
              </c:numCache>
            </c:numRef>
          </c:yVal>
          <c:smooth val="1"/>
          <c:extLst>
            <c:ext xmlns:c16="http://schemas.microsoft.com/office/drawing/2014/chart" uri="{C3380CC4-5D6E-409C-BE32-E72D297353CC}">
              <c16:uniqueId val="{00000006-51B1-4149-A870-C3A1E6E56801}"/>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'!$AL$183:$AL$193</c:f>
              <c:numCache>
                <c:formatCode>General</c:formatCode>
                <c:ptCount val="11"/>
                <c:pt idx="0">
                  <c:v>0.5</c:v>
                </c:pt>
                <c:pt idx="1">
                  <c:v>0.5</c:v>
                </c:pt>
                <c:pt idx="2">
                  <c:v>0.5</c:v>
                </c:pt>
                <c:pt idx="3">
                  <c:v>0.5</c:v>
                </c:pt>
                <c:pt idx="4">
                  <c:v>0.5</c:v>
                </c:pt>
                <c:pt idx="5">
                  <c:v>0.5</c:v>
                </c:pt>
                <c:pt idx="6">
                  <c:v>0.5</c:v>
                </c:pt>
                <c:pt idx="7">
                  <c:v>0.5</c:v>
                </c:pt>
                <c:pt idx="8">
                  <c:v>0.5</c:v>
                </c:pt>
                <c:pt idx="9">
                  <c:v>0.5</c:v>
                </c:pt>
                <c:pt idx="10">
                  <c:v>0.5</c:v>
                </c:pt>
              </c:numCache>
            </c:numRef>
          </c:yVal>
          <c:smooth val="1"/>
          <c:extLst>
            <c:ext xmlns:c16="http://schemas.microsoft.com/office/drawing/2014/chart" uri="{C3380CC4-5D6E-409C-BE32-E72D297353CC}">
              <c16:uniqueId val="{00000007-51B1-4149-A870-C3A1E6E56801}"/>
            </c:ext>
          </c:extLst>
        </c:ser>
        <c:dLbls>
          <c:showLegendKey val="0"/>
          <c:showVal val="0"/>
          <c:showCatName val="0"/>
          <c:showSerName val="0"/>
          <c:showPercent val="0"/>
          <c:showBubbleSize val="0"/>
        </c:dLbls>
        <c:axId val="-1938562976"/>
        <c:axId val="-1938572224"/>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'!$C$59:$C$69</c15:sqref>
                        </c15:formulaRef>
                      </c:ext>
                    </c:extLst>
                    <c:numCache>
                      <c:formatCode>General</c:formatCode>
                      <c:ptCount val="11"/>
                      <c:pt idx="0">
                        <c:v>0</c:v>
                      </c:pt>
                      <c:pt idx="1">
                        <c:v>1.4816433816293393E-2</c:v>
                      </c:pt>
                      <c:pt idx="2">
                        <c:v>5.9265735265173571E-2</c:v>
                      </c:pt>
                      <c:pt idx="3">
                        <c:v>0.13334790434664051</c:v>
                      </c:pt>
                      <c:pt idx="4">
                        <c:v>0.23706294106069428</c:v>
                      </c:pt>
                      <c:pt idx="5">
                        <c:v>0.37041084540733477</c:v>
                      </c:pt>
                      <c:pt idx="6">
                        <c:v>0.53339161738656204</c:v>
                      </c:pt>
                      <c:pt idx="7">
                        <c:v>0.72600525699837604</c:v>
                      </c:pt>
                      <c:pt idx="8">
                        <c:v>0.94825176424277713</c:v>
                      </c:pt>
                      <c:pt idx="9">
                        <c:v>1.2001311391197647</c:v>
                      </c:pt>
                      <c:pt idx="10">
                        <c:v>1.4816433816293391</c:v>
                      </c:pt>
                    </c:numCache>
                  </c:numRef>
                </c:yVal>
                <c:smooth val="1"/>
                <c:extLst>
                  <c:ext xmlns:c16="http://schemas.microsoft.com/office/drawing/2014/chart" uri="{C3380CC4-5D6E-409C-BE32-E72D297353CC}">
                    <c16:uniqueId val="{00000008-51B1-4149-A870-C3A1E6E56801}"/>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'!$D$59:$D$69</c15:sqref>
                        </c15:formulaRef>
                      </c:ext>
                    </c:extLst>
                    <c:numCache>
                      <c:formatCode>General</c:formatCode>
                      <c:ptCount val="11"/>
                      <c:pt idx="0">
                        <c:v>0</c:v>
                      </c:pt>
                      <c:pt idx="1">
                        <c:v>1.4000543053853164E-2</c:v>
                      </c:pt>
                      <c:pt idx="2">
                        <c:v>5.6002172215412656E-2</c:v>
                      </c:pt>
                      <c:pt idx="3">
                        <c:v>0.12600488748467845</c:v>
                      </c:pt>
                      <c:pt idx="4">
                        <c:v>0.22400868886165062</c:v>
                      </c:pt>
                      <c:pt idx="5">
                        <c:v>0.35001357634632901</c:v>
                      </c:pt>
                      <c:pt idx="6">
                        <c:v>0.50401954993871378</c:v>
                      </c:pt>
                      <c:pt idx="7">
                        <c:v>0.6860266096388048</c:v>
                      </c:pt>
                      <c:pt idx="8">
                        <c:v>0.89603475544660249</c:v>
                      </c:pt>
                      <c:pt idx="9">
                        <c:v>1.134043987362106</c:v>
                      </c:pt>
                      <c:pt idx="10">
                        <c:v>1.4000543053853161</c:v>
                      </c:pt>
                    </c:numCache>
                  </c:numRef>
                </c:yVal>
                <c:smooth val="1"/>
                <c:extLst xmlns:c15="http://schemas.microsoft.com/office/drawing/2012/chart">
                  <c:ext xmlns:c16="http://schemas.microsoft.com/office/drawing/2014/chart" uri="{C3380CC4-5D6E-409C-BE32-E72D297353CC}">
                    <c16:uniqueId val="{00000009-51B1-4149-A870-C3A1E6E56801}"/>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'!$F$59:$F$69</c15:sqref>
                        </c15:formulaRef>
                      </c:ext>
                    </c:extLst>
                    <c:numCache>
                      <c:formatCode>General</c:formatCode>
                      <c:ptCount val="11"/>
                      <c:pt idx="0">
                        <c:v>0</c:v>
                      </c:pt>
                      <c:pt idx="1">
                        <c:v>1.3185605904970015E-2</c:v>
                      </c:pt>
                      <c:pt idx="2">
                        <c:v>5.2742423619880061E-2</c:v>
                      </c:pt>
                      <c:pt idx="3">
                        <c:v>0.11867045314473011</c:v>
                      </c:pt>
                      <c:pt idx="4">
                        <c:v>0.21096969447952024</c:v>
                      </c:pt>
                      <c:pt idx="5">
                        <c:v>0.32964014762425031</c:v>
                      </c:pt>
                      <c:pt idx="6">
                        <c:v>0.47468181257892045</c:v>
                      </c:pt>
                      <c:pt idx="7">
                        <c:v>0.64609468934353054</c:v>
                      </c:pt>
                      <c:pt idx="8">
                        <c:v>0.84387877791808097</c:v>
                      </c:pt>
                      <c:pt idx="9">
                        <c:v>1.068034078302571</c:v>
                      </c:pt>
                      <c:pt idx="10">
                        <c:v>1.3185605904970013</c:v>
                      </c:pt>
                    </c:numCache>
                  </c:numRef>
                </c:yVal>
                <c:smooth val="1"/>
                <c:extLst xmlns:c15="http://schemas.microsoft.com/office/drawing/2012/chart">
                  <c:ext xmlns:c16="http://schemas.microsoft.com/office/drawing/2014/chart" uri="{C3380CC4-5D6E-409C-BE32-E72D297353CC}">
                    <c16:uniqueId val="{0000000A-51B1-4149-A870-C3A1E6E56801}"/>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'!$G$59:$G$69</c15:sqref>
                        </c15:formulaRef>
                      </c:ext>
                    </c:extLst>
                    <c:numCache>
                      <c:formatCode>General</c:formatCode>
                      <c:ptCount val="11"/>
                      <c:pt idx="0">
                        <c:v>0</c:v>
                      </c:pt>
                      <c:pt idx="1">
                        <c:v>1.3348614769179808E-2</c:v>
                      </c:pt>
                      <c:pt idx="2">
                        <c:v>5.3394459076719233E-2</c:v>
                      </c:pt>
                      <c:pt idx="3">
                        <c:v>0.12013753292261824</c:v>
                      </c:pt>
                      <c:pt idx="4">
                        <c:v>0.21357783630687693</c:v>
                      </c:pt>
                      <c:pt idx="5">
                        <c:v>0.33371536922949513</c:v>
                      </c:pt>
                      <c:pt idx="6">
                        <c:v>0.48055013169047295</c:v>
                      </c:pt>
                      <c:pt idx="7">
                        <c:v>0.65408212368981034</c:v>
                      </c:pt>
                      <c:pt idx="8">
                        <c:v>0.85431134522750773</c:v>
                      </c:pt>
                      <c:pt idx="9">
                        <c:v>1.0812377963035642</c:v>
                      </c:pt>
                      <c:pt idx="10">
                        <c:v>1.3348614769179805</c:v>
                      </c:pt>
                    </c:numCache>
                  </c:numRef>
                </c:yVal>
                <c:smooth val="1"/>
                <c:extLst xmlns:c15="http://schemas.microsoft.com/office/drawing/2012/chart">
                  <c:ext xmlns:c16="http://schemas.microsoft.com/office/drawing/2014/chart" uri="{C3380CC4-5D6E-409C-BE32-E72D297353CC}">
                    <c16:uniqueId val="{0000000B-51B1-4149-A870-C3A1E6E56801}"/>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'!$H$59:$H$69</c15:sqref>
                        </c15:formulaRef>
                      </c:ext>
                    </c:extLst>
                    <c:numCache>
                      <c:formatCode>General</c:formatCode>
                      <c:ptCount val="11"/>
                      <c:pt idx="0">
                        <c:v>0</c:v>
                      </c:pt>
                      <c:pt idx="1">
                        <c:v>1.3262526411538147E-2</c:v>
                      </c:pt>
                      <c:pt idx="2">
                        <c:v>5.305010564615259E-2</c:v>
                      </c:pt>
                      <c:pt idx="3">
                        <c:v>0.1193627377038433</c:v>
                      </c:pt>
                      <c:pt idx="4">
                        <c:v>0.21220042258461036</c:v>
                      </c:pt>
                      <c:pt idx="5">
                        <c:v>0.33156316028845362</c:v>
                      </c:pt>
                      <c:pt idx="6">
                        <c:v>0.4774509508153732</c:v>
                      </c:pt>
                      <c:pt idx="7">
                        <c:v>0.64986379416536899</c:v>
                      </c:pt>
                      <c:pt idx="8">
                        <c:v>0.84880169033844144</c:v>
                      </c:pt>
                      <c:pt idx="9">
                        <c:v>1.0742646393345898</c:v>
                      </c:pt>
                      <c:pt idx="10">
                        <c:v>1.3262526411538145</c:v>
                      </c:pt>
                    </c:numCache>
                  </c:numRef>
                </c:yVal>
                <c:smooth val="1"/>
                <c:extLst xmlns:c15="http://schemas.microsoft.com/office/drawing/2012/chart">
                  <c:ext xmlns:c16="http://schemas.microsoft.com/office/drawing/2014/chart" uri="{C3380CC4-5D6E-409C-BE32-E72D297353CC}">
                    <c16:uniqueId val="{0000000C-51B1-4149-A870-C3A1E6E56801}"/>
                  </c:ext>
                </c:extLst>
              </c15:ser>
            </c15:filteredScatterSeries>
          </c:ext>
        </c:extLst>
      </c:scatterChart>
      <c:valAx>
        <c:axId val="-1938562976"/>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2224"/>
        <c:crosses val="autoZero"/>
        <c:crossBetween val="midCat"/>
      </c:valAx>
      <c:valAx>
        <c:axId val="-1938572224"/>
        <c:scaling>
          <c:orientation val="minMax"/>
          <c:max val="1.3"/>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KT 10KQ 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2976"/>
        <c:crosses val="autoZero"/>
        <c:crossBetween val="midCat"/>
        <c:majorUnit val="0.1"/>
      </c:valAx>
      <c:spPr>
        <a:noFill/>
        <a:ln w="0">
          <a:solidFill>
            <a:schemeClr val="accent3"/>
          </a:solidFill>
        </a:ln>
        <a:effectLst/>
      </c:spPr>
    </c:plotArea>
    <c:legend>
      <c:legendPos val="t"/>
      <c:layout>
        <c:manualLayout>
          <c:xMode val="edge"/>
          <c:yMode val="edge"/>
          <c:x val="7.7741432426381152E-2"/>
          <c:y val="8.8251456203978465E-2"/>
          <c:w val="0.89999993037140247"/>
          <c:h val="6.5854139690152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ROUGH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00ED-42A5-B96A-D000920B3006}"/>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00ED-42A5-B96A-D000920B3006}"/>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00ED-42A5-B96A-D000920B3006}"/>
            </c:ext>
          </c:extLst>
        </c:ser>
        <c:ser>
          <c:idx val="6"/>
          <c:order val="6"/>
          <c:tx>
            <c:v>11 knot</c:v>
          </c:tx>
          <c:spPr>
            <a:ln w="0" cap="rnd">
              <a:solidFill>
                <a:schemeClr val="accent1">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'!$F$59:$F$69</c:f>
              <c:numCache>
                <c:formatCode>General</c:formatCode>
                <c:ptCount val="11"/>
                <c:pt idx="0">
                  <c:v>0</c:v>
                </c:pt>
                <c:pt idx="1">
                  <c:v>1.3185605904970015E-2</c:v>
                </c:pt>
                <c:pt idx="2">
                  <c:v>5.2742423619880061E-2</c:v>
                </c:pt>
                <c:pt idx="3">
                  <c:v>0.11867045314473011</c:v>
                </c:pt>
                <c:pt idx="4">
                  <c:v>0.21096969447952024</c:v>
                </c:pt>
                <c:pt idx="5">
                  <c:v>0.32964014762425031</c:v>
                </c:pt>
                <c:pt idx="6">
                  <c:v>0.47468181257892045</c:v>
                </c:pt>
                <c:pt idx="7">
                  <c:v>0.64609468934353054</c:v>
                </c:pt>
                <c:pt idx="8">
                  <c:v>0.84387877791808097</c:v>
                </c:pt>
                <c:pt idx="9">
                  <c:v>1.068034078302571</c:v>
                </c:pt>
                <c:pt idx="10">
                  <c:v>1.3185605904970013</c:v>
                </c:pt>
              </c:numCache>
            </c:numRef>
          </c:yVal>
          <c:smooth val="1"/>
          <c:extLst xmlns:c15="http://schemas.microsoft.com/office/drawing/2012/chart">
            <c:ext xmlns:c16="http://schemas.microsoft.com/office/drawing/2014/chart" uri="{C3380CC4-5D6E-409C-BE32-E72D297353CC}">
              <c16:uniqueId val="{00000003-00ED-42A5-B96A-D000920B3006}"/>
            </c:ext>
          </c:extLst>
        </c:ser>
        <c:ser>
          <c:idx val="9"/>
          <c:order val="9"/>
          <c:spPr>
            <a:ln w="3175" cap="rnd">
              <a:solidFill>
                <a:schemeClr val="accent4">
                  <a:lumMod val="60000"/>
                </a:schemeClr>
              </a:solidFill>
              <a:round/>
            </a:ln>
            <a:effectLst/>
          </c:spPr>
          <c:marker>
            <c:symbol val="none"/>
          </c:marker>
          <c:xVal>
            <c:numRef>
              <c:f>'[4]EPM '!$AO$183:$AO$190</c:f>
              <c:numCache>
                <c:formatCode>General</c:formatCode>
                <c:ptCount val="8"/>
                <c:pt idx="0">
                  <c:v>0.442</c:v>
                </c:pt>
                <c:pt idx="1">
                  <c:v>0.442</c:v>
                </c:pt>
                <c:pt idx="2">
                  <c:v>0.442</c:v>
                </c:pt>
                <c:pt idx="3">
                  <c:v>0.442</c:v>
                </c:pt>
                <c:pt idx="4">
                  <c:v>0.442</c:v>
                </c:pt>
                <c:pt idx="5">
                  <c:v>0.442</c:v>
                </c:pt>
                <c:pt idx="6">
                  <c:v>0.442</c:v>
                </c:pt>
                <c:pt idx="7">
                  <c:v>0.442</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00ED-42A5-B96A-D000920B3006}"/>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'!$AQ$183:$AQ$190</c:f>
              <c:numCache>
                <c:formatCode>General</c:formatCode>
                <c:ptCount val="8"/>
                <c:pt idx="0">
                  <c:v>0.224</c:v>
                </c:pt>
                <c:pt idx="1">
                  <c:v>0.224</c:v>
                </c:pt>
                <c:pt idx="2">
                  <c:v>0.224</c:v>
                </c:pt>
                <c:pt idx="3">
                  <c:v>0.224</c:v>
                </c:pt>
                <c:pt idx="4">
                  <c:v>0.224</c:v>
                </c:pt>
                <c:pt idx="5">
                  <c:v>0.224</c:v>
                </c:pt>
                <c:pt idx="6">
                  <c:v>0.224</c:v>
                </c:pt>
                <c:pt idx="7">
                  <c:v>0.224</c:v>
                </c:pt>
              </c:numCache>
            </c:numRef>
          </c:yVal>
          <c:smooth val="1"/>
          <c:extLst>
            <c:ext xmlns:c16="http://schemas.microsoft.com/office/drawing/2014/chart" uri="{C3380CC4-5D6E-409C-BE32-E72D297353CC}">
              <c16:uniqueId val="{00000005-00ED-42A5-B96A-D000920B3006}"/>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'!$AS$183:$AS$190</c:f>
              <c:numCache>
                <c:formatCode>General</c:formatCode>
                <c:ptCount val="8"/>
                <c:pt idx="0">
                  <c:v>0.28299999999999997</c:v>
                </c:pt>
                <c:pt idx="1">
                  <c:v>0.28299999999999997</c:v>
                </c:pt>
                <c:pt idx="2">
                  <c:v>0.28299999999999997</c:v>
                </c:pt>
                <c:pt idx="3">
                  <c:v>0.28299999999999997</c:v>
                </c:pt>
                <c:pt idx="4">
                  <c:v>0.28299999999999997</c:v>
                </c:pt>
                <c:pt idx="5">
                  <c:v>0.28299999999999997</c:v>
                </c:pt>
                <c:pt idx="6">
                  <c:v>0.28299999999999997</c:v>
                </c:pt>
                <c:pt idx="7">
                  <c:v>0.28299999999999997</c:v>
                </c:pt>
              </c:numCache>
            </c:numRef>
          </c:yVal>
          <c:smooth val="1"/>
          <c:extLst>
            <c:ext xmlns:c16="http://schemas.microsoft.com/office/drawing/2014/chart" uri="{C3380CC4-5D6E-409C-BE32-E72D297353CC}">
              <c16:uniqueId val="{00000006-00ED-42A5-B96A-D000920B3006}"/>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'!$AU$183:$AU$193</c:f>
              <c:numCache>
                <c:formatCode>General</c:formatCode>
                <c:ptCount val="11"/>
                <c:pt idx="0">
                  <c:v>0.502</c:v>
                </c:pt>
                <c:pt idx="1">
                  <c:v>0.502</c:v>
                </c:pt>
                <c:pt idx="2">
                  <c:v>0.502</c:v>
                </c:pt>
                <c:pt idx="3">
                  <c:v>0.502</c:v>
                </c:pt>
                <c:pt idx="4">
                  <c:v>0.502</c:v>
                </c:pt>
                <c:pt idx="5">
                  <c:v>0.502</c:v>
                </c:pt>
                <c:pt idx="6">
                  <c:v>0.502</c:v>
                </c:pt>
                <c:pt idx="7">
                  <c:v>0.502</c:v>
                </c:pt>
                <c:pt idx="8">
                  <c:v>0.502</c:v>
                </c:pt>
                <c:pt idx="9">
                  <c:v>0.502</c:v>
                </c:pt>
                <c:pt idx="10">
                  <c:v>0.502</c:v>
                </c:pt>
              </c:numCache>
            </c:numRef>
          </c:yVal>
          <c:smooth val="1"/>
          <c:extLst>
            <c:ext xmlns:c16="http://schemas.microsoft.com/office/drawing/2014/chart" uri="{C3380CC4-5D6E-409C-BE32-E72D297353CC}">
              <c16:uniqueId val="{00000007-00ED-42A5-B96A-D000920B3006}"/>
            </c:ext>
          </c:extLst>
        </c:ser>
        <c:dLbls>
          <c:showLegendKey val="0"/>
          <c:showVal val="0"/>
          <c:showCatName val="0"/>
          <c:showSerName val="0"/>
          <c:showPercent val="0"/>
          <c:showBubbleSize val="0"/>
        </c:dLbls>
        <c:axId val="-1938562976"/>
        <c:axId val="-1938572224"/>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'!$C$59:$C$69</c15:sqref>
                        </c15:formulaRef>
                      </c:ext>
                    </c:extLst>
                    <c:numCache>
                      <c:formatCode>General</c:formatCode>
                      <c:ptCount val="11"/>
                      <c:pt idx="0">
                        <c:v>0</c:v>
                      </c:pt>
                      <c:pt idx="1">
                        <c:v>1.4816433816293393E-2</c:v>
                      </c:pt>
                      <c:pt idx="2">
                        <c:v>5.9265735265173571E-2</c:v>
                      </c:pt>
                      <c:pt idx="3">
                        <c:v>0.13334790434664051</c:v>
                      </c:pt>
                      <c:pt idx="4">
                        <c:v>0.23706294106069428</c:v>
                      </c:pt>
                      <c:pt idx="5">
                        <c:v>0.37041084540733477</c:v>
                      </c:pt>
                      <c:pt idx="6">
                        <c:v>0.53339161738656204</c:v>
                      </c:pt>
                      <c:pt idx="7">
                        <c:v>0.72600525699837604</c:v>
                      </c:pt>
                      <c:pt idx="8">
                        <c:v>0.94825176424277713</c:v>
                      </c:pt>
                      <c:pt idx="9">
                        <c:v>1.2001311391197647</c:v>
                      </c:pt>
                      <c:pt idx="10">
                        <c:v>1.4816433816293391</c:v>
                      </c:pt>
                    </c:numCache>
                  </c:numRef>
                </c:yVal>
                <c:smooth val="1"/>
                <c:extLst>
                  <c:ext xmlns:c16="http://schemas.microsoft.com/office/drawing/2014/chart" uri="{C3380CC4-5D6E-409C-BE32-E72D297353CC}">
                    <c16:uniqueId val="{00000008-00ED-42A5-B96A-D000920B3006}"/>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'!$D$59:$D$69</c15:sqref>
                        </c15:formulaRef>
                      </c:ext>
                    </c:extLst>
                    <c:numCache>
                      <c:formatCode>General</c:formatCode>
                      <c:ptCount val="11"/>
                      <c:pt idx="0">
                        <c:v>0</c:v>
                      </c:pt>
                      <c:pt idx="1">
                        <c:v>1.4000543053853164E-2</c:v>
                      </c:pt>
                      <c:pt idx="2">
                        <c:v>5.6002172215412656E-2</c:v>
                      </c:pt>
                      <c:pt idx="3">
                        <c:v>0.12600488748467845</c:v>
                      </c:pt>
                      <c:pt idx="4">
                        <c:v>0.22400868886165062</c:v>
                      </c:pt>
                      <c:pt idx="5">
                        <c:v>0.35001357634632901</c:v>
                      </c:pt>
                      <c:pt idx="6">
                        <c:v>0.50401954993871378</c:v>
                      </c:pt>
                      <c:pt idx="7">
                        <c:v>0.6860266096388048</c:v>
                      </c:pt>
                      <c:pt idx="8">
                        <c:v>0.89603475544660249</c:v>
                      </c:pt>
                      <c:pt idx="9">
                        <c:v>1.134043987362106</c:v>
                      </c:pt>
                      <c:pt idx="10">
                        <c:v>1.4000543053853161</c:v>
                      </c:pt>
                    </c:numCache>
                  </c:numRef>
                </c:yVal>
                <c:smooth val="1"/>
                <c:extLst xmlns:c15="http://schemas.microsoft.com/office/drawing/2012/chart">
                  <c:ext xmlns:c16="http://schemas.microsoft.com/office/drawing/2014/chart" uri="{C3380CC4-5D6E-409C-BE32-E72D297353CC}">
                    <c16:uniqueId val="{00000009-00ED-42A5-B96A-D000920B3006}"/>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'!$E$59:$E$69</c15:sqref>
                        </c15:formulaRef>
                      </c:ext>
                    </c:extLst>
                    <c:numCache>
                      <c:formatCode>General</c:formatCode>
                      <c:ptCount val="11"/>
                      <c:pt idx="0">
                        <c:v>0</c:v>
                      </c:pt>
                      <c:pt idx="1">
                        <c:v>1.3603190341063002E-2</c:v>
                      </c:pt>
                      <c:pt idx="2">
                        <c:v>5.4412761364252007E-2</c:v>
                      </c:pt>
                      <c:pt idx="3">
                        <c:v>0.12242871306956699</c:v>
                      </c:pt>
                      <c:pt idx="4">
                        <c:v>0.21765104545700803</c:v>
                      </c:pt>
                      <c:pt idx="5">
                        <c:v>0.34007975852657496</c:v>
                      </c:pt>
                      <c:pt idx="6">
                        <c:v>0.48971485227826794</c:v>
                      </c:pt>
                      <c:pt idx="7">
                        <c:v>0.66655632671208687</c:v>
                      </c:pt>
                      <c:pt idx="8">
                        <c:v>0.87060418182803212</c:v>
                      </c:pt>
                      <c:pt idx="9">
                        <c:v>1.101858417626103</c:v>
                      </c:pt>
                      <c:pt idx="10">
                        <c:v>1.3603190341062998</c:v>
                      </c:pt>
                    </c:numCache>
                  </c:numRef>
                </c:yVal>
                <c:smooth val="1"/>
                <c:extLst xmlns:c15="http://schemas.microsoft.com/office/drawing/2012/chart">
                  <c:ext xmlns:c16="http://schemas.microsoft.com/office/drawing/2014/chart" uri="{C3380CC4-5D6E-409C-BE32-E72D297353CC}">
                    <c16:uniqueId val="{0000000A-00ED-42A5-B96A-D000920B3006}"/>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'!$G$59:$G$69</c15:sqref>
                        </c15:formulaRef>
                      </c:ext>
                    </c:extLst>
                    <c:numCache>
                      <c:formatCode>General</c:formatCode>
                      <c:ptCount val="11"/>
                      <c:pt idx="0">
                        <c:v>0</c:v>
                      </c:pt>
                      <c:pt idx="1">
                        <c:v>1.3348614769179808E-2</c:v>
                      </c:pt>
                      <c:pt idx="2">
                        <c:v>5.3394459076719233E-2</c:v>
                      </c:pt>
                      <c:pt idx="3">
                        <c:v>0.12013753292261824</c:v>
                      </c:pt>
                      <c:pt idx="4">
                        <c:v>0.21357783630687693</c:v>
                      </c:pt>
                      <c:pt idx="5">
                        <c:v>0.33371536922949513</c:v>
                      </c:pt>
                      <c:pt idx="6">
                        <c:v>0.48055013169047295</c:v>
                      </c:pt>
                      <c:pt idx="7">
                        <c:v>0.65408212368981034</c:v>
                      </c:pt>
                      <c:pt idx="8">
                        <c:v>0.85431134522750773</c:v>
                      </c:pt>
                      <c:pt idx="9">
                        <c:v>1.0812377963035642</c:v>
                      </c:pt>
                      <c:pt idx="10">
                        <c:v>1.3348614769179805</c:v>
                      </c:pt>
                    </c:numCache>
                  </c:numRef>
                </c:yVal>
                <c:smooth val="1"/>
                <c:extLst xmlns:c15="http://schemas.microsoft.com/office/drawing/2012/chart">
                  <c:ext xmlns:c16="http://schemas.microsoft.com/office/drawing/2014/chart" uri="{C3380CC4-5D6E-409C-BE32-E72D297353CC}">
                    <c16:uniqueId val="{0000000B-00ED-42A5-B96A-D000920B3006}"/>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'!$H$59:$H$69</c15:sqref>
                        </c15:formulaRef>
                      </c:ext>
                    </c:extLst>
                    <c:numCache>
                      <c:formatCode>General</c:formatCode>
                      <c:ptCount val="11"/>
                      <c:pt idx="0">
                        <c:v>0</c:v>
                      </c:pt>
                      <c:pt idx="1">
                        <c:v>1.3262526411538147E-2</c:v>
                      </c:pt>
                      <c:pt idx="2">
                        <c:v>5.305010564615259E-2</c:v>
                      </c:pt>
                      <c:pt idx="3">
                        <c:v>0.1193627377038433</c:v>
                      </c:pt>
                      <c:pt idx="4">
                        <c:v>0.21220042258461036</c:v>
                      </c:pt>
                      <c:pt idx="5">
                        <c:v>0.33156316028845362</c:v>
                      </c:pt>
                      <c:pt idx="6">
                        <c:v>0.4774509508153732</c:v>
                      </c:pt>
                      <c:pt idx="7">
                        <c:v>0.64986379416536899</c:v>
                      </c:pt>
                      <c:pt idx="8">
                        <c:v>0.84880169033844144</c:v>
                      </c:pt>
                      <c:pt idx="9">
                        <c:v>1.0742646393345898</c:v>
                      </c:pt>
                      <c:pt idx="10">
                        <c:v>1.3262526411538145</c:v>
                      </c:pt>
                    </c:numCache>
                  </c:numRef>
                </c:yVal>
                <c:smooth val="1"/>
                <c:extLst xmlns:c15="http://schemas.microsoft.com/office/drawing/2012/chart">
                  <c:ext xmlns:c16="http://schemas.microsoft.com/office/drawing/2014/chart" uri="{C3380CC4-5D6E-409C-BE32-E72D297353CC}">
                    <c16:uniqueId val="{0000000C-00ED-42A5-B96A-D000920B3006}"/>
                  </c:ext>
                </c:extLst>
              </c15:ser>
            </c15:filteredScatterSeries>
          </c:ext>
        </c:extLst>
      </c:scatterChart>
      <c:valAx>
        <c:axId val="-1938562976"/>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2224"/>
        <c:crosses val="autoZero"/>
        <c:crossBetween val="midCat"/>
      </c:valAx>
      <c:valAx>
        <c:axId val="-1938572224"/>
        <c:scaling>
          <c:orientation val="minMax"/>
          <c:max val="1.3"/>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KT 10KQ 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2976"/>
        <c:crosses val="autoZero"/>
        <c:crossBetween val="midCat"/>
        <c:majorUnit val="0.1"/>
      </c:valAx>
      <c:spPr>
        <a:noFill/>
        <a:ln w="0">
          <a:solidFill>
            <a:schemeClr val="accent3"/>
          </a:solidFill>
        </a:ln>
        <a:effectLst/>
      </c:spPr>
    </c:plotArea>
    <c:legend>
      <c:legendPos val="t"/>
      <c:layout>
        <c:manualLayout>
          <c:xMode val="edge"/>
          <c:yMode val="edge"/>
          <c:x val="7.7741432426381152E-2"/>
          <c:y val="8.8251456203978465E-2"/>
          <c:w val="0.89999993037140247"/>
          <c:h val="6.5854139690152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ROUGH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EEAF-4185-930E-352BB3C45353}"/>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EEAF-4185-930E-352BB3C45353}"/>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EEAF-4185-930E-352BB3C45353}"/>
            </c:ext>
          </c:extLst>
        </c:ser>
        <c:ser>
          <c:idx val="7"/>
          <c:order val="7"/>
          <c:tx>
            <c:v>10 knot</c:v>
          </c:tx>
          <c:spPr>
            <a:ln w="0" cap="rnd">
              <a:solidFill>
                <a:schemeClr val="accent2">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'!$G$59:$G$69</c:f>
              <c:numCache>
                <c:formatCode>General</c:formatCode>
                <c:ptCount val="11"/>
                <c:pt idx="0">
                  <c:v>0</c:v>
                </c:pt>
                <c:pt idx="1">
                  <c:v>1.3348614769179808E-2</c:v>
                </c:pt>
                <c:pt idx="2">
                  <c:v>5.3394459076719233E-2</c:v>
                </c:pt>
                <c:pt idx="3">
                  <c:v>0.12013753292261824</c:v>
                </c:pt>
                <c:pt idx="4">
                  <c:v>0.21357783630687693</c:v>
                </c:pt>
                <c:pt idx="5">
                  <c:v>0.33371536922949513</c:v>
                </c:pt>
                <c:pt idx="6">
                  <c:v>0.48055013169047295</c:v>
                </c:pt>
                <c:pt idx="7">
                  <c:v>0.65408212368981034</c:v>
                </c:pt>
                <c:pt idx="8">
                  <c:v>0.85431134522750773</c:v>
                </c:pt>
                <c:pt idx="9">
                  <c:v>1.0812377963035642</c:v>
                </c:pt>
                <c:pt idx="10">
                  <c:v>1.3348614769179805</c:v>
                </c:pt>
              </c:numCache>
            </c:numRef>
          </c:yVal>
          <c:smooth val="1"/>
          <c:extLst xmlns:c15="http://schemas.microsoft.com/office/drawing/2012/chart">
            <c:ext xmlns:c16="http://schemas.microsoft.com/office/drawing/2014/chart" uri="{C3380CC4-5D6E-409C-BE32-E72D297353CC}">
              <c16:uniqueId val="{00000003-EEAF-4185-930E-352BB3C45353}"/>
            </c:ext>
          </c:extLst>
        </c:ser>
        <c:ser>
          <c:idx val="9"/>
          <c:order val="9"/>
          <c:spPr>
            <a:ln w="3175" cap="rnd">
              <a:solidFill>
                <a:schemeClr val="accent4">
                  <a:lumMod val="60000"/>
                </a:schemeClr>
              </a:solidFill>
              <a:round/>
            </a:ln>
            <a:effectLst/>
          </c:spPr>
          <c:marker>
            <c:symbol val="none"/>
          </c:marker>
          <c:xVal>
            <c:numRef>
              <c:f>'[4]EPM '!$AX$183:$AX$190</c:f>
              <c:numCache>
                <c:formatCode>General</c:formatCode>
                <c:ptCount val="8"/>
                <c:pt idx="0">
                  <c:v>0.44</c:v>
                </c:pt>
                <c:pt idx="1">
                  <c:v>0.44</c:v>
                </c:pt>
                <c:pt idx="2">
                  <c:v>0.44</c:v>
                </c:pt>
                <c:pt idx="3">
                  <c:v>0.44</c:v>
                </c:pt>
                <c:pt idx="4">
                  <c:v>0.44</c:v>
                </c:pt>
                <c:pt idx="5">
                  <c:v>0.44</c:v>
                </c:pt>
                <c:pt idx="6">
                  <c:v>0.44</c:v>
                </c:pt>
                <c:pt idx="7">
                  <c:v>0.44</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EEAF-4185-930E-352BB3C45353}"/>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'!$AZ$183:$AZ$190</c:f>
              <c:numCache>
                <c:formatCode>General</c:formatCode>
                <c:ptCount val="8"/>
                <c:pt idx="0">
                  <c:v>0.223</c:v>
                </c:pt>
                <c:pt idx="1">
                  <c:v>0.223</c:v>
                </c:pt>
                <c:pt idx="2">
                  <c:v>0.223</c:v>
                </c:pt>
                <c:pt idx="3">
                  <c:v>0.223</c:v>
                </c:pt>
                <c:pt idx="4">
                  <c:v>0.223</c:v>
                </c:pt>
                <c:pt idx="5">
                  <c:v>0.223</c:v>
                </c:pt>
                <c:pt idx="6">
                  <c:v>0.223</c:v>
                </c:pt>
                <c:pt idx="7">
                  <c:v>0.223</c:v>
                </c:pt>
              </c:numCache>
            </c:numRef>
          </c:yVal>
          <c:smooth val="1"/>
          <c:extLst>
            <c:ext xmlns:c16="http://schemas.microsoft.com/office/drawing/2014/chart" uri="{C3380CC4-5D6E-409C-BE32-E72D297353CC}">
              <c16:uniqueId val="{00000005-EEAF-4185-930E-352BB3C45353}"/>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'!$BB$183:$BB$190</c:f>
              <c:numCache>
                <c:formatCode>General</c:formatCode>
                <c:ptCount val="8"/>
                <c:pt idx="0">
                  <c:v>0.28499999999999998</c:v>
                </c:pt>
                <c:pt idx="1">
                  <c:v>0.28499999999999998</c:v>
                </c:pt>
                <c:pt idx="2">
                  <c:v>0.28499999999999998</c:v>
                </c:pt>
                <c:pt idx="3">
                  <c:v>0.28499999999999998</c:v>
                </c:pt>
                <c:pt idx="4">
                  <c:v>0.28499999999999998</c:v>
                </c:pt>
                <c:pt idx="5">
                  <c:v>0.28499999999999998</c:v>
                </c:pt>
                <c:pt idx="6">
                  <c:v>0.28499999999999998</c:v>
                </c:pt>
                <c:pt idx="7">
                  <c:v>0.28499999999999998</c:v>
                </c:pt>
              </c:numCache>
            </c:numRef>
          </c:yVal>
          <c:smooth val="1"/>
          <c:extLst>
            <c:ext xmlns:c16="http://schemas.microsoft.com/office/drawing/2014/chart" uri="{C3380CC4-5D6E-409C-BE32-E72D297353CC}">
              <c16:uniqueId val="{00000006-EEAF-4185-930E-352BB3C45353}"/>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'!$BD$183:$BD$193</c:f>
              <c:numCache>
                <c:formatCode>General</c:formatCode>
                <c:ptCount val="11"/>
                <c:pt idx="0">
                  <c:v>0.501</c:v>
                </c:pt>
                <c:pt idx="1">
                  <c:v>0.501</c:v>
                </c:pt>
                <c:pt idx="2">
                  <c:v>0.501</c:v>
                </c:pt>
                <c:pt idx="3">
                  <c:v>0.501</c:v>
                </c:pt>
                <c:pt idx="4">
                  <c:v>0.501</c:v>
                </c:pt>
                <c:pt idx="5">
                  <c:v>0.501</c:v>
                </c:pt>
                <c:pt idx="6">
                  <c:v>0.501</c:v>
                </c:pt>
                <c:pt idx="7">
                  <c:v>0.501</c:v>
                </c:pt>
                <c:pt idx="8">
                  <c:v>0.501</c:v>
                </c:pt>
                <c:pt idx="9">
                  <c:v>0.501</c:v>
                </c:pt>
                <c:pt idx="10">
                  <c:v>0.501</c:v>
                </c:pt>
              </c:numCache>
            </c:numRef>
          </c:yVal>
          <c:smooth val="1"/>
          <c:extLst>
            <c:ext xmlns:c16="http://schemas.microsoft.com/office/drawing/2014/chart" uri="{C3380CC4-5D6E-409C-BE32-E72D297353CC}">
              <c16:uniqueId val="{00000007-EEAF-4185-930E-352BB3C45353}"/>
            </c:ext>
          </c:extLst>
        </c:ser>
        <c:dLbls>
          <c:showLegendKey val="0"/>
          <c:showVal val="0"/>
          <c:showCatName val="0"/>
          <c:showSerName val="0"/>
          <c:showPercent val="0"/>
          <c:showBubbleSize val="0"/>
        </c:dLbls>
        <c:axId val="-1938562976"/>
        <c:axId val="-1938572224"/>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'!$C$59:$C$69</c15:sqref>
                        </c15:formulaRef>
                      </c:ext>
                    </c:extLst>
                    <c:numCache>
                      <c:formatCode>General</c:formatCode>
                      <c:ptCount val="11"/>
                      <c:pt idx="0">
                        <c:v>0</c:v>
                      </c:pt>
                      <c:pt idx="1">
                        <c:v>1.4816433816293393E-2</c:v>
                      </c:pt>
                      <c:pt idx="2">
                        <c:v>5.9265735265173571E-2</c:v>
                      </c:pt>
                      <c:pt idx="3">
                        <c:v>0.13334790434664051</c:v>
                      </c:pt>
                      <c:pt idx="4">
                        <c:v>0.23706294106069428</c:v>
                      </c:pt>
                      <c:pt idx="5">
                        <c:v>0.37041084540733477</c:v>
                      </c:pt>
                      <c:pt idx="6">
                        <c:v>0.53339161738656204</c:v>
                      </c:pt>
                      <c:pt idx="7">
                        <c:v>0.72600525699837604</c:v>
                      </c:pt>
                      <c:pt idx="8">
                        <c:v>0.94825176424277713</c:v>
                      </c:pt>
                      <c:pt idx="9">
                        <c:v>1.2001311391197647</c:v>
                      </c:pt>
                      <c:pt idx="10">
                        <c:v>1.4816433816293391</c:v>
                      </c:pt>
                    </c:numCache>
                  </c:numRef>
                </c:yVal>
                <c:smooth val="1"/>
                <c:extLst>
                  <c:ext xmlns:c16="http://schemas.microsoft.com/office/drawing/2014/chart" uri="{C3380CC4-5D6E-409C-BE32-E72D297353CC}">
                    <c16:uniqueId val="{00000008-EEAF-4185-930E-352BB3C45353}"/>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'!$D$59:$D$69</c15:sqref>
                        </c15:formulaRef>
                      </c:ext>
                    </c:extLst>
                    <c:numCache>
                      <c:formatCode>General</c:formatCode>
                      <c:ptCount val="11"/>
                      <c:pt idx="0">
                        <c:v>0</c:v>
                      </c:pt>
                      <c:pt idx="1">
                        <c:v>1.4000543053853164E-2</c:v>
                      </c:pt>
                      <c:pt idx="2">
                        <c:v>5.6002172215412656E-2</c:v>
                      </c:pt>
                      <c:pt idx="3">
                        <c:v>0.12600488748467845</c:v>
                      </c:pt>
                      <c:pt idx="4">
                        <c:v>0.22400868886165062</c:v>
                      </c:pt>
                      <c:pt idx="5">
                        <c:v>0.35001357634632901</c:v>
                      </c:pt>
                      <c:pt idx="6">
                        <c:v>0.50401954993871378</c:v>
                      </c:pt>
                      <c:pt idx="7">
                        <c:v>0.6860266096388048</c:v>
                      </c:pt>
                      <c:pt idx="8">
                        <c:v>0.89603475544660249</c:v>
                      </c:pt>
                      <c:pt idx="9">
                        <c:v>1.134043987362106</c:v>
                      </c:pt>
                      <c:pt idx="10">
                        <c:v>1.4000543053853161</c:v>
                      </c:pt>
                    </c:numCache>
                  </c:numRef>
                </c:yVal>
                <c:smooth val="1"/>
                <c:extLst xmlns:c15="http://schemas.microsoft.com/office/drawing/2012/chart">
                  <c:ext xmlns:c16="http://schemas.microsoft.com/office/drawing/2014/chart" uri="{C3380CC4-5D6E-409C-BE32-E72D297353CC}">
                    <c16:uniqueId val="{00000009-EEAF-4185-930E-352BB3C45353}"/>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'!$E$59:$E$69</c15:sqref>
                        </c15:formulaRef>
                      </c:ext>
                    </c:extLst>
                    <c:numCache>
                      <c:formatCode>General</c:formatCode>
                      <c:ptCount val="11"/>
                      <c:pt idx="0">
                        <c:v>0</c:v>
                      </c:pt>
                      <c:pt idx="1">
                        <c:v>1.3603190341063002E-2</c:v>
                      </c:pt>
                      <c:pt idx="2">
                        <c:v>5.4412761364252007E-2</c:v>
                      </c:pt>
                      <c:pt idx="3">
                        <c:v>0.12242871306956699</c:v>
                      </c:pt>
                      <c:pt idx="4">
                        <c:v>0.21765104545700803</c:v>
                      </c:pt>
                      <c:pt idx="5">
                        <c:v>0.34007975852657496</c:v>
                      </c:pt>
                      <c:pt idx="6">
                        <c:v>0.48971485227826794</c:v>
                      </c:pt>
                      <c:pt idx="7">
                        <c:v>0.66655632671208687</c:v>
                      </c:pt>
                      <c:pt idx="8">
                        <c:v>0.87060418182803212</c:v>
                      </c:pt>
                      <c:pt idx="9">
                        <c:v>1.101858417626103</c:v>
                      </c:pt>
                      <c:pt idx="10">
                        <c:v>1.3603190341062998</c:v>
                      </c:pt>
                    </c:numCache>
                  </c:numRef>
                </c:yVal>
                <c:smooth val="1"/>
                <c:extLst xmlns:c15="http://schemas.microsoft.com/office/drawing/2012/chart">
                  <c:ext xmlns:c16="http://schemas.microsoft.com/office/drawing/2014/chart" uri="{C3380CC4-5D6E-409C-BE32-E72D297353CC}">
                    <c16:uniqueId val="{0000000A-EEAF-4185-930E-352BB3C45353}"/>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'!$F$59:$F$69</c15:sqref>
                        </c15:formulaRef>
                      </c:ext>
                    </c:extLst>
                    <c:numCache>
                      <c:formatCode>General</c:formatCode>
                      <c:ptCount val="11"/>
                      <c:pt idx="0">
                        <c:v>0</c:v>
                      </c:pt>
                      <c:pt idx="1">
                        <c:v>1.3185605904970015E-2</c:v>
                      </c:pt>
                      <c:pt idx="2">
                        <c:v>5.2742423619880061E-2</c:v>
                      </c:pt>
                      <c:pt idx="3">
                        <c:v>0.11867045314473011</c:v>
                      </c:pt>
                      <c:pt idx="4">
                        <c:v>0.21096969447952024</c:v>
                      </c:pt>
                      <c:pt idx="5">
                        <c:v>0.32964014762425031</c:v>
                      </c:pt>
                      <c:pt idx="6">
                        <c:v>0.47468181257892045</c:v>
                      </c:pt>
                      <c:pt idx="7">
                        <c:v>0.64609468934353054</c:v>
                      </c:pt>
                      <c:pt idx="8">
                        <c:v>0.84387877791808097</c:v>
                      </c:pt>
                      <c:pt idx="9">
                        <c:v>1.068034078302571</c:v>
                      </c:pt>
                      <c:pt idx="10">
                        <c:v>1.3185605904970013</c:v>
                      </c:pt>
                    </c:numCache>
                  </c:numRef>
                </c:yVal>
                <c:smooth val="1"/>
                <c:extLst xmlns:c15="http://schemas.microsoft.com/office/drawing/2012/chart">
                  <c:ext xmlns:c16="http://schemas.microsoft.com/office/drawing/2014/chart" uri="{C3380CC4-5D6E-409C-BE32-E72D297353CC}">
                    <c16:uniqueId val="{0000000B-EEAF-4185-930E-352BB3C45353}"/>
                  </c:ext>
                </c:extLst>
              </c15:ser>
            </c15:filteredScatterSeries>
            <c15:filteredScatterSeries>
              <c15:ser>
                <c:idx val="8"/>
                <c:order val="8"/>
                <c:tx>
                  <c:v>9 knot</c:v>
                </c:tx>
                <c:spPr>
                  <a:ln w="0" cap="rnd">
                    <a:solidFill>
                      <a:schemeClr val="accent3">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'!$H$59:$H$69</c15:sqref>
                        </c15:formulaRef>
                      </c:ext>
                    </c:extLst>
                    <c:numCache>
                      <c:formatCode>General</c:formatCode>
                      <c:ptCount val="11"/>
                      <c:pt idx="0">
                        <c:v>0</c:v>
                      </c:pt>
                      <c:pt idx="1">
                        <c:v>1.3262526411538147E-2</c:v>
                      </c:pt>
                      <c:pt idx="2">
                        <c:v>5.305010564615259E-2</c:v>
                      </c:pt>
                      <c:pt idx="3">
                        <c:v>0.1193627377038433</c:v>
                      </c:pt>
                      <c:pt idx="4">
                        <c:v>0.21220042258461036</c:v>
                      </c:pt>
                      <c:pt idx="5">
                        <c:v>0.33156316028845362</c:v>
                      </c:pt>
                      <c:pt idx="6">
                        <c:v>0.4774509508153732</c:v>
                      </c:pt>
                      <c:pt idx="7">
                        <c:v>0.64986379416536899</c:v>
                      </c:pt>
                      <c:pt idx="8">
                        <c:v>0.84880169033844144</c:v>
                      </c:pt>
                      <c:pt idx="9">
                        <c:v>1.0742646393345898</c:v>
                      </c:pt>
                      <c:pt idx="10">
                        <c:v>1.3262526411538145</c:v>
                      </c:pt>
                    </c:numCache>
                  </c:numRef>
                </c:yVal>
                <c:smooth val="1"/>
                <c:extLst xmlns:c15="http://schemas.microsoft.com/office/drawing/2012/chart">
                  <c:ext xmlns:c16="http://schemas.microsoft.com/office/drawing/2014/chart" uri="{C3380CC4-5D6E-409C-BE32-E72D297353CC}">
                    <c16:uniqueId val="{0000000C-EEAF-4185-930E-352BB3C45353}"/>
                  </c:ext>
                </c:extLst>
              </c15:ser>
            </c15:filteredScatterSeries>
          </c:ext>
        </c:extLst>
      </c:scatterChart>
      <c:valAx>
        <c:axId val="-1938562976"/>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2224"/>
        <c:crosses val="autoZero"/>
        <c:crossBetween val="midCat"/>
      </c:valAx>
      <c:valAx>
        <c:axId val="-1938572224"/>
        <c:scaling>
          <c:orientation val="minMax"/>
          <c:max val="1.3"/>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KT 10KQ 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2976"/>
        <c:crosses val="autoZero"/>
        <c:crossBetween val="midCat"/>
        <c:majorUnit val="0.1"/>
      </c:valAx>
      <c:spPr>
        <a:noFill/>
        <a:ln w="0">
          <a:solidFill>
            <a:schemeClr val="accent3"/>
          </a:solidFill>
        </a:ln>
        <a:effectLst/>
      </c:spPr>
    </c:plotArea>
    <c:legend>
      <c:legendPos val="t"/>
      <c:layout>
        <c:manualLayout>
          <c:xMode val="edge"/>
          <c:yMode val="edge"/>
          <c:x val="7.7741432426381152E-2"/>
          <c:y val="8.8251456203978465E-2"/>
          <c:w val="0.89999993037140247"/>
          <c:h val="6.5854139690152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ROUGH HULL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Kt</c:v>
          </c:tx>
          <c:spPr>
            <a:ln w="0" cap="rnd">
              <a:solidFill>
                <a:schemeClr val="accent1"/>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'!$D$105:$D$114</c:f>
              <c:numCache>
                <c:formatCode>General</c:formatCode>
                <c:ptCount val="10"/>
                <c:pt idx="0">
                  <c:v>0.29619687317127957</c:v>
                </c:pt>
                <c:pt idx="1">
                  <c:v>0.26239925282192522</c:v>
                </c:pt>
                <c:pt idx="2">
                  <c:v>0.22494700624831754</c:v>
                </c:pt>
                <c:pt idx="3">
                  <c:v>0.18433617152956891</c:v>
                </c:pt>
                <c:pt idx="4">
                  <c:v>0.14106278674479097</c:v>
                </c:pt>
                <c:pt idx="5">
                  <c:v>9.5622889973095954E-2</c:v>
                </c:pt>
                <c:pt idx="6">
                  <c:v>4.8512519293595846E-2</c:v>
                </c:pt>
                <c:pt idx="7">
                  <c:v>2.2771278540251617E-4</c:v>
                </c:pt>
                <c:pt idx="8">
                  <c:v>-4.8735491472371877E-2</c:v>
                </c:pt>
                <c:pt idx="9">
                  <c:v>0</c:v>
                </c:pt>
              </c:numCache>
            </c:numRef>
          </c:yVal>
          <c:smooth val="1"/>
          <c:extLst>
            <c:ext xmlns:c16="http://schemas.microsoft.com/office/drawing/2014/chart" uri="{C3380CC4-5D6E-409C-BE32-E72D297353CC}">
              <c16:uniqueId val="{00000000-1E62-4B10-8347-4B40A474DF16}"/>
            </c:ext>
          </c:extLst>
        </c:ser>
        <c:ser>
          <c:idx val="1"/>
          <c:order val="1"/>
          <c:tx>
            <c:v>10KQ</c:v>
          </c:tx>
          <c:spPr>
            <a:ln w="0" cap="rnd">
              <a:solidFill>
                <a:schemeClr val="accent2"/>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'!$E$105:$E$114</c:f>
              <c:numCache>
                <c:formatCode>General</c:formatCode>
                <c:ptCount val="10"/>
                <c:pt idx="0">
                  <c:v>0.34874395365648869</c:v>
                </c:pt>
                <c:pt idx="1">
                  <c:v>0.31580457178765031</c:v>
                </c:pt>
                <c:pt idx="2">
                  <c:v>0.27876483765733806</c:v>
                </c:pt>
                <c:pt idx="3">
                  <c:v>0.23810941286675114</c:v>
                </c:pt>
                <c:pt idx="4">
                  <c:v>0.19432295901708913</c:v>
                </c:pt>
                <c:pt idx="5">
                  <c:v>0.14789013770955073</c:v>
                </c:pt>
                <c:pt idx="6">
                  <c:v>9.9295610545335811E-2</c:v>
                </c:pt>
                <c:pt idx="7">
                  <c:v>4.9024039125643126E-2</c:v>
                </c:pt>
                <c:pt idx="8">
                  <c:v>-2.4399149483277228E-3</c:v>
                </c:pt>
                <c:pt idx="9">
                  <c:v>0</c:v>
                </c:pt>
              </c:numCache>
            </c:numRef>
          </c:yVal>
          <c:smooth val="1"/>
          <c:extLst>
            <c:ext xmlns:c16="http://schemas.microsoft.com/office/drawing/2014/chart" uri="{C3380CC4-5D6E-409C-BE32-E72D297353CC}">
              <c16:uniqueId val="{00000001-1E62-4B10-8347-4B40A474DF16}"/>
            </c:ext>
          </c:extLst>
        </c:ser>
        <c:ser>
          <c:idx val="2"/>
          <c:order val="2"/>
          <c:tx>
            <c:v>ηo</c:v>
          </c:tx>
          <c:spPr>
            <a:ln w="0" cap="rnd">
              <a:solidFill>
                <a:schemeClr val="accent3"/>
              </a:solidFill>
              <a:round/>
            </a:ln>
            <a:effectLst/>
          </c:spPr>
          <c:marker>
            <c:symbol val="none"/>
          </c:marker>
          <c:xVal>
            <c:numRef>
              <c:f>'[4]EPM '!$C$105:$C$114</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'[4]EPM '!$F$105:$F$114</c:f>
              <c:numCache>
                <c:formatCode>General</c:formatCode>
                <c:ptCount val="10"/>
                <c:pt idx="0">
                  <c:v>0.1351198474658539</c:v>
                </c:pt>
                <c:pt idx="1">
                  <c:v>0.26437448603046382</c:v>
                </c:pt>
                <c:pt idx="2">
                  <c:v>0.38513132454653259</c:v>
                </c:pt>
                <c:pt idx="3">
                  <c:v>0.49265098349367942</c:v>
                </c:pt>
                <c:pt idx="4">
                  <c:v>0.57743580829664765</c:v>
                </c:pt>
                <c:pt idx="5">
                  <c:v>0.6171905469016562</c:v>
                </c:pt>
                <c:pt idx="6">
                  <c:v>0.54408553691597927</c:v>
                </c:pt>
                <c:pt idx="7">
                  <c:v>5.9117175471345481E-3</c:v>
                </c:pt>
                <c:pt idx="8">
                  <c:v>0</c:v>
                </c:pt>
                <c:pt idx="9">
                  <c:v>0</c:v>
                </c:pt>
              </c:numCache>
            </c:numRef>
          </c:yVal>
          <c:smooth val="1"/>
          <c:extLst>
            <c:ext xmlns:c16="http://schemas.microsoft.com/office/drawing/2014/chart" uri="{C3380CC4-5D6E-409C-BE32-E72D297353CC}">
              <c16:uniqueId val="{00000002-1E62-4B10-8347-4B40A474DF16}"/>
            </c:ext>
          </c:extLst>
        </c:ser>
        <c:ser>
          <c:idx val="8"/>
          <c:order val="8"/>
          <c:tx>
            <c:v>9 knot</c:v>
          </c:tx>
          <c:spPr>
            <a:ln w="0" cap="rnd">
              <a:solidFill>
                <a:schemeClr val="accent3">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'!$H$59:$H$69</c:f>
              <c:numCache>
                <c:formatCode>General</c:formatCode>
                <c:ptCount val="11"/>
                <c:pt idx="0">
                  <c:v>0</c:v>
                </c:pt>
                <c:pt idx="1">
                  <c:v>1.3262526411538147E-2</c:v>
                </c:pt>
                <c:pt idx="2">
                  <c:v>5.305010564615259E-2</c:v>
                </c:pt>
                <c:pt idx="3">
                  <c:v>0.1193627377038433</c:v>
                </c:pt>
                <c:pt idx="4">
                  <c:v>0.21220042258461036</c:v>
                </c:pt>
                <c:pt idx="5">
                  <c:v>0.33156316028845362</c:v>
                </c:pt>
                <c:pt idx="6">
                  <c:v>0.4774509508153732</c:v>
                </c:pt>
                <c:pt idx="7">
                  <c:v>0.64986379416536899</c:v>
                </c:pt>
                <c:pt idx="8">
                  <c:v>0.84880169033844144</c:v>
                </c:pt>
                <c:pt idx="9">
                  <c:v>1.0742646393345898</c:v>
                </c:pt>
                <c:pt idx="10">
                  <c:v>1.3262526411538145</c:v>
                </c:pt>
              </c:numCache>
            </c:numRef>
          </c:yVal>
          <c:smooth val="1"/>
          <c:extLst xmlns:c15="http://schemas.microsoft.com/office/drawing/2012/chart">
            <c:ext xmlns:c16="http://schemas.microsoft.com/office/drawing/2014/chart" uri="{C3380CC4-5D6E-409C-BE32-E72D297353CC}">
              <c16:uniqueId val="{00000003-1E62-4B10-8347-4B40A474DF16}"/>
            </c:ext>
          </c:extLst>
        </c:ser>
        <c:ser>
          <c:idx val="9"/>
          <c:order val="9"/>
          <c:spPr>
            <a:ln w="3175" cap="rnd">
              <a:solidFill>
                <a:schemeClr val="accent4">
                  <a:lumMod val="60000"/>
                </a:schemeClr>
              </a:solidFill>
              <a:round/>
            </a:ln>
            <a:effectLst/>
          </c:spPr>
          <c:marker>
            <c:symbol val="none"/>
          </c:marker>
          <c:xVal>
            <c:numRef>
              <c:f>'[4]EPM '!$BG$183:$BG$190</c:f>
              <c:numCache>
                <c:formatCode>General</c:formatCode>
                <c:ptCount val="8"/>
                <c:pt idx="0">
                  <c:v>0.442</c:v>
                </c:pt>
                <c:pt idx="1">
                  <c:v>0.442</c:v>
                </c:pt>
                <c:pt idx="2">
                  <c:v>0.442</c:v>
                </c:pt>
                <c:pt idx="3">
                  <c:v>0.442</c:v>
                </c:pt>
                <c:pt idx="4">
                  <c:v>0.442</c:v>
                </c:pt>
                <c:pt idx="5">
                  <c:v>0.442</c:v>
                </c:pt>
                <c:pt idx="6">
                  <c:v>0.442</c:v>
                </c:pt>
                <c:pt idx="7">
                  <c:v>0.442</c:v>
                </c:pt>
              </c:numCache>
            </c:numRef>
          </c:xVal>
          <c:y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extLst>
            <c:ext xmlns:c16="http://schemas.microsoft.com/office/drawing/2014/chart" uri="{C3380CC4-5D6E-409C-BE32-E72D297353CC}">
              <c16:uniqueId val="{00000004-1E62-4B10-8347-4B40A474DF16}"/>
            </c:ext>
          </c:extLst>
        </c:ser>
        <c:ser>
          <c:idx val="10"/>
          <c:order val="10"/>
          <c:spPr>
            <a:ln w="3175" cap="rnd">
              <a:solidFill>
                <a:schemeClr val="accent5">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'!$BI$183:$BI$190</c:f>
              <c:numCache>
                <c:formatCode>General</c:formatCode>
                <c:ptCount val="8"/>
                <c:pt idx="0">
                  <c:v>0.221</c:v>
                </c:pt>
                <c:pt idx="1">
                  <c:v>0.221</c:v>
                </c:pt>
                <c:pt idx="2">
                  <c:v>0.221</c:v>
                </c:pt>
                <c:pt idx="3">
                  <c:v>0.221</c:v>
                </c:pt>
                <c:pt idx="4">
                  <c:v>0.221</c:v>
                </c:pt>
                <c:pt idx="5">
                  <c:v>0.221</c:v>
                </c:pt>
                <c:pt idx="6">
                  <c:v>0.221</c:v>
                </c:pt>
                <c:pt idx="7">
                  <c:v>0.221</c:v>
                </c:pt>
              </c:numCache>
            </c:numRef>
          </c:yVal>
          <c:smooth val="1"/>
          <c:extLst>
            <c:ext xmlns:c16="http://schemas.microsoft.com/office/drawing/2014/chart" uri="{C3380CC4-5D6E-409C-BE32-E72D297353CC}">
              <c16:uniqueId val="{00000005-1E62-4B10-8347-4B40A474DF16}"/>
            </c:ext>
          </c:extLst>
        </c:ser>
        <c:ser>
          <c:idx val="11"/>
          <c:order val="11"/>
          <c:spPr>
            <a:ln w="3175" cap="rnd">
              <a:solidFill>
                <a:schemeClr val="accent6">
                  <a:lumMod val="6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'!$BK$183:$BK$190</c:f>
              <c:numCache>
                <c:formatCode>General</c:formatCode>
                <c:ptCount val="8"/>
                <c:pt idx="0">
                  <c:v>0.28199999999999997</c:v>
                </c:pt>
                <c:pt idx="1">
                  <c:v>0.28199999999999997</c:v>
                </c:pt>
                <c:pt idx="2">
                  <c:v>0.28199999999999997</c:v>
                </c:pt>
                <c:pt idx="3">
                  <c:v>0.28199999999999997</c:v>
                </c:pt>
                <c:pt idx="4">
                  <c:v>0.28199999999999997</c:v>
                </c:pt>
                <c:pt idx="5">
                  <c:v>0.28199999999999997</c:v>
                </c:pt>
                <c:pt idx="6">
                  <c:v>0.28199999999999997</c:v>
                </c:pt>
                <c:pt idx="7">
                  <c:v>0.28199999999999997</c:v>
                </c:pt>
              </c:numCache>
            </c:numRef>
          </c:yVal>
          <c:smooth val="1"/>
          <c:extLst>
            <c:ext xmlns:c16="http://schemas.microsoft.com/office/drawing/2014/chart" uri="{C3380CC4-5D6E-409C-BE32-E72D297353CC}">
              <c16:uniqueId val="{00000006-1E62-4B10-8347-4B40A474DF16}"/>
            </c:ext>
          </c:extLst>
        </c:ser>
        <c:ser>
          <c:idx val="12"/>
          <c:order val="12"/>
          <c:spPr>
            <a:ln w="3175" cap="rnd">
              <a:solidFill>
                <a:schemeClr val="accent1">
                  <a:lumMod val="80000"/>
                  <a:lumOff val="20000"/>
                </a:schemeClr>
              </a:solidFill>
              <a:round/>
            </a:ln>
            <a:effectLst/>
          </c:spPr>
          <c:marker>
            <c:symbol val="none"/>
          </c:marker>
          <c:xVal>
            <c:numRef>
              <c:f>'[4]EPM '!$B$59:$B$69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'[4]EPM '!$BM$183:$BM$193</c:f>
              <c:numCache>
                <c:formatCode>General</c:formatCode>
                <c:ptCount val="11"/>
                <c:pt idx="0">
                  <c:v>0.502</c:v>
                </c:pt>
                <c:pt idx="1">
                  <c:v>0.502</c:v>
                </c:pt>
                <c:pt idx="2">
                  <c:v>0.502</c:v>
                </c:pt>
                <c:pt idx="3">
                  <c:v>0.502</c:v>
                </c:pt>
                <c:pt idx="4">
                  <c:v>0.502</c:v>
                </c:pt>
                <c:pt idx="5">
                  <c:v>0.502</c:v>
                </c:pt>
                <c:pt idx="6">
                  <c:v>0.502</c:v>
                </c:pt>
                <c:pt idx="7">
                  <c:v>0.502</c:v>
                </c:pt>
                <c:pt idx="8">
                  <c:v>0.502</c:v>
                </c:pt>
                <c:pt idx="9">
                  <c:v>0.502</c:v>
                </c:pt>
                <c:pt idx="10">
                  <c:v>0.502</c:v>
                </c:pt>
              </c:numCache>
            </c:numRef>
          </c:yVal>
          <c:smooth val="1"/>
          <c:extLst>
            <c:ext xmlns:c16="http://schemas.microsoft.com/office/drawing/2014/chart" uri="{C3380CC4-5D6E-409C-BE32-E72D297353CC}">
              <c16:uniqueId val="{00000007-1E62-4B10-8347-4B40A474DF16}"/>
            </c:ext>
          </c:extLst>
        </c:ser>
        <c:dLbls>
          <c:showLegendKey val="0"/>
          <c:showVal val="0"/>
          <c:showCatName val="0"/>
          <c:showSerName val="0"/>
          <c:showPercent val="0"/>
          <c:showBubbleSize val="0"/>
        </c:dLbls>
        <c:axId val="-1938562976"/>
        <c:axId val="-1938572224"/>
        <c:extLst>
          <c:ext xmlns:c15="http://schemas.microsoft.com/office/drawing/2012/chart" uri="{02D57815-91ED-43cb-92C2-25804820EDAC}">
            <c15:filteredScatterSeries>
              <c15:ser>
                <c:idx val="3"/>
                <c:order val="3"/>
                <c:tx>
                  <c:v>14 knot</c:v>
                </c:tx>
                <c:spPr>
                  <a:ln w="0" cap="rnd">
                    <a:solidFill>
                      <a:schemeClr val="accent4"/>
                    </a:solidFill>
                    <a:round/>
                  </a:ln>
                  <a:effectLst/>
                </c:spPr>
                <c:marker>
                  <c:symbol val="none"/>
                </c:marker>
                <c:xVal>
                  <c:numRef>
                    <c:extLst>
                      <c:ex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c:ext uri="{02D57815-91ED-43cb-92C2-25804820EDAC}">
                        <c15:formulaRef>
                          <c15:sqref>'[4]EPM '!$C$59:$C$69</c15:sqref>
                        </c15:formulaRef>
                      </c:ext>
                    </c:extLst>
                    <c:numCache>
                      <c:formatCode>General</c:formatCode>
                      <c:ptCount val="11"/>
                      <c:pt idx="0">
                        <c:v>0</c:v>
                      </c:pt>
                      <c:pt idx="1">
                        <c:v>1.4816433816293393E-2</c:v>
                      </c:pt>
                      <c:pt idx="2">
                        <c:v>5.9265735265173571E-2</c:v>
                      </c:pt>
                      <c:pt idx="3">
                        <c:v>0.13334790434664051</c:v>
                      </c:pt>
                      <c:pt idx="4">
                        <c:v>0.23706294106069428</c:v>
                      </c:pt>
                      <c:pt idx="5">
                        <c:v>0.37041084540733477</c:v>
                      </c:pt>
                      <c:pt idx="6">
                        <c:v>0.53339161738656204</c:v>
                      </c:pt>
                      <c:pt idx="7">
                        <c:v>0.72600525699837604</c:v>
                      </c:pt>
                      <c:pt idx="8">
                        <c:v>0.94825176424277713</c:v>
                      </c:pt>
                      <c:pt idx="9">
                        <c:v>1.2001311391197647</c:v>
                      </c:pt>
                      <c:pt idx="10">
                        <c:v>1.4816433816293391</c:v>
                      </c:pt>
                    </c:numCache>
                  </c:numRef>
                </c:yVal>
                <c:smooth val="1"/>
                <c:extLst>
                  <c:ext xmlns:c16="http://schemas.microsoft.com/office/drawing/2014/chart" uri="{C3380CC4-5D6E-409C-BE32-E72D297353CC}">
                    <c16:uniqueId val="{00000008-1E62-4B10-8347-4B40A474DF16}"/>
                  </c:ext>
                </c:extLst>
              </c15:ser>
            </c15:filteredScatterSeries>
            <c15:filteredScatterSeries>
              <c15:ser>
                <c:idx val="4"/>
                <c:order val="4"/>
                <c:tx>
                  <c:v>13 knot</c:v>
                </c:tx>
                <c:spPr>
                  <a:ln w="0" cap="rnd">
                    <a:solidFill>
                      <a:schemeClr val="accent5"/>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'!$D$59:$D$69</c15:sqref>
                        </c15:formulaRef>
                      </c:ext>
                    </c:extLst>
                    <c:numCache>
                      <c:formatCode>General</c:formatCode>
                      <c:ptCount val="11"/>
                      <c:pt idx="0">
                        <c:v>0</c:v>
                      </c:pt>
                      <c:pt idx="1">
                        <c:v>1.4000543053853164E-2</c:v>
                      </c:pt>
                      <c:pt idx="2">
                        <c:v>5.6002172215412656E-2</c:v>
                      </c:pt>
                      <c:pt idx="3">
                        <c:v>0.12600488748467845</c:v>
                      </c:pt>
                      <c:pt idx="4">
                        <c:v>0.22400868886165062</c:v>
                      </c:pt>
                      <c:pt idx="5">
                        <c:v>0.35001357634632901</c:v>
                      </c:pt>
                      <c:pt idx="6">
                        <c:v>0.50401954993871378</c:v>
                      </c:pt>
                      <c:pt idx="7">
                        <c:v>0.6860266096388048</c:v>
                      </c:pt>
                      <c:pt idx="8">
                        <c:v>0.89603475544660249</c:v>
                      </c:pt>
                      <c:pt idx="9">
                        <c:v>1.134043987362106</c:v>
                      </c:pt>
                      <c:pt idx="10">
                        <c:v>1.4000543053853161</c:v>
                      </c:pt>
                    </c:numCache>
                  </c:numRef>
                </c:yVal>
                <c:smooth val="1"/>
                <c:extLst xmlns:c15="http://schemas.microsoft.com/office/drawing/2012/chart">
                  <c:ext xmlns:c16="http://schemas.microsoft.com/office/drawing/2014/chart" uri="{C3380CC4-5D6E-409C-BE32-E72D297353CC}">
                    <c16:uniqueId val="{00000009-1E62-4B10-8347-4B40A474DF16}"/>
                  </c:ext>
                </c:extLst>
              </c15:ser>
            </c15:filteredScatterSeries>
            <c15:filteredScatterSeries>
              <c15:ser>
                <c:idx val="5"/>
                <c:order val="5"/>
                <c:tx>
                  <c:v>12 knot</c:v>
                </c:tx>
                <c:spPr>
                  <a:ln w="0" cap="rnd">
                    <a:solidFill>
                      <a:schemeClr val="accent6"/>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'!$E$59:$E$69</c15:sqref>
                        </c15:formulaRef>
                      </c:ext>
                    </c:extLst>
                    <c:numCache>
                      <c:formatCode>General</c:formatCode>
                      <c:ptCount val="11"/>
                      <c:pt idx="0">
                        <c:v>0</c:v>
                      </c:pt>
                      <c:pt idx="1">
                        <c:v>1.3603190341063002E-2</c:v>
                      </c:pt>
                      <c:pt idx="2">
                        <c:v>5.4412761364252007E-2</c:v>
                      </c:pt>
                      <c:pt idx="3">
                        <c:v>0.12242871306956699</c:v>
                      </c:pt>
                      <c:pt idx="4">
                        <c:v>0.21765104545700803</c:v>
                      </c:pt>
                      <c:pt idx="5">
                        <c:v>0.34007975852657496</c:v>
                      </c:pt>
                      <c:pt idx="6">
                        <c:v>0.48971485227826794</c:v>
                      </c:pt>
                      <c:pt idx="7">
                        <c:v>0.66655632671208687</c:v>
                      </c:pt>
                      <c:pt idx="8">
                        <c:v>0.87060418182803212</c:v>
                      </c:pt>
                      <c:pt idx="9">
                        <c:v>1.101858417626103</c:v>
                      </c:pt>
                      <c:pt idx="10">
                        <c:v>1.3603190341062998</c:v>
                      </c:pt>
                    </c:numCache>
                  </c:numRef>
                </c:yVal>
                <c:smooth val="1"/>
                <c:extLst xmlns:c15="http://schemas.microsoft.com/office/drawing/2012/chart">
                  <c:ext xmlns:c16="http://schemas.microsoft.com/office/drawing/2014/chart" uri="{C3380CC4-5D6E-409C-BE32-E72D297353CC}">
                    <c16:uniqueId val="{0000000A-1E62-4B10-8347-4B40A474DF16}"/>
                  </c:ext>
                </c:extLst>
              </c15:ser>
            </c15:filteredScatterSeries>
            <c15:filteredScatterSeries>
              <c15:ser>
                <c:idx val="6"/>
                <c:order val="6"/>
                <c:tx>
                  <c:v>11 knot</c:v>
                </c:tx>
                <c:spPr>
                  <a:ln w="0" cap="rnd">
                    <a:solidFill>
                      <a:schemeClr val="accent1">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'!$F$59:$F$69</c15:sqref>
                        </c15:formulaRef>
                      </c:ext>
                    </c:extLst>
                    <c:numCache>
                      <c:formatCode>General</c:formatCode>
                      <c:ptCount val="11"/>
                      <c:pt idx="0">
                        <c:v>0</c:v>
                      </c:pt>
                      <c:pt idx="1">
                        <c:v>1.3185605904970015E-2</c:v>
                      </c:pt>
                      <c:pt idx="2">
                        <c:v>5.2742423619880061E-2</c:v>
                      </c:pt>
                      <c:pt idx="3">
                        <c:v>0.11867045314473011</c:v>
                      </c:pt>
                      <c:pt idx="4">
                        <c:v>0.21096969447952024</c:v>
                      </c:pt>
                      <c:pt idx="5">
                        <c:v>0.32964014762425031</c:v>
                      </c:pt>
                      <c:pt idx="6">
                        <c:v>0.47468181257892045</c:v>
                      </c:pt>
                      <c:pt idx="7">
                        <c:v>0.64609468934353054</c:v>
                      </c:pt>
                      <c:pt idx="8">
                        <c:v>0.84387877791808097</c:v>
                      </c:pt>
                      <c:pt idx="9">
                        <c:v>1.068034078302571</c:v>
                      </c:pt>
                      <c:pt idx="10">
                        <c:v>1.3185605904970013</c:v>
                      </c:pt>
                    </c:numCache>
                  </c:numRef>
                </c:yVal>
                <c:smooth val="1"/>
                <c:extLst xmlns:c15="http://schemas.microsoft.com/office/drawing/2012/chart">
                  <c:ext xmlns:c16="http://schemas.microsoft.com/office/drawing/2014/chart" uri="{C3380CC4-5D6E-409C-BE32-E72D297353CC}">
                    <c16:uniqueId val="{0000000B-1E62-4B10-8347-4B40A474DF16}"/>
                  </c:ext>
                </c:extLst>
              </c15:ser>
            </c15:filteredScatterSeries>
            <c15:filteredScatterSeries>
              <c15:ser>
                <c:idx val="7"/>
                <c:order val="7"/>
                <c:tx>
                  <c:v>10 knot</c:v>
                </c:tx>
                <c:spPr>
                  <a:ln w="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'[4]EPM '!$B$59:$B$69</c15:sqref>
                        </c15:formulaRef>
                      </c:ext>
                    </c:extLst>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extLst xmlns:c15="http://schemas.microsoft.com/office/drawing/2012/chart">
                      <c:ext xmlns:c15="http://schemas.microsoft.com/office/drawing/2012/chart" uri="{02D57815-91ED-43cb-92C2-25804820EDAC}">
                        <c15:formulaRef>
                          <c15:sqref>'[4]EPM '!$G$59:$G$69</c15:sqref>
                        </c15:formulaRef>
                      </c:ext>
                    </c:extLst>
                    <c:numCache>
                      <c:formatCode>General</c:formatCode>
                      <c:ptCount val="11"/>
                      <c:pt idx="0">
                        <c:v>0</c:v>
                      </c:pt>
                      <c:pt idx="1">
                        <c:v>1.3348614769179808E-2</c:v>
                      </c:pt>
                      <c:pt idx="2">
                        <c:v>5.3394459076719233E-2</c:v>
                      </c:pt>
                      <c:pt idx="3">
                        <c:v>0.12013753292261824</c:v>
                      </c:pt>
                      <c:pt idx="4">
                        <c:v>0.21357783630687693</c:v>
                      </c:pt>
                      <c:pt idx="5">
                        <c:v>0.33371536922949513</c:v>
                      </c:pt>
                      <c:pt idx="6">
                        <c:v>0.48055013169047295</c:v>
                      </c:pt>
                      <c:pt idx="7">
                        <c:v>0.65408212368981034</c:v>
                      </c:pt>
                      <c:pt idx="8">
                        <c:v>0.85431134522750773</c:v>
                      </c:pt>
                      <c:pt idx="9">
                        <c:v>1.0812377963035642</c:v>
                      </c:pt>
                      <c:pt idx="10">
                        <c:v>1.3348614769179805</c:v>
                      </c:pt>
                    </c:numCache>
                  </c:numRef>
                </c:yVal>
                <c:smooth val="1"/>
                <c:extLst xmlns:c15="http://schemas.microsoft.com/office/drawing/2012/chart">
                  <c:ext xmlns:c16="http://schemas.microsoft.com/office/drawing/2014/chart" uri="{C3380CC4-5D6E-409C-BE32-E72D297353CC}">
                    <c16:uniqueId val="{0000000C-1E62-4B10-8347-4B40A474DF16}"/>
                  </c:ext>
                </c:extLst>
              </c15:ser>
            </c15:filteredScatterSeries>
          </c:ext>
        </c:extLst>
      </c:scatterChart>
      <c:valAx>
        <c:axId val="-1938562976"/>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72224"/>
        <c:crosses val="autoZero"/>
        <c:crossBetween val="midCat"/>
      </c:valAx>
      <c:valAx>
        <c:axId val="-1938572224"/>
        <c:scaling>
          <c:orientation val="minMax"/>
          <c:max val="1.3"/>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KT 10KQ 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62976"/>
        <c:crosses val="autoZero"/>
        <c:crossBetween val="midCat"/>
        <c:majorUnit val="0.1"/>
      </c:valAx>
      <c:spPr>
        <a:noFill/>
        <a:ln w="0">
          <a:solidFill>
            <a:schemeClr val="accent3"/>
          </a:solidFill>
        </a:ln>
        <a:effectLst/>
      </c:spPr>
    </c:plotArea>
    <c:legend>
      <c:legendPos val="t"/>
      <c:layout>
        <c:manualLayout>
          <c:xMode val="edge"/>
          <c:yMode val="edge"/>
          <c:x val="7.7741432426381152E-2"/>
          <c:y val="8.8251456203978465E-2"/>
          <c:w val="0.89999993037140247"/>
          <c:h val="6.5854139690152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Ship Resistance and Ship Speed Chart</c:v>
          </c:tx>
          <c:spPr>
            <a:ln w="28575" cap="rnd">
              <a:solidFill>
                <a:schemeClr val="accent6"/>
              </a:solidFill>
              <a:round/>
            </a:ln>
            <a:effectLst/>
          </c:spPr>
          <c:marker>
            <c:symbol val="circle"/>
            <c:size val="5"/>
            <c:spPr>
              <a:solidFill>
                <a:schemeClr val="accent1"/>
              </a:solidFill>
              <a:ln w="9525">
                <a:solidFill>
                  <a:schemeClr val="accent1"/>
                </a:solidFill>
              </a:ln>
              <a:effectLst/>
            </c:spPr>
          </c:marker>
          <c:cat>
            <c:numRef>
              <c:f>HOLTROP!$B$291:$B$297</c:f>
              <c:numCache>
                <c:formatCode>General</c:formatCode>
                <c:ptCount val="7"/>
                <c:pt idx="0">
                  <c:v>17</c:v>
                </c:pt>
                <c:pt idx="1">
                  <c:v>16</c:v>
                </c:pt>
                <c:pt idx="2">
                  <c:v>15</c:v>
                </c:pt>
                <c:pt idx="3">
                  <c:v>14</c:v>
                </c:pt>
                <c:pt idx="4">
                  <c:v>13</c:v>
                </c:pt>
                <c:pt idx="5">
                  <c:v>12</c:v>
                </c:pt>
                <c:pt idx="6">
                  <c:v>11</c:v>
                </c:pt>
              </c:numCache>
            </c:numRef>
          </c:cat>
          <c:val>
            <c:numRef>
              <c:f>HOLTROP!$D$291:$D$297</c:f>
              <c:numCache>
                <c:formatCode>General</c:formatCode>
                <c:ptCount val="7"/>
                <c:pt idx="0">
                  <c:v>570.48429474581019</c:v>
                </c:pt>
                <c:pt idx="1">
                  <c:v>458.00549416404749</c:v>
                </c:pt>
                <c:pt idx="2">
                  <c:v>368.79070874471017</c:v>
                </c:pt>
                <c:pt idx="3">
                  <c:v>309.92391160363286</c:v>
                </c:pt>
                <c:pt idx="4">
                  <c:v>255.27710141557196</c:v>
                </c:pt>
                <c:pt idx="5">
                  <c:v>212.96605094475407</c:v>
                </c:pt>
                <c:pt idx="6">
                  <c:v>177.10754307559398</c:v>
                </c:pt>
              </c:numCache>
            </c:numRef>
          </c:val>
          <c:smooth val="0"/>
          <c:extLst>
            <c:ext xmlns:c16="http://schemas.microsoft.com/office/drawing/2014/chart" uri="{C3380CC4-5D6E-409C-BE32-E72D297353CC}">
              <c16:uniqueId val="{00000000-E901-4FCA-9021-0080154FDAC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315769872"/>
        <c:axId val="-1315764976"/>
      </c:lineChart>
      <c:catAx>
        <c:axId val="-1315769872"/>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 Speed (knot)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64976"/>
        <c:crosses val="autoZero"/>
        <c:auto val="1"/>
        <c:lblAlgn val="ctr"/>
        <c:lblOffset val="100"/>
        <c:noMultiLvlLbl val="0"/>
      </c:catAx>
      <c:valAx>
        <c:axId val="-1315764976"/>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Resistance (kN)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6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GULD</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GULD!$B$214:$B$220</c:f>
              <c:numCache>
                <c:formatCode>General</c:formatCode>
                <c:ptCount val="7"/>
                <c:pt idx="0">
                  <c:v>14</c:v>
                </c:pt>
                <c:pt idx="1">
                  <c:v>13</c:v>
                </c:pt>
                <c:pt idx="2">
                  <c:v>12</c:v>
                </c:pt>
                <c:pt idx="3">
                  <c:v>11</c:v>
                </c:pt>
                <c:pt idx="4">
                  <c:v>10</c:v>
                </c:pt>
                <c:pt idx="5">
                  <c:v>9</c:v>
                </c:pt>
                <c:pt idx="6">
                  <c:v>8</c:v>
                </c:pt>
              </c:numCache>
            </c:numRef>
          </c:xVal>
          <c:yVal>
            <c:numRef>
              <c:f>GULD!$F$214:$F$220</c:f>
              <c:numCache>
                <c:formatCode>General</c:formatCode>
                <c:ptCount val="7"/>
                <c:pt idx="0">
                  <c:v>316.23065662930225</c:v>
                </c:pt>
                <c:pt idx="1">
                  <c:v>247.00127846107435</c:v>
                </c:pt>
                <c:pt idx="2">
                  <c:v>196.07539555247689</c:v>
                </c:pt>
                <c:pt idx="3">
                  <c:v>158.89741632716394</c:v>
                </c:pt>
                <c:pt idx="4">
                  <c:v>124.0019362235569</c:v>
                </c:pt>
                <c:pt idx="5">
                  <c:v>98.114984781245269</c:v>
                </c:pt>
                <c:pt idx="6">
                  <c:v>53.083988778307635</c:v>
                </c:pt>
              </c:numCache>
            </c:numRef>
          </c:yVal>
          <c:smooth val="1"/>
          <c:extLst>
            <c:ext xmlns:c16="http://schemas.microsoft.com/office/drawing/2014/chart" uri="{C3380CC4-5D6E-409C-BE32-E72D297353CC}">
              <c16:uniqueId val="{00000000-7192-4B40-BEC6-5CEC44DFC373}"/>
            </c:ext>
          </c:extLst>
        </c:ser>
        <c:ser>
          <c:idx val="1"/>
          <c:order val="1"/>
          <c:tx>
            <c:v>HOLTROP</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HOLTROP!$B$291:$B$297</c:f>
              <c:numCache>
                <c:formatCode>General</c:formatCode>
                <c:ptCount val="7"/>
                <c:pt idx="0">
                  <c:v>17</c:v>
                </c:pt>
                <c:pt idx="1">
                  <c:v>16</c:v>
                </c:pt>
                <c:pt idx="2">
                  <c:v>15</c:v>
                </c:pt>
                <c:pt idx="3">
                  <c:v>14</c:v>
                </c:pt>
                <c:pt idx="4">
                  <c:v>13</c:v>
                </c:pt>
                <c:pt idx="5">
                  <c:v>12</c:v>
                </c:pt>
                <c:pt idx="6">
                  <c:v>11</c:v>
                </c:pt>
              </c:numCache>
            </c:numRef>
          </c:xVal>
          <c:yVal>
            <c:numRef>
              <c:f>HOLTROP!$D$291:$D$297</c:f>
              <c:numCache>
                <c:formatCode>General</c:formatCode>
                <c:ptCount val="7"/>
                <c:pt idx="0">
                  <c:v>570.48429474581019</c:v>
                </c:pt>
                <c:pt idx="1">
                  <c:v>458.00549416404749</c:v>
                </c:pt>
                <c:pt idx="2">
                  <c:v>368.79070874471017</c:v>
                </c:pt>
                <c:pt idx="3">
                  <c:v>309.92391160363286</c:v>
                </c:pt>
                <c:pt idx="4">
                  <c:v>255.27710141557196</c:v>
                </c:pt>
                <c:pt idx="5">
                  <c:v>212.96605094475407</c:v>
                </c:pt>
                <c:pt idx="6">
                  <c:v>177.10754307559398</c:v>
                </c:pt>
              </c:numCache>
            </c:numRef>
          </c:yVal>
          <c:smooth val="1"/>
          <c:extLst>
            <c:ext xmlns:c16="http://schemas.microsoft.com/office/drawing/2014/chart" uri="{C3380CC4-5D6E-409C-BE32-E72D297353CC}">
              <c16:uniqueId val="{00000001-7192-4B40-BEC6-5CEC44DFC373}"/>
            </c:ext>
          </c:extLst>
        </c:ser>
        <c:ser>
          <c:idx val="2"/>
          <c:order val="2"/>
          <c:tx>
            <c:v>MAXSURF</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MAXSURF!$A$4:$A$45</c:f>
              <c:numCache>
                <c:formatCode>General</c:formatCode>
                <c:ptCount val="42"/>
                <c:pt idx="0">
                  <c:v>8</c:v>
                </c:pt>
                <c:pt idx="1">
                  <c:v>8.15</c:v>
                </c:pt>
                <c:pt idx="2">
                  <c:v>8.3000000000000007</c:v>
                </c:pt>
                <c:pt idx="3">
                  <c:v>8.4499999999999993</c:v>
                </c:pt>
                <c:pt idx="4">
                  <c:v>8.6</c:v>
                </c:pt>
                <c:pt idx="5">
                  <c:v>8.75</c:v>
                </c:pt>
                <c:pt idx="6">
                  <c:v>8.9</c:v>
                </c:pt>
                <c:pt idx="7">
                  <c:v>9.0500000000000007</c:v>
                </c:pt>
                <c:pt idx="8">
                  <c:v>9.1999999999999993</c:v>
                </c:pt>
                <c:pt idx="9">
                  <c:v>9.35</c:v>
                </c:pt>
                <c:pt idx="10">
                  <c:v>9.5</c:v>
                </c:pt>
                <c:pt idx="11">
                  <c:v>9.65</c:v>
                </c:pt>
                <c:pt idx="12">
                  <c:v>9.8000000000000007</c:v>
                </c:pt>
                <c:pt idx="13">
                  <c:v>9.9499999999999993</c:v>
                </c:pt>
                <c:pt idx="14">
                  <c:v>10.1</c:v>
                </c:pt>
                <c:pt idx="15">
                  <c:v>10.25</c:v>
                </c:pt>
                <c:pt idx="16">
                  <c:v>10.4</c:v>
                </c:pt>
                <c:pt idx="17">
                  <c:v>10.55</c:v>
                </c:pt>
                <c:pt idx="18">
                  <c:v>10.7</c:v>
                </c:pt>
                <c:pt idx="19">
                  <c:v>10.85</c:v>
                </c:pt>
                <c:pt idx="20">
                  <c:v>11</c:v>
                </c:pt>
                <c:pt idx="21">
                  <c:v>11.15</c:v>
                </c:pt>
                <c:pt idx="22">
                  <c:v>11.3</c:v>
                </c:pt>
                <c:pt idx="23">
                  <c:v>11.45</c:v>
                </c:pt>
                <c:pt idx="24">
                  <c:v>11.6</c:v>
                </c:pt>
                <c:pt idx="25">
                  <c:v>11.75</c:v>
                </c:pt>
                <c:pt idx="26">
                  <c:v>11.9</c:v>
                </c:pt>
                <c:pt idx="27">
                  <c:v>12.05</c:v>
                </c:pt>
                <c:pt idx="28">
                  <c:v>12.2</c:v>
                </c:pt>
                <c:pt idx="29">
                  <c:v>12.35</c:v>
                </c:pt>
                <c:pt idx="30">
                  <c:v>12.5</c:v>
                </c:pt>
                <c:pt idx="31">
                  <c:v>12.65</c:v>
                </c:pt>
                <c:pt idx="32">
                  <c:v>12.8</c:v>
                </c:pt>
                <c:pt idx="33">
                  <c:v>12.95</c:v>
                </c:pt>
                <c:pt idx="34">
                  <c:v>13</c:v>
                </c:pt>
                <c:pt idx="35">
                  <c:v>13.1</c:v>
                </c:pt>
                <c:pt idx="36">
                  <c:v>13.25</c:v>
                </c:pt>
                <c:pt idx="37">
                  <c:v>13.4</c:v>
                </c:pt>
                <c:pt idx="38">
                  <c:v>13.55</c:v>
                </c:pt>
                <c:pt idx="39">
                  <c:v>13.7</c:v>
                </c:pt>
                <c:pt idx="40">
                  <c:v>13.85</c:v>
                </c:pt>
                <c:pt idx="41">
                  <c:v>14</c:v>
                </c:pt>
              </c:numCache>
            </c:numRef>
          </c:xVal>
          <c:yVal>
            <c:numRef>
              <c:f>MAXSURF!$D$4:$D$45</c:f>
              <c:numCache>
                <c:formatCode>General</c:formatCode>
                <c:ptCount val="42"/>
                <c:pt idx="0">
                  <c:v>106.3</c:v>
                </c:pt>
                <c:pt idx="1">
                  <c:v>110.1</c:v>
                </c:pt>
                <c:pt idx="2">
                  <c:v>114</c:v>
                </c:pt>
                <c:pt idx="3">
                  <c:v>118</c:v>
                </c:pt>
                <c:pt idx="4">
                  <c:v>122.1</c:v>
                </c:pt>
                <c:pt idx="5">
                  <c:v>126.2</c:v>
                </c:pt>
                <c:pt idx="6">
                  <c:v>130.4</c:v>
                </c:pt>
                <c:pt idx="7">
                  <c:v>134.80000000000001</c:v>
                </c:pt>
                <c:pt idx="8">
                  <c:v>139.1</c:v>
                </c:pt>
                <c:pt idx="9">
                  <c:v>143.6</c:v>
                </c:pt>
                <c:pt idx="10">
                  <c:v>148.19999999999999</c:v>
                </c:pt>
                <c:pt idx="11">
                  <c:v>152.9</c:v>
                </c:pt>
                <c:pt idx="12">
                  <c:v>157.6</c:v>
                </c:pt>
                <c:pt idx="13">
                  <c:v>162.5</c:v>
                </c:pt>
                <c:pt idx="14">
                  <c:v>167.5</c:v>
                </c:pt>
                <c:pt idx="15">
                  <c:v>172.6</c:v>
                </c:pt>
                <c:pt idx="16">
                  <c:v>177.8</c:v>
                </c:pt>
                <c:pt idx="17">
                  <c:v>183.2</c:v>
                </c:pt>
                <c:pt idx="18">
                  <c:v>188.7</c:v>
                </c:pt>
                <c:pt idx="19">
                  <c:v>194.4</c:v>
                </c:pt>
                <c:pt idx="20">
                  <c:v>200.2</c:v>
                </c:pt>
                <c:pt idx="21">
                  <c:v>206.1</c:v>
                </c:pt>
                <c:pt idx="22">
                  <c:v>212.3</c:v>
                </c:pt>
                <c:pt idx="23">
                  <c:v>218.6</c:v>
                </c:pt>
                <c:pt idx="24">
                  <c:v>225.1</c:v>
                </c:pt>
                <c:pt idx="25">
                  <c:v>231.8</c:v>
                </c:pt>
                <c:pt idx="26">
                  <c:v>238.7</c:v>
                </c:pt>
                <c:pt idx="27">
                  <c:v>245.8</c:v>
                </c:pt>
                <c:pt idx="28">
                  <c:v>253.2</c:v>
                </c:pt>
                <c:pt idx="29">
                  <c:v>260.8</c:v>
                </c:pt>
                <c:pt idx="30">
                  <c:v>268.60000000000002</c:v>
                </c:pt>
                <c:pt idx="31">
                  <c:v>276.8</c:v>
                </c:pt>
                <c:pt idx="32">
                  <c:v>285.2</c:v>
                </c:pt>
                <c:pt idx="33">
                  <c:v>293.89999999999998</c:v>
                </c:pt>
                <c:pt idx="34">
                  <c:v>296.89999999999998</c:v>
                </c:pt>
                <c:pt idx="35">
                  <c:v>302.89999999999998</c:v>
                </c:pt>
                <c:pt idx="36">
                  <c:v>312.3</c:v>
                </c:pt>
                <c:pt idx="37">
                  <c:v>322</c:v>
                </c:pt>
                <c:pt idx="38">
                  <c:v>332</c:v>
                </c:pt>
                <c:pt idx="39">
                  <c:v>342.4</c:v>
                </c:pt>
                <c:pt idx="40">
                  <c:v>353.2</c:v>
                </c:pt>
                <c:pt idx="41">
                  <c:v>364.4</c:v>
                </c:pt>
              </c:numCache>
            </c:numRef>
          </c:yVal>
          <c:smooth val="1"/>
          <c:extLst>
            <c:ext xmlns:c16="http://schemas.microsoft.com/office/drawing/2014/chart" uri="{C3380CC4-5D6E-409C-BE32-E72D297353CC}">
              <c16:uniqueId val="{00000002-7192-4B40-BEC6-5CEC44DFC373}"/>
            </c:ext>
          </c:extLst>
        </c:ser>
        <c:dLbls>
          <c:showLegendKey val="0"/>
          <c:showVal val="0"/>
          <c:showCatName val="0"/>
          <c:showSerName val="0"/>
          <c:showPercent val="0"/>
          <c:showBubbleSize val="0"/>
        </c:dLbls>
        <c:axId val="1366555391"/>
        <c:axId val="1657393167"/>
      </c:scatterChart>
      <c:valAx>
        <c:axId val="1366555391"/>
        <c:scaling>
          <c:orientation val="minMax"/>
          <c:max val="15"/>
          <c:min val="7"/>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 (knot)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93167"/>
        <c:crosses val="autoZero"/>
        <c:crossBetween val="midCat"/>
      </c:valAx>
      <c:valAx>
        <c:axId val="1657393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RT</a:t>
                </a:r>
                <a:r>
                  <a:rPr lang="en-US" baseline="0"/>
                  <a:t> (kN)</a:t>
                </a:r>
                <a:endParaRPr lang="en-US"/>
              </a:p>
            </c:rich>
          </c:tx>
          <c:layout>
            <c:manualLayout>
              <c:xMode val="edge"/>
              <c:yMode val="edge"/>
              <c:x val="8.0827898311290943E-3"/>
              <c:y val="0.369760515434374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55391"/>
        <c:crosses val="autoZero"/>
        <c:crossBetween val="midCat"/>
      </c:valAx>
      <c:spPr>
        <a:noFill/>
        <a:ln>
          <a:noFill/>
        </a:ln>
        <a:effectLst/>
      </c:spPr>
    </c:plotArea>
    <c:legend>
      <c:legendPos val="r"/>
      <c:layout>
        <c:manualLayout>
          <c:xMode val="edge"/>
          <c:yMode val="edge"/>
          <c:x val="0.73186215321768877"/>
          <c:y val="0.49874765830519863"/>
          <c:w val="0.18478341960115455"/>
          <c:h val="0.2368185511585265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1.xm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8.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11.png"/><Relationship Id="rId16" Type="http://schemas.openxmlformats.org/officeDocument/2006/relationships/image" Target="../media/image25.png"/><Relationship Id="rId20" Type="http://schemas.openxmlformats.org/officeDocument/2006/relationships/image" Target="../media/image29.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wmf"/><Relationship Id="rId18" Type="http://schemas.openxmlformats.org/officeDocument/2006/relationships/image" Target="../media/image48.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17" Type="http://schemas.openxmlformats.org/officeDocument/2006/relationships/image" Target="../media/image47.wmf"/><Relationship Id="rId2" Type="http://schemas.openxmlformats.org/officeDocument/2006/relationships/image" Target="../media/image32.emf"/><Relationship Id="rId16" Type="http://schemas.openxmlformats.org/officeDocument/2006/relationships/image" Target="../media/image46.png"/><Relationship Id="rId20" Type="http://schemas.openxmlformats.org/officeDocument/2006/relationships/image" Target="../media/image50.png"/><Relationship Id="rId1" Type="http://schemas.openxmlformats.org/officeDocument/2006/relationships/image" Target="../media/image31.emf"/><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5" Type="http://schemas.openxmlformats.org/officeDocument/2006/relationships/image" Target="../media/image45.wmf"/><Relationship Id="rId10" Type="http://schemas.openxmlformats.org/officeDocument/2006/relationships/image" Target="../media/image40.png"/><Relationship Id="rId19" Type="http://schemas.openxmlformats.org/officeDocument/2006/relationships/image" Target="../media/image49.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s>
</file>

<file path=xl/drawings/_rels/drawing6.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4" Type="http://schemas.openxmlformats.org/officeDocument/2006/relationships/image" Target="../media/image54.png"/></Relationships>
</file>

<file path=xl/drawings/_rels/drawing7.xml.rels><?xml version="1.0" encoding="UTF-8" standalone="yes"?>
<Relationships xmlns="http://schemas.openxmlformats.org/package/2006/relationships"><Relationship Id="rId3" Type="http://schemas.openxmlformats.org/officeDocument/2006/relationships/image" Target="../media/image57.png"/><Relationship Id="rId7" Type="http://schemas.openxmlformats.org/officeDocument/2006/relationships/image" Target="../media/image60.png"/><Relationship Id="rId2" Type="http://schemas.openxmlformats.org/officeDocument/2006/relationships/image" Target="../media/image56.png"/><Relationship Id="rId1" Type="http://schemas.openxmlformats.org/officeDocument/2006/relationships/image" Target="../media/image55.png"/><Relationship Id="rId6" Type="http://schemas.openxmlformats.org/officeDocument/2006/relationships/image" Target="../media/image59.png"/><Relationship Id="rId5" Type="http://schemas.openxmlformats.org/officeDocument/2006/relationships/image" Target="../media/image58.png"/><Relationship Id="rId4" Type="http://schemas.microsoft.com/office/2007/relationships/hdphoto" Target="../media/hdphoto1.wdp"/></Relationships>
</file>

<file path=xl/drawings/_rels/drawing8.xml.rels><?xml version="1.0" encoding="UTF-8" standalone="yes"?>
<Relationships xmlns="http://schemas.openxmlformats.org/package/2006/relationships"><Relationship Id="rId3" Type="http://schemas.openxmlformats.org/officeDocument/2006/relationships/image" Target="../media/image63.png"/><Relationship Id="rId2" Type="http://schemas.openxmlformats.org/officeDocument/2006/relationships/image" Target="../media/image62.png"/><Relationship Id="rId1" Type="http://schemas.openxmlformats.org/officeDocument/2006/relationships/image" Target="../media/image61.emf"/></Relationships>
</file>

<file path=xl/drawings/_rels/drawing9.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18" Type="http://schemas.openxmlformats.org/officeDocument/2006/relationships/image" Target="../media/image46.png"/><Relationship Id="rId3" Type="http://schemas.openxmlformats.org/officeDocument/2006/relationships/image" Target="../media/image32.emf"/><Relationship Id="rId7" Type="http://schemas.openxmlformats.org/officeDocument/2006/relationships/image" Target="../media/image36.png"/><Relationship Id="rId12" Type="http://schemas.openxmlformats.org/officeDocument/2006/relationships/image" Target="../media/image41.png"/><Relationship Id="rId17" Type="http://schemas.openxmlformats.org/officeDocument/2006/relationships/image" Target="../media/image45.wmf"/><Relationship Id="rId2" Type="http://schemas.openxmlformats.org/officeDocument/2006/relationships/image" Target="../media/image31.emf"/><Relationship Id="rId16" Type="http://schemas.openxmlformats.org/officeDocument/2006/relationships/image" Target="../media/image44.png"/><Relationship Id="rId20" Type="http://schemas.openxmlformats.org/officeDocument/2006/relationships/image" Target="../media/image48.png"/><Relationship Id="rId1" Type="http://schemas.openxmlformats.org/officeDocument/2006/relationships/chart" Target="../charts/chart19.xml"/><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3.wmf"/><Relationship Id="rId10" Type="http://schemas.openxmlformats.org/officeDocument/2006/relationships/image" Target="../media/image39.png"/><Relationship Id="rId19" Type="http://schemas.openxmlformats.org/officeDocument/2006/relationships/image" Target="../media/image47.wmf"/><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8" Type="http://schemas.openxmlformats.org/officeDocument/2006/relationships/image" Target="../media/image71.png"/><Relationship Id="rId13" Type="http://schemas.openxmlformats.org/officeDocument/2006/relationships/image" Target="../media/image76.png"/><Relationship Id="rId18" Type="http://schemas.openxmlformats.org/officeDocument/2006/relationships/image" Target="../media/image81.png"/><Relationship Id="rId3" Type="http://schemas.openxmlformats.org/officeDocument/2006/relationships/image" Target="../media/image66.png"/><Relationship Id="rId21" Type="http://schemas.openxmlformats.org/officeDocument/2006/relationships/image" Target="../media/image84.png"/><Relationship Id="rId7" Type="http://schemas.openxmlformats.org/officeDocument/2006/relationships/image" Target="../media/image70.png"/><Relationship Id="rId12" Type="http://schemas.openxmlformats.org/officeDocument/2006/relationships/image" Target="../media/image75.png"/><Relationship Id="rId17" Type="http://schemas.openxmlformats.org/officeDocument/2006/relationships/image" Target="../media/image80.png"/><Relationship Id="rId2" Type="http://schemas.openxmlformats.org/officeDocument/2006/relationships/image" Target="../media/image65.png"/><Relationship Id="rId16" Type="http://schemas.openxmlformats.org/officeDocument/2006/relationships/image" Target="../media/image79.png"/><Relationship Id="rId20" Type="http://schemas.openxmlformats.org/officeDocument/2006/relationships/image" Target="../media/image83.png"/><Relationship Id="rId1" Type="http://schemas.openxmlformats.org/officeDocument/2006/relationships/image" Target="../media/image64.png"/><Relationship Id="rId6" Type="http://schemas.openxmlformats.org/officeDocument/2006/relationships/image" Target="../media/image69.png"/><Relationship Id="rId11" Type="http://schemas.openxmlformats.org/officeDocument/2006/relationships/image" Target="../media/image74.png"/><Relationship Id="rId24" Type="http://schemas.openxmlformats.org/officeDocument/2006/relationships/image" Target="../media/image87.png"/><Relationship Id="rId5" Type="http://schemas.openxmlformats.org/officeDocument/2006/relationships/image" Target="../media/image68.png"/><Relationship Id="rId15" Type="http://schemas.openxmlformats.org/officeDocument/2006/relationships/image" Target="../media/image78.png"/><Relationship Id="rId23" Type="http://schemas.openxmlformats.org/officeDocument/2006/relationships/image" Target="../media/image86.png"/><Relationship Id="rId10" Type="http://schemas.openxmlformats.org/officeDocument/2006/relationships/image" Target="../media/image73.png"/><Relationship Id="rId19" Type="http://schemas.openxmlformats.org/officeDocument/2006/relationships/image" Target="../media/image82.png"/><Relationship Id="rId4" Type="http://schemas.openxmlformats.org/officeDocument/2006/relationships/image" Target="../media/image67.png"/><Relationship Id="rId9" Type="http://schemas.openxmlformats.org/officeDocument/2006/relationships/image" Target="../media/image72.png"/><Relationship Id="rId14" Type="http://schemas.openxmlformats.org/officeDocument/2006/relationships/image" Target="../media/image77.png"/><Relationship Id="rId22" Type="http://schemas.openxmlformats.org/officeDocument/2006/relationships/image" Target="../media/image8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90.png"/><Relationship Id="rId2" Type="http://schemas.openxmlformats.org/officeDocument/2006/relationships/image" Target="../media/image89.png"/><Relationship Id="rId1" Type="http://schemas.openxmlformats.org/officeDocument/2006/relationships/image" Target="../media/image88.png"/><Relationship Id="rId6" Type="http://schemas.openxmlformats.org/officeDocument/2006/relationships/image" Target="../media/image93.png"/><Relationship Id="rId5" Type="http://schemas.openxmlformats.org/officeDocument/2006/relationships/image" Target="../media/image92.png"/><Relationship Id="rId4" Type="http://schemas.openxmlformats.org/officeDocument/2006/relationships/image" Target="../media/image9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0.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oneCellAnchor>
    <xdr:from>
      <xdr:col>0</xdr:col>
      <xdr:colOff>95249</xdr:colOff>
      <xdr:row>72</xdr:row>
      <xdr:rowOff>85726</xdr:rowOff>
    </xdr:from>
    <xdr:ext cx="981075" cy="41030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95249" y="14516101"/>
              <a:ext cx="981075"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a:rPr>
                          <m:t>𝐿</m:t>
                        </m:r>
                      </m:num>
                      <m:den>
                        <m:sSup>
                          <m:sSupPr>
                            <m:ctrlPr>
                              <a:rPr lang="en-US" sz="1100" i="1">
                                <a:latin typeface="Cambria Math" panose="02040503050406030204" pitchFamily="18" charset="0"/>
                              </a:rPr>
                            </m:ctrlPr>
                          </m:sSupPr>
                          <m:e>
                            <m:r>
                              <a:rPr lang="en-US" sz="1100" i="1">
                                <a:latin typeface="Cambria Math"/>
                              </a:rPr>
                              <m:t>▽</m:t>
                            </m:r>
                          </m:e>
                          <m:sup>
                            <m:r>
                              <a:rPr lang="en-US" sz="1100" b="0" i="1">
                                <a:latin typeface="Cambria Math"/>
                              </a:rPr>
                              <m:t>1/3</m:t>
                            </m:r>
                          </m:sup>
                        </m:sSup>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E5BCCB9A-C2D0-4900-A794-F84A730A1C54}"/>
                </a:ext>
              </a:extLst>
            </xdr:cNvPr>
            <xdr:cNvSpPr txBox="1"/>
          </xdr:nvSpPr>
          <xdr:spPr>
            <a:xfrm>
              <a:off x="95249" y="14516101"/>
              <a:ext cx="981075"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1100" b="0" i="0">
                  <a:latin typeface="Cambria Math"/>
                </a:rPr>
                <a:t>𝐿</a:t>
              </a:r>
              <a:r>
                <a:rPr lang="en-US" sz="1100" b="0" i="0">
                  <a:latin typeface="Cambria Math" panose="02040503050406030204" pitchFamily="18" charset="0"/>
                </a:rPr>
                <a:t>/</a:t>
              </a:r>
              <a:r>
                <a:rPr lang="en-US" sz="1100" i="0">
                  <a:latin typeface="Cambria Math"/>
                </a:rPr>
                <a:t>▽</a:t>
              </a:r>
              <a:r>
                <a:rPr lang="en-US" sz="1100" i="0">
                  <a:latin typeface="Cambria Math" panose="02040503050406030204" pitchFamily="18" charset="0"/>
                </a:rPr>
                <a:t>^(</a:t>
              </a:r>
              <a:r>
                <a:rPr lang="en-US" sz="1100" b="0" i="0">
                  <a:latin typeface="Cambria Math"/>
                </a:rPr>
                <a:t>1/3</a:t>
              </a:r>
              <a:r>
                <a:rPr lang="en-US" sz="1100" b="0" i="0">
                  <a:latin typeface="Cambria Math" panose="02040503050406030204" pitchFamily="18" charset="0"/>
                </a:rPr>
                <a:t>) </a:t>
              </a:r>
              <a:endParaRPr lang="en-US" sz="1100"/>
            </a:p>
          </xdr:txBody>
        </xdr:sp>
      </mc:Fallback>
    </mc:AlternateContent>
    <xdr:clientData/>
  </xdr:oneCellAnchor>
  <xdr:oneCellAnchor>
    <xdr:from>
      <xdr:col>1</xdr:col>
      <xdr:colOff>296436</xdr:colOff>
      <xdr:row>89</xdr:row>
      <xdr:rowOff>81543</xdr:rowOff>
    </xdr:from>
    <xdr:ext cx="1019175" cy="3325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010811" y="18112368"/>
              <a:ext cx="1019175" cy="332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0.16</a:t>
              </a:r>
              <a:r>
                <a:rPr lang="en-US" sz="1100" baseline="0"/>
                <a:t> ( </a:t>
              </a:r>
              <a14:m>
                <m:oMath xmlns:m="http://schemas.openxmlformats.org/officeDocument/2006/math">
                  <m:f>
                    <m:fPr>
                      <m:ctrlPr>
                        <a:rPr lang="en-US" sz="1100" i="1">
                          <a:latin typeface="Cambria Math" panose="02040503050406030204" pitchFamily="18" charset="0"/>
                        </a:rPr>
                      </m:ctrlPr>
                    </m:fPr>
                    <m:num>
                      <m:r>
                        <a:rPr lang="en-US" sz="1100" b="0" i="1">
                          <a:latin typeface="Cambria Math"/>
                        </a:rPr>
                        <m:t>𝐵</m:t>
                      </m:r>
                    </m:num>
                    <m:den>
                      <m:r>
                        <a:rPr lang="en-US" sz="1100" b="0" i="1">
                          <a:latin typeface="Cambria Math"/>
                        </a:rPr>
                        <m:t>𝑇</m:t>
                      </m:r>
                    </m:den>
                  </m:f>
                </m:oMath>
              </a14:m>
              <a:r>
                <a:rPr lang="en-US" sz="1100"/>
                <a:t>-2.5 )</a:t>
              </a:r>
            </a:p>
          </xdr:txBody>
        </xdr:sp>
      </mc:Choice>
      <mc:Fallback xmlns="">
        <xdr:sp macro="" textlink="">
          <xdr:nvSpPr>
            <xdr:cNvPr id="3" name="TextBox 2">
              <a:extLst>
                <a:ext uri="{FF2B5EF4-FFF2-40B4-BE49-F238E27FC236}">
                  <a16:creationId xmlns:a16="http://schemas.microsoft.com/office/drawing/2014/main" id="{1FE97BD5-E3F7-432D-B515-F422F14C71B4}"/>
                </a:ext>
              </a:extLst>
            </xdr:cNvPr>
            <xdr:cNvSpPr txBox="1"/>
          </xdr:nvSpPr>
          <xdr:spPr>
            <a:xfrm>
              <a:off x="1010811" y="18112368"/>
              <a:ext cx="1019175" cy="332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0.16</a:t>
              </a:r>
              <a:r>
                <a:rPr lang="en-US" sz="1100" baseline="0"/>
                <a:t> ( </a:t>
              </a:r>
              <a:r>
                <a:rPr lang="en-US" sz="1100" b="0" i="0">
                  <a:latin typeface="Cambria Math"/>
                </a:rPr>
                <a:t>𝐵</a:t>
              </a:r>
              <a:r>
                <a:rPr lang="en-US" sz="1100" b="0" i="0">
                  <a:latin typeface="Cambria Math" panose="02040503050406030204" pitchFamily="18" charset="0"/>
                </a:rPr>
                <a:t>/</a:t>
              </a:r>
              <a:r>
                <a:rPr lang="en-US" sz="1100" b="0" i="0">
                  <a:latin typeface="Cambria Math"/>
                </a:rPr>
                <a:t>𝑇</a:t>
              </a:r>
              <a:r>
                <a:rPr lang="en-US" sz="1100"/>
                <a:t>-2.5 )</a:t>
              </a:r>
            </a:p>
          </xdr:txBody>
        </xdr:sp>
      </mc:Fallback>
    </mc:AlternateContent>
    <xdr:clientData/>
  </xdr:oneCellAnchor>
  <xdr:twoCellAnchor editAs="oneCell">
    <xdr:from>
      <xdr:col>3</xdr:col>
      <xdr:colOff>438150</xdr:colOff>
      <xdr:row>88</xdr:row>
      <xdr:rowOff>0</xdr:rowOff>
    </xdr:from>
    <xdr:to>
      <xdr:col>6</xdr:col>
      <xdr:colOff>173380</xdr:colOff>
      <xdr:row>97</xdr:row>
      <xdr:rowOff>249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457450" y="17830800"/>
          <a:ext cx="2392705" cy="1800474"/>
        </a:xfrm>
        <a:prstGeom prst="rect">
          <a:avLst/>
        </a:prstGeom>
      </xdr:spPr>
    </xdr:pic>
    <xdr:clientData/>
  </xdr:twoCellAnchor>
  <xdr:twoCellAnchor>
    <xdr:from>
      <xdr:col>0</xdr:col>
      <xdr:colOff>152400</xdr:colOff>
      <xdr:row>40</xdr:row>
      <xdr:rowOff>180975</xdr:rowOff>
    </xdr:from>
    <xdr:to>
      <xdr:col>2</xdr:col>
      <xdr:colOff>457200</xdr:colOff>
      <xdr:row>43</xdr:row>
      <xdr:rowOff>152400</xdr:rowOff>
    </xdr:to>
    <mc:AlternateContent xmlns:mc="http://schemas.openxmlformats.org/markup-compatibility/2006" xmlns:a14="http://schemas.microsoft.com/office/drawing/2010/main">
      <mc:Choice Requires="a14">
        <xdr:sp macro="" textlink="">
          <xdr:nvSpPr>
            <xdr:cNvPr id="5" name="Object 1">
              <a:extLst>
                <a:ext uri="{FF2B5EF4-FFF2-40B4-BE49-F238E27FC236}">
                  <a16:creationId xmlns:a16="http://schemas.microsoft.com/office/drawing/2014/main" id="{00000000-0008-0000-0000-000005000000}"/>
                </a:ext>
              </a:extLst>
            </xdr:cNvPr>
            <xdr:cNvSpPr txBox="1"/>
          </xdr:nvSpPr>
          <xdr:spPr>
            <a:xfrm>
              <a:off x="152400" y="8181975"/>
              <a:ext cx="1638300" cy="57150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r>
                      <a:rPr lang="en-US" i="1">
                        <a:solidFill>
                          <a:srgbClr val="000000"/>
                        </a:solidFill>
                        <a:latin typeface="Cambria Math" panose="02040503050406030204" pitchFamily="18" charset="0"/>
                      </a:rPr>
                      <m:t>𝐶𝑓</m:t>
                    </m:r>
                    <m:r>
                      <a:rPr lang="en-US" i="1">
                        <a:solidFill>
                          <a:srgbClr val="000000"/>
                        </a:solidFill>
                        <a:latin typeface="Cambria Math" panose="02040503050406030204" pitchFamily="18" charset="0"/>
                      </a:rPr>
                      <m:t>=</m:t>
                    </m:r>
                    <m:sSup>
                      <m:sSupPr>
                        <m:ctrlPr>
                          <a:rPr lang="en-US" i="1">
                            <a:solidFill>
                              <a:srgbClr val="000000"/>
                            </a:solidFill>
                            <a:latin typeface="Cambria Math" panose="02040503050406030204" pitchFamily="18" charset="0"/>
                          </a:rPr>
                        </m:ctrlPr>
                      </m:sSupPr>
                      <m:e>
                        <m:f>
                          <m:fPr>
                            <m:ctrlPr>
                              <a:rPr lang="en-US" i="1">
                                <a:solidFill>
                                  <a:srgbClr val="000000"/>
                                </a:solidFill>
                                <a:latin typeface="Cambria Math" panose="02040503050406030204" pitchFamily="18" charset="0"/>
                              </a:rPr>
                            </m:ctrlPr>
                          </m:fPr>
                          <m:num>
                            <m:r>
                              <a:rPr lang="en-US" i="1">
                                <a:solidFill>
                                  <a:srgbClr val="000000"/>
                                </a:solidFill>
                                <a:latin typeface="Cambria Math" panose="02040503050406030204" pitchFamily="18" charset="0"/>
                              </a:rPr>
                              <m:t>0,075</m:t>
                            </m:r>
                          </m:num>
                          <m:den>
                            <m:r>
                              <a:rPr lang="en-US" i="1">
                                <a:solidFill>
                                  <a:srgbClr val="000000"/>
                                </a:solidFill>
                                <a:latin typeface="Cambria Math" panose="02040503050406030204" pitchFamily="18" charset="0"/>
                              </a:rPr>
                              <m:t>(</m:t>
                            </m:r>
                            <m:func>
                              <m:funcPr>
                                <m:ctrlPr>
                                  <a:rPr lang="en-US" i="1">
                                    <a:solidFill>
                                      <a:srgbClr val="000000"/>
                                    </a:solidFill>
                                    <a:latin typeface="Cambria Math" panose="02040503050406030204" pitchFamily="18" charset="0"/>
                                  </a:rPr>
                                </m:ctrlPr>
                              </m:funcPr>
                              <m:fName>
                                <m:r>
                                  <m:rPr>
                                    <m:sty m:val="p"/>
                                  </m:rPr>
                                  <a:rPr lang="en-US" i="0">
                                    <a:solidFill>
                                      <a:srgbClr val="000000"/>
                                    </a:solidFill>
                                    <a:latin typeface="Cambria Math" panose="02040503050406030204" pitchFamily="18" charset="0"/>
                                  </a:rPr>
                                  <m:t>log</m:t>
                                </m:r>
                              </m:fName>
                              <m:e>
                                <m:r>
                                  <a:rPr lang="en-US" i="1">
                                    <a:solidFill>
                                      <a:srgbClr val="000000"/>
                                    </a:solidFill>
                                    <a:latin typeface="Cambria Math" panose="02040503050406030204" pitchFamily="18" charset="0"/>
                                  </a:rPr>
                                  <m:t>𝑅</m:t>
                                </m:r>
                              </m:e>
                            </m:func>
                            <m:r>
                              <a:rPr lang="en-US" i="1">
                                <a:solidFill>
                                  <a:srgbClr val="000000"/>
                                </a:solidFill>
                                <a:latin typeface="Cambria Math" panose="02040503050406030204" pitchFamily="18" charset="0"/>
                              </a:rPr>
                              <m:t>𝑛</m:t>
                            </m:r>
                            <m:r>
                              <a:rPr lang="en-US" i="1">
                                <a:solidFill>
                                  <a:srgbClr val="000000"/>
                                </a:solidFill>
                                <a:latin typeface="Cambria Math" panose="02040503050406030204" pitchFamily="18" charset="0"/>
                              </a:rPr>
                              <m:t>−2</m:t>
                            </m:r>
                            <m:sSup>
                              <m:sSupPr>
                                <m:ctrlPr>
                                  <a:rPr lang="en-US" i="1">
                                    <a:solidFill>
                                      <a:srgbClr val="000000"/>
                                    </a:solidFill>
                                    <a:latin typeface="Cambria Math" panose="02040503050406030204" pitchFamily="18" charset="0"/>
                                  </a:rPr>
                                </m:ctrlPr>
                              </m:sSupPr>
                              <m:e>
                                <m:r>
                                  <a:rPr lang="en-US" i="1">
                                    <a:solidFill>
                                      <a:srgbClr val="000000"/>
                                    </a:solidFill>
                                    <a:latin typeface="Cambria Math" panose="02040503050406030204" pitchFamily="18" charset="0"/>
                                  </a:rPr>
                                  <m:t>)</m:t>
                                </m:r>
                              </m:e>
                              <m:sup>
                                <m:r>
                                  <a:rPr lang="en-US" i="1">
                                    <a:solidFill>
                                      <a:srgbClr val="000000"/>
                                    </a:solidFill>
                                    <a:latin typeface="Cambria Math" panose="02040503050406030204" pitchFamily="18" charset="0"/>
                                  </a:rPr>
                                  <m:t>2</m:t>
                                </m:r>
                              </m:sup>
                            </m:sSup>
                          </m:den>
                        </m:f>
                      </m:e>
                      <m:sup/>
                    </m:sSup>
                  </m:oMath>
                </m:oMathPara>
              </a14:m>
              <a:endParaRPr lang="en-US"/>
            </a:p>
          </xdr:txBody>
        </xdr:sp>
      </mc:Choice>
      <mc:Fallback xmlns="">
        <xdr:sp macro="" textlink="">
          <xdr:nvSpPr>
            <xdr:cNvPr id="5" name="Object 1">
              <a:extLst>
                <a:ext uri="{FF2B5EF4-FFF2-40B4-BE49-F238E27FC236}">
                  <a16:creationId xmlns:a16="http://schemas.microsoft.com/office/drawing/2014/main" id="{153B9D43-9670-442F-8ED5-4C307164F82D}"/>
                </a:ext>
              </a:extLst>
            </xdr:cNvPr>
            <xdr:cNvSpPr txBox="1"/>
          </xdr:nvSpPr>
          <xdr:spPr>
            <a:xfrm>
              <a:off x="152400" y="8181975"/>
              <a:ext cx="1638300" cy="571500"/>
            </a:xfrm>
            <a:prstGeom prst="rect">
              <a:avLst/>
            </a:prstGeom>
          </xdr:spPr>
          <xdr:txBody>
            <a:bodyPr vertOverflow="clip" horzOverflow="clip" wrap="none">
              <a:spAutoFit/>
            </a:bodyPr>
            <a:lstStyle/>
            <a:p>
              <a:pPr/>
              <a:r>
                <a:rPr lang="en-US" i="0">
                  <a:solidFill>
                    <a:srgbClr val="000000"/>
                  </a:solidFill>
                  <a:latin typeface="Cambria Math" panose="02040503050406030204" pitchFamily="18" charset="0"/>
                </a:rPr>
                <a:t>𝐶𝑓=〖0,075/((log⁡𝑅 𝑛−2)^2 )〗^</a:t>
              </a:r>
              <a:endParaRPr lang="en-US"/>
            </a:p>
          </xdr:txBody>
        </xdr:sp>
      </mc:Fallback>
    </mc:AlternateContent>
    <xdr:clientData/>
  </xdr:twoCellAnchor>
  <xdr:twoCellAnchor>
    <xdr:from>
      <xdr:col>0</xdr:col>
      <xdr:colOff>723900</xdr:colOff>
      <xdr:row>57</xdr:row>
      <xdr:rowOff>152400</xdr:rowOff>
    </xdr:from>
    <xdr:to>
      <xdr:col>2</xdr:col>
      <xdr:colOff>333375</xdr:colOff>
      <xdr:row>60</xdr:row>
      <xdr:rowOff>171450</xdr:rowOff>
    </xdr:to>
    <mc:AlternateContent xmlns:mc="http://schemas.openxmlformats.org/markup-compatibility/2006" xmlns:a14="http://schemas.microsoft.com/office/drawing/2010/main">
      <mc:Choice Requires="a14">
        <xdr:sp macro="" textlink="">
          <xdr:nvSpPr>
            <xdr:cNvPr id="6" name="Object 2">
              <a:extLst>
                <a:ext uri="{FF2B5EF4-FFF2-40B4-BE49-F238E27FC236}">
                  <a16:creationId xmlns:a16="http://schemas.microsoft.com/office/drawing/2014/main" id="{00000000-0008-0000-0000-000006000000}"/>
                </a:ext>
              </a:extLst>
            </xdr:cNvPr>
            <xdr:cNvSpPr txBox="1"/>
          </xdr:nvSpPr>
          <xdr:spPr>
            <a:xfrm>
              <a:off x="714375" y="11553825"/>
              <a:ext cx="952500" cy="619125"/>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r>
                      <a:rPr lang="en-US" i="1">
                        <a:solidFill>
                          <a:srgbClr val="000000"/>
                        </a:solidFill>
                        <a:latin typeface="Cambria Math" panose="02040503050406030204" pitchFamily="18" charset="0"/>
                      </a:rPr>
                      <m:t>𝐹𝑛</m:t>
                    </m:r>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r>
                          <a:rPr lang="en-US" i="1">
                            <a:solidFill>
                              <a:srgbClr val="000000"/>
                            </a:solidFill>
                            <a:latin typeface="Cambria Math" panose="02040503050406030204" pitchFamily="18" charset="0"/>
                          </a:rPr>
                          <m:t>𝑣</m:t>
                        </m:r>
                      </m:num>
                      <m:den>
                        <m:rad>
                          <m:radPr>
                            <m:degHide m:val="on"/>
                            <m:ctrlPr>
                              <a:rPr lang="en-US" i="1">
                                <a:solidFill>
                                  <a:srgbClr val="000000"/>
                                </a:solidFill>
                                <a:latin typeface="Cambria Math" panose="02040503050406030204" pitchFamily="18" charset="0"/>
                              </a:rPr>
                            </m:ctrlPr>
                          </m:radPr>
                          <m:deg/>
                          <m:e>
                            <m:r>
                              <a:rPr lang="en-US" i="1">
                                <a:solidFill>
                                  <a:srgbClr val="000000"/>
                                </a:solidFill>
                                <a:latin typeface="Cambria Math" panose="02040503050406030204" pitchFamily="18" charset="0"/>
                              </a:rPr>
                              <m:t>𝑔𝐿𝑤𝑙</m:t>
                            </m:r>
                          </m:e>
                        </m:rad>
                      </m:den>
                    </m:f>
                  </m:oMath>
                </m:oMathPara>
              </a14:m>
              <a:endParaRPr lang="en-US"/>
            </a:p>
          </xdr:txBody>
        </xdr:sp>
      </mc:Choice>
      <mc:Fallback xmlns="">
        <xdr:sp macro="" textlink="">
          <xdr:nvSpPr>
            <xdr:cNvPr id="6" name="Object 2">
              <a:extLst>
                <a:ext uri="{FF2B5EF4-FFF2-40B4-BE49-F238E27FC236}">
                  <a16:creationId xmlns:a16="http://schemas.microsoft.com/office/drawing/2014/main" id="{EFF1129A-BE9E-49A8-98C2-FFB945461B37}"/>
                </a:ext>
              </a:extLst>
            </xdr:cNvPr>
            <xdr:cNvSpPr txBox="1"/>
          </xdr:nvSpPr>
          <xdr:spPr>
            <a:xfrm>
              <a:off x="714375" y="11553825"/>
              <a:ext cx="952500" cy="619125"/>
            </a:xfrm>
            <a:prstGeom prst="rect">
              <a:avLst/>
            </a:prstGeom>
          </xdr:spPr>
          <xdr:txBody>
            <a:bodyPr vertOverflow="clip" horzOverflow="clip" wrap="none">
              <a:spAutoFit/>
            </a:bodyPr>
            <a:lstStyle/>
            <a:p>
              <a:pPr/>
              <a:r>
                <a:rPr lang="en-US" i="0">
                  <a:solidFill>
                    <a:srgbClr val="000000"/>
                  </a:solidFill>
                  <a:latin typeface="Cambria Math" panose="02040503050406030204" pitchFamily="18" charset="0"/>
                </a:rPr>
                <a:t>𝐹𝑛=𝑣/√𝑔𝐿𝑤𝑙</a:t>
              </a:r>
              <a:endParaRPr lang="en-US"/>
            </a:p>
          </xdr:txBody>
        </xdr:sp>
      </mc:Fallback>
    </mc:AlternateContent>
    <xdr:clientData/>
  </xdr:twoCellAnchor>
  <xdr:twoCellAnchor>
    <xdr:from>
      <xdr:col>0</xdr:col>
      <xdr:colOff>729673</xdr:colOff>
      <xdr:row>179</xdr:row>
      <xdr:rowOff>133639</xdr:rowOff>
    </xdr:from>
    <xdr:to>
      <xdr:col>3</xdr:col>
      <xdr:colOff>720148</xdr:colOff>
      <xdr:row>181</xdr:row>
      <xdr:rowOff>144319</xdr:rowOff>
    </xdr:to>
    <mc:AlternateContent xmlns:mc="http://schemas.openxmlformats.org/markup-compatibility/2006" xmlns:a14="http://schemas.microsoft.com/office/drawing/2010/main">
      <mc:Choice Requires="a14">
        <xdr:sp macro="" textlink="">
          <xdr:nvSpPr>
            <xdr:cNvPr id="7" name="Object 3">
              <a:extLst>
                <a:ext uri="{FF2B5EF4-FFF2-40B4-BE49-F238E27FC236}">
                  <a16:creationId xmlns:a16="http://schemas.microsoft.com/office/drawing/2014/main" id="{00000000-0008-0000-0000-000007000000}"/>
                </a:ext>
              </a:extLst>
            </xdr:cNvPr>
            <xdr:cNvSpPr txBox="1"/>
          </xdr:nvSpPr>
          <xdr:spPr>
            <a:xfrm>
              <a:off x="710623" y="36785839"/>
              <a:ext cx="1990725" cy="410730"/>
            </a:xfrm>
            <a:prstGeom prst="rect">
              <a:avLst/>
            </a:prstGeom>
          </xdr:spPr>
          <xdr:txBody>
            <a:bodyPr vertOverflow="clip" horzOverflow="clip" wrap="none">
              <a:noAutofit/>
            </a:bodyPr>
            <a:lstStyle/>
            <a:p>
              <a:pPr/>
              <a14:m>
                <m:oMathPara xmlns:m="http://schemas.openxmlformats.org/officeDocument/2006/math">
                  <m:oMathParaPr>
                    <m:jc m:val="left"/>
                  </m:oMathParaPr>
                  <m:oMath xmlns:m="http://schemas.openxmlformats.org/officeDocument/2006/math">
                    <m:r>
                      <a:rPr lang="en-US" i="1">
                        <a:solidFill>
                          <a:srgbClr val="000000"/>
                        </a:solidFill>
                        <a:latin typeface="Cambria Math" panose="02040503050406030204" pitchFamily="18" charset="0"/>
                      </a:rPr>
                      <m:t>𝑅𝑡</m:t>
                    </m:r>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r>
                          <a:rPr lang="en-US" i="1">
                            <a:solidFill>
                              <a:srgbClr val="000000"/>
                            </a:solidFill>
                            <a:latin typeface="Cambria Math" panose="02040503050406030204" pitchFamily="18" charset="0"/>
                          </a:rPr>
                          <m:t>1</m:t>
                        </m:r>
                      </m:num>
                      <m:den>
                        <m:r>
                          <a:rPr lang="en-US" i="1">
                            <a:solidFill>
                              <a:srgbClr val="000000"/>
                            </a:solidFill>
                            <a:latin typeface="Cambria Math" panose="02040503050406030204" pitchFamily="18" charset="0"/>
                          </a:rPr>
                          <m:t>2</m:t>
                        </m:r>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𝜌</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𝐶𝑡𝑎𝑖𝑟</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𝑆</m:t>
                    </m:r>
                    <m:r>
                      <a:rPr lang="en-US" i="1">
                        <a:solidFill>
                          <a:srgbClr val="000000"/>
                        </a:solidFill>
                        <a:latin typeface="Cambria Math" panose="02040503050406030204" pitchFamily="18" charset="0"/>
                      </a:rPr>
                      <m:t>×</m:t>
                    </m:r>
                    <m:sSup>
                      <m:sSupPr>
                        <m:ctrlPr>
                          <a:rPr lang="en-US" i="1">
                            <a:solidFill>
                              <a:srgbClr val="000000"/>
                            </a:solidFill>
                            <a:latin typeface="Cambria Math" panose="02040503050406030204" pitchFamily="18" charset="0"/>
                          </a:rPr>
                        </m:ctrlPr>
                      </m:sSupPr>
                      <m:e>
                        <m:r>
                          <a:rPr lang="en-US" i="1">
                            <a:solidFill>
                              <a:srgbClr val="000000"/>
                            </a:solidFill>
                            <a:latin typeface="Cambria Math" panose="02040503050406030204" pitchFamily="18" charset="0"/>
                          </a:rPr>
                          <m:t>𝑉</m:t>
                        </m:r>
                      </m:e>
                      <m:sup>
                        <m:r>
                          <a:rPr lang="en-US" i="1">
                            <a:solidFill>
                              <a:srgbClr val="000000"/>
                            </a:solidFill>
                            <a:latin typeface="Cambria Math" panose="02040503050406030204" pitchFamily="18" charset="0"/>
                          </a:rPr>
                          <m:t>2</m:t>
                        </m:r>
                      </m:sup>
                    </m:sSup>
                  </m:oMath>
                </m:oMathPara>
              </a14:m>
              <a:endParaRPr lang="en-US"/>
            </a:p>
          </xdr:txBody>
        </xdr:sp>
      </mc:Choice>
      <mc:Fallback xmlns="">
        <xdr:sp macro="" textlink="">
          <xdr:nvSpPr>
            <xdr:cNvPr id="7" name="Object 3">
              <a:extLst>
                <a:ext uri="{FF2B5EF4-FFF2-40B4-BE49-F238E27FC236}">
                  <a16:creationId xmlns:a16="http://schemas.microsoft.com/office/drawing/2014/main" id="{28B27DA1-7CF3-4B82-8B97-2420162E3C7D}"/>
                </a:ext>
              </a:extLst>
            </xdr:cNvPr>
            <xdr:cNvSpPr txBox="1"/>
          </xdr:nvSpPr>
          <xdr:spPr>
            <a:xfrm>
              <a:off x="710623" y="36785839"/>
              <a:ext cx="1990725" cy="410730"/>
            </a:xfrm>
            <a:prstGeom prst="rect">
              <a:avLst/>
            </a:prstGeom>
          </xdr:spPr>
          <xdr:txBody>
            <a:bodyPr vertOverflow="clip" horzOverflow="clip" wrap="none">
              <a:noAutofit/>
            </a:bodyPr>
            <a:lstStyle/>
            <a:p>
              <a:pPr/>
              <a:r>
                <a:rPr lang="en-US" i="0">
                  <a:solidFill>
                    <a:srgbClr val="000000"/>
                  </a:solidFill>
                  <a:latin typeface="Cambria Math" panose="02040503050406030204" pitchFamily="18" charset="0"/>
                </a:rPr>
                <a:t>𝑅𝑡=1/2×𝜌×𝐶𝑡𝑎𝑖𝑟×𝑆×𝑉^2</a:t>
              </a:r>
              <a:endParaRPr lang="en-US"/>
            </a:p>
          </xdr:txBody>
        </xdr:sp>
      </mc:Fallback>
    </mc:AlternateContent>
    <xdr:clientData/>
  </xdr:twoCellAnchor>
  <xdr:twoCellAnchor>
    <xdr:from>
      <xdr:col>0</xdr:col>
      <xdr:colOff>571501</xdr:colOff>
      <xdr:row>197</xdr:row>
      <xdr:rowOff>171450</xdr:rowOff>
    </xdr:from>
    <xdr:to>
      <xdr:col>3</xdr:col>
      <xdr:colOff>9526</xdr:colOff>
      <xdr:row>200</xdr:row>
      <xdr:rowOff>19050</xdr:rowOff>
    </xdr:to>
    <mc:AlternateContent xmlns:mc="http://schemas.openxmlformats.org/markup-compatibility/2006" xmlns:a14="http://schemas.microsoft.com/office/drawing/2010/main">
      <mc:Choice Requires="a14">
        <xdr:sp macro="" textlink="">
          <xdr:nvSpPr>
            <xdr:cNvPr id="8" name="Object 4">
              <a:extLst>
                <a:ext uri="{FF2B5EF4-FFF2-40B4-BE49-F238E27FC236}">
                  <a16:creationId xmlns:a16="http://schemas.microsoft.com/office/drawing/2014/main" id="{00000000-0008-0000-0000-000008000000}"/>
                </a:ext>
              </a:extLst>
            </xdr:cNvPr>
            <xdr:cNvSpPr txBox="1"/>
          </xdr:nvSpPr>
          <xdr:spPr>
            <a:xfrm>
              <a:off x="571501" y="40424100"/>
              <a:ext cx="1457325" cy="447675"/>
            </a:xfrm>
            <a:prstGeom prst="rect">
              <a:avLst/>
            </a:prstGeom>
          </xdr:spPr>
          <xdr:txBody>
            <a:bodyPr vertOverflow="clip" horzOverflow="clip" wrap="none">
              <a:noAutofit/>
            </a:bodyPr>
            <a:lstStyle/>
            <a:p>
              <a:pPr/>
              <a14:m>
                <m:oMathPara xmlns:m="http://schemas.openxmlformats.org/officeDocument/2006/math">
                  <m:oMathParaPr>
                    <m:jc m:val="left"/>
                  </m:oMathParaPr>
                  <m:oMath xmlns:m="http://schemas.openxmlformats.org/officeDocument/2006/math">
                    <m:r>
                      <a:rPr lang="en-US" i="1">
                        <a:solidFill>
                          <a:srgbClr val="000000"/>
                        </a:solidFill>
                        <a:latin typeface="Cambria Math" panose="02040503050406030204" pitchFamily="18" charset="0"/>
                      </a:rPr>
                      <m:t>𝑅𝑡</m:t>
                    </m:r>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r>
                          <a:rPr lang="en-US" i="1">
                            <a:solidFill>
                              <a:srgbClr val="000000"/>
                            </a:solidFill>
                            <a:latin typeface="Cambria Math" panose="02040503050406030204" pitchFamily="18" charset="0"/>
                          </a:rPr>
                          <m:t>1</m:t>
                        </m:r>
                      </m:num>
                      <m:den>
                        <m:r>
                          <a:rPr lang="en-US" i="1">
                            <a:solidFill>
                              <a:srgbClr val="000000"/>
                            </a:solidFill>
                            <a:latin typeface="Cambria Math" panose="02040503050406030204" pitchFamily="18" charset="0"/>
                          </a:rPr>
                          <m:t>2</m:t>
                        </m:r>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𝜌</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𝐶𝑢𝑑𝑎𝑟𝑎</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𝑆</m:t>
                    </m:r>
                    <m:r>
                      <a:rPr lang="en-US" i="1">
                        <a:solidFill>
                          <a:srgbClr val="000000"/>
                        </a:solidFill>
                        <a:latin typeface="Cambria Math" panose="02040503050406030204" pitchFamily="18" charset="0"/>
                      </a:rPr>
                      <m:t>×</m:t>
                    </m:r>
                    <m:sSup>
                      <m:sSupPr>
                        <m:ctrlPr>
                          <a:rPr lang="en-US" i="1">
                            <a:solidFill>
                              <a:srgbClr val="000000"/>
                            </a:solidFill>
                            <a:latin typeface="Cambria Math" panose="02040503050406030204" pitchFamily="18" charset="0"/>
                          </a:rPr>
                        </m:ctrlPr>
                      </m:sSupPr>
                      <m:e>
                        <m:r>
                          <a:rPr lang="en-US" i="1">
                            <a:solidFill>
                              <a:srgbClr val="000000"/>
                            </a:solidFill>
                            <a:latin typeface="Cambria Math" panose="02040503050406030204" pitchFamily="18" charset="0"/>
                          </a:rPr>
                          <m:t>𝑉</m:t>
                        </m:r>
                      </m:e>
                      <m:sup>
                        <m:r>
                          <a:rPr lang="en-US" i="1">
                            <a:solidFill>
                              <a:srgbClr val="000000"/>
                            </a:solidFill>
                            <a:latin typeface="Cambria Math" panose="02040503050406030204" pitchFamily="18" charset="0"/>
                          </a:rPr>
                          <m:t>2</m:t>
                        </m:r>
                      </m:sup>
                    </m:sSup>
                  </m:oMath>
                </m:oMathPara>
              </a14:m>
              <a:endParaRPr lang="en-US"/>
            </a:p>
          </xdr:txBody>
        </xdr:sp>
      </mc:Choice>
      <mc:Fallback xmlns="">
        <xdr:sp macro="" textlink="">
          <xdr:nvSpPr>
            <xdr:cNvPr id="8" name="Object 4">
              <a:extLst>
                <a:ext uri="{FF2B5EF4-FFF2-40B4-BE49-F238E27FC236}">
                  <a16:creationId xmlns:a16="http://schemas.microsoft.com/office/drawing/2014/main" id="{DD0025BD-AE58-42A7-8EEA-141CEA4860C8}"/>
                </a:ext>
              </a:extLst>
            </xdr:cNvPr>
            <xdr:cNvSpPr txBox="1"/>
          </xdr:nvSpPr>
          <xdr:spPr>
            <a:xfrm>
              <a:off x="571501" y="40424100"/>
              <a:ext cx="1457325" cy="447675"/>
            </a:xfrm>
            <a:prstGeom prst="rect">
              <a:avLst/>
            </a:prstGeom>
          </xdr:spPr>
          <xdr:txBody>
            <a:bodyPr vertOverflow="clip" horzOverflow="clip" wrap="none">
              <a:noAutofit/>
            </a:bodyPr>
            <a:lstStyle/>
            <a:p>
              <a:pPr/>
              <a:r>
                <a:rPr lang="en-US" i="0">
                  <a:solidFill>
                    <a:srgbClr val="000000"/>
                  </a:solidFill>
                  <a:latin typeface="Cambria Math" panose="02040503050406030204" pitchFamily="18" charset="0"/>
                </a:rPr>
                <a:t>𝑅𝑡=1/2×𝜌×𝐶𝑢𝑑𝑎𝑟𝑎×𝑆×𝑉^2</a:t>
              </a:r>
              <a:endParaRPr lang="en-US"/>
            </a:p>
          </xdr:txBody>
        </xdr:sp>
      </mc:Fallback>
    </mc:AlternateContent>
    <xdr:clientData/>
  </xdr:twoCellAnchor>
  <xdr:twoCellAnchor editAs="oneCell">
    <xdr:from>
      <xdr:col>13</xdr:col>
      <xdr:colOff>194829</xdr:colOff>
      <xdr:row>68</xdr:row>
      <xdr:rowOff>21647</xdr:rowOff>
    </xdr:from>
    <xdr:to>
      <xdr:col>17</xdr:col>
      <xdr:colOff>8525</xdr:colOff>
      <xdr:row>81</xdr:row>
      <xdr:rowOff>160605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a:fillRect/>
        </a:stretch>
      </xdr:blipFill>
      <xdr:spPr>
        <a:xfrm>
          <a:off x="10434204" y="13623347"/>
          <a:ext cx="2503696" cy="2967883"/>
        </a:xfrm>
        <a:prstGeom prst="rect">
          <a:avLst/>
        </a:prstGeom>
      </xdr:spPr>
    </xdr:pic>
    <xdr:clientData/>
  </xdr:twoCellAnchor>
  <xdr:twoCellAnchor editAs="oneCell">
    <xdr:from>
      <xdr:col>9</xdr:col>
      <xdr:colOff>0</xdr:colOff>
      <xdr:row>67</xdr:row>
      <xdr:rowOff>64943</xdr:rowOff>
    </xdr:from>
    <xdr:to>
      <xdr:col>12</xdr:col>
      <xdr:colOff>560612</xdr:colOff>
      <xdr:row>82</xdr:row>
      <xdr:rowOff>119084</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7496175" y="13466618"/>
          <a:ext cx="2618012" cy="3283116"/>
        </a:xfrm>
        <a:prstGeom prst="rect">
          <a:avLst/>
        </a:prstGeom>
      </xdr:spPr>
    </xdr:pic>
    <xdr:clientData/>
  </xdr:twoCellAnchor>
  <xdr:twoCellAnchor>
    <xdr:from>
      <xdr:col>1</xdr:col>
      <xdr:colOff>404091</xdr:colOff>
      <xdr:row>105</xdr:row>
      <xdr:rowOff>129887</xdr:rowOff>
    </xdr:from>
    <xdr:to>
      <xdr:col>2</xdr:col>
      <xdr:colOff>331934</xdr:colOff>
      <xdr:row>112</xdr:row>
      <xdr:rowOff>28865</xdr:rowOff>
    </xdr:to>
    <mc:AlternateContent xmlns:mc="http://schemas.openxmlformats.org/markup-compatibility/2006" xmlns:a14="http://schemas.microsoft.com/office/drawing/2010/main">
      <mc:Choice Requires="a14">
        <xdr:sp macro="" textlink="">
          <xdr:nvSpPr>
            <xdr:cNvPr id="11" name="Object 3">
              <a:extLst>
                <a:ext uri="{FF2B5EF4-FFF2-40B4-BE49-F238E27FC236}">
                  <a16:creationId xmlns:a16="http://schemas.microsoft.com/office/drawing/2014/main" id="{00000000-0008-0000-0000-00000B000000}"/>
                </a:ext>
              </a:extLst>
            </xdr:cNvPr>
            <xdr:cNvSpPr txBox="1"/>
          </xdr:nvSpPr>
          <xdr:spPr>
            <a:xfrm>
              <a:off x="1118466" y="21361112"/>
              <a:ext cx="546968" cy="1299153"/>
            </a:xfrm>
            <a:prstGeom prst="rect">
              <a:avLst/>
            </a:prstGeom>
          </xdr:spPr>
          <xdr:txBody>
            <a:bodyPr vertOverflow="clip" horzOverflow="clip" wrap="none">
              <a:noAutofit/>
            </a:bodyPr>
            <a:lstStyle/>
            <a:p>
              <a:pPr/>
              <a14:m>
                <m:oMathPara xmlns:m="http://schemas.openxmlformats.org/officeDocument/2006/math">
                  <m:oMathParaPr>
                    <m:jc m:val="left"/>
                  </m:oMathParaPr>
                  <m:oMath xmlns:m="http://schemas.openxmlformats.org/officeDocument/2006/math">
                    <m:f>
                      <m:fPr>
                        <m:ctrlPr>
                          <a:rPr lang="en-US" sz="1400" i="1">
                            <a:solidFill>
                              <a:srgbClr val="000000"/>
                            </a:solidFill>
                            <a:latin typeface="Cambria Math" panose="02040503050406030204" pitchFamily="18" charset="0"/>
                            <a:ea typeface="Cambria Math" panose="02040503050406030204" pitchFamily="18" charset="0"/>
                          </a:rPr>
                        </m:ctrlPr>
                      </m:fPr>
                      <m:num>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10</m:t>
                        </m:r>
                        <m:r>
                          <a:rPr lang="en-US" sz="1400" b="0" i="1" baseline="30000">
                            <a:solidFill>
                              <a:srgbClr val="000000"/>
                            </a:solidFill>
                            <a:latin typeface="Cambria Math" panose="02040503050406030204" pitchFamily="18" charset="0"/>
                            <a:ea typeface="Cambria Math" panose="02040503050406030204" pitchFamily="18" charset="0"/>
                          </a:rPr>
                          <m:t>3</m:t>
                        </m:r>
                        <m:r>
                          <a:rPr lang="en-US" sz="1400" b="0" i="1">
                            <a:solidFill>
                              <a:srgbClr val="000000"/>
                            </a:solidFill>
                            <a:latin typeface="Cambria Math" panose="02040503050406030204" pitchFamily="18" charset="0"/>
                            <a:ea typeface="Cambria Math" panose="02040503050406030204" pitchFamily="18" charset="0"/>
                          </a:rPr>
                          <m:t>𝐶𝑟</m:t>
                        </m:r>
                      </m:num>
                      <m:den>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𝐿𝐶𝐵</m:t>
                        </m:r>
                        <m:r>
                          <a:rPr lang="en-US" sz="1400" b="0" i="1">
                            <a:solidFill>
                              <a:srgbClr val="000000"/>
                            </a:solidFill>
                            <a:latin typeface="Cambria Math" panose="02040503050406030204" pitchFamily="18" charset="0"/>
                            <a:ea typeface="Cambria Math" panose="02040503050406030204" pitchFamily="18" charset="0"/>
                          </a:rPr>
                          <m:t> </m:t>
                        </m:r>
                      </m:den>
                    </m:f>
                  </m:oMath>
                </m:oMathPara>
              </a14:m>
              <a:endParaRPr lang="en-US" strike="noStrike" baseline="0"/>
            </a:p>
          </xdr:txBody>
        </xdr:sp>
      </mc:Choice>
      <mc:Fallback xmlns="">
        <xdr:sp macro="" textlink="">
          <xdr:nvSpPr>
            <xdr:cNvPr id="11" name="Object 3">
              <a:extLst>
                <a:ext uri="{FF2B5EF4-FFF2-40B4-BE49-F238E27FC236}">
                  <a16:creationId xmlns:a16="http://schemas.microsoft.com/office/drawing/2014/main" id="{805B0825-C12A-4C2F-8ED2-8E04D8108B13}"/>
                </a:ext>
              </a:extLst>
            </xdr:cNvPr>
            <xdr:cNvSpPr txBox="1"/>
          </xdr:nvSpPr>
          <xdr:spPr>
            <a:xfrm>
              <a:off x="1118466" y="21361112"/>
              <a:ext cx="546968" cy="1299153"/>
            </a:xfrm>
            <a:prstGeom prst="rect">
              <a:avLst/>
            </a:prstGeom>
          </xdr:spPr>
          <xdr:txBody>
            <a:bodyPr vertOverflow="clip" horzOverflow="clip" wrap="none">
              <a:noAutofit/>
            </a:bodyPr>
            <a:lstStyle/>
            <a:p>
              <a:pP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10</a:t>
              </a:r>
              <a:r>
                <a:rPr lang="en-US" sz="1400" b="0" i="0" baseline="30000">
                  <a:solidFill>
                    <a:srgbClr val="000000"/>
                  </a:solidFill>
                  <a:latin typeface="Cambria Math" panose="02040503050406030204" pitchFamily="18" charset="0"/>
                  <a:ea typeface="Cambria Math" panose="02040503050406030204" pitchFamily="18" charset="0"/>
                </a:rPr>
                <a:t>3</a:t>
              </a:r>
              <a:r>
                <a:rPr lang="en-US" sz="1400" b="0" i="0">
                  <a:solidFill>
                    <a:srgbClr val="000000"/>
                  </a:solidFill>
                  <a:latin typeface="Cambria Math" panose="02040503050406030204" pitchFamily="18" charset="0"/>
                  <a:ea typeface="Cambria Math" panose="02040503050406030204" pitchFamily="18" charset="0"/>
                </a:rPr>
                <a:t>𝐶𝑟/(</a:t>
              </a: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𝐿𝐶𝐵 )</a:t>
              </a:r>
              <a:endParaRPr lang="en-US" strike="noStrike" baseline="0"/>
            </a:p>
          </xdr:txBody>
        </xdr:sp>
      </mc:Fallback>
    </mc:AlternateContent>
    <xdr:clientData/>
  </xdr:twoCellAnchor>
  <xdr:twoCellAnchor>
    <xdr:from>
      <xdr:col>4</xdr:col>
      <xdr:colOff>43296</xdr:colOff>
      <xdr:row>112</xdr:row>
      <xdr:rowOff>187614</xdr:rowOff>
    </xdr:from>
    <xdr:to>
      <xdr:col>4</xdr:col>
      <xdr:colOff>736023</xdr:colOff>
      <xdr:row>114</xdr:row>
      <xdr:rowOff>0</xdr:rowOff>
    </xdr:to>
    <mc:AlternateContent xmlns:mc="http://schemas.openxmlformats.org/markup-compatibility/2006" xmlns:a14="http://schemas.microsoft.com/office/drawing/2010/main">
      <mc:Choice Requires="a14">
        <xdr:sp macro="" textlink="">
          <xdr:nvSpPr>
            <xdr:cNvPr id="12" name="Object 3">
              <a:extLst>
                <a:ext uri="{FF2B5EF4-FFF2-40B4-BE49-F238E27FC236}">
                  <a16:creationId xmlns:a16="http://schemas.microsoft.com/office/drawing/2014/main" id="{00000000-0008-0000-0000-00000C000000}"/>
                </a:ext>
              </a:extLst>
            </xdr:cNvPr>
            <xdr:cNvSpPr txBox="1"/>
          </xdr:nvSpPr>
          <xdr:spPr>
            <a:xfrm>
              <a:off x="2748396" y="22819014"/>
              <a:ext cx="692727" cy="536286"/>
            </a:xfrm>
            <a:prstGeom prst="rect">
              <a:avLst/>
            </a:prstGeom>
          </xdr:spPr>
          <xdr:txBody>
            <a:bodyPr vertOverflow="clip" horzOverflow="clip" wrap="none">
              <a:noAutofit/>
            </a:bodyPr>
            <a:lstStyle/>
            <a:p>
              <a:pPr/>
              <a14:m>
                <m:oMathPara xmlns:m="http://schemas.openxmlformats.org/officeDocument/2006/math">
                  <m:oMathParaPr>
                    <m:jc m:val="left"/>
                  </m:oMathParaPr>
                  <m:oMath xmlns:m="http://schemas.openxmlformats.org/officeDocument/2006/math">
                    <m:f>
                      <m:fPr>
                        <m:ctrlPr>
                          <a:rPr lang="en-US" sz="1400" i="1">
                            <a:solidFill>
                              <a:srgbClr val="000000"/>
                            </a:solidFill>
                            <a:latin typeface="Cambria Math" panose="02040503050406030204" pitchFamily="18" charset="0"/>
                            <a:ea typeface="Cambria Math" panose="02040503050406030204" pitchFamily="18" charset="0"/>
                          </a:rPr>
                        </m:ctrlPr>
                      </m:fPr>
                      <m:num>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10</m:t>
                        </m:r>
                        <m:r>
                          <a:rPr lang="en-US" sz="1400" b="0" i="1" baseline="30000">
                            <a:solidFill>
                              <a:srgbClr val="000000"/>
                            </a:solidFill>
                            <a:latin typeface="Cambria Math" panose="02040503050406030204" pitchFamily="18" charset="0"/>
                            <a:ea typeface="Cambria Math" panose="02040503050406030204" pitchFamily="18" charset="0"/>
                          </a:rPr>
                          <m:t>3</m:t>
                        </m:r>
                        <m:r>
                          <a:rPr lang="en-US" sz="1400" b="0" i="1">
                            <a:solidFill>
                              <a:srgbClr val="000000"/>
                            </a:solidFill>
                            <a:latin typeface="Cambria Math" panose="02040503050406030204" pitchFamily="18" charset="0"/>
                            <a:ea typeface="Cambria Math" panose="02040503050406030204" pitchFamily="18" charset="0"/>
                          </a:rPr>
                          <m:t>𝐶𝑟</m:t>
                        </m:r>
                      </m:num>
                      <m:den>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𝐿𝐶𝐵</m:t>
                        </m:r>
                        <m:r>
                          <a:rPr lang="en-US" sz="1400" b="0" i="1">
                            <a:solidFill>
                              <a:srgbClr val="000000"/>
                            </a:solidFill>
                            <a:latin typeface="Cambria Math" panose="02040503050406030204" pitchFamily="18" charset="0"/>
                            <a:ea typeface="Cambria Math" panose="02040503050406030204" pitchFamily="18" charset="0"/>
                          </a:rPr>
                          <m:t> </m:t>
                        </m:r>
                      </m:den>
                    </m:f>
                  </m:oMath>
                </m:oMathPara>
              </a14:m>
              <a:endParaRPr lang="en-US" strike="noStrike" baseline="0"/>
            </a:p>
          </xdr:txBody>
        </xdr:sp>
      </mc:Choice>
      <mc:Fallback xmlns="">
        <xdr:sp macro="" textlink="">
          <xdr:nvSpPr>
            <xdr:cNvPr id="12" name="Object 3">
              <a:extLst>
                <a:ext uri="{FF2B5EF4-FFF2-40B4-BE49-F238E27FC236}">
                  <a16:creationId xmlns:a16="http://schemas.microsoft.com/office/drawing/2014/main" id="{F714AFB5-6BA8-453A-878C-591F94424ACF}"/>
                </a:ext>
              </a:extLst>
            </xdr:cNvPr>
            <xdr:cNvSpPr txBox="1"/>
          </xdr:nvSpPr>
          <xdr:spPr>
            <a:xfrm>
              <a:off x="2748396" y="22819014"/>
              <a:ext cx="692727" cy="536286"/>
            </a:xfrm>
            <a:prstGeom prst="rect">
              <a:avLst/>
            </a:prstGeom>
          </xdr:spPr>
          <xdr:txBody>
            <a:bodyPr vertOverflow="clip" horzOverflow="clip" wrap="none">
              <a:noAutofit/>
            </a:bodyPr>
            <a:lstStyle/>
            <a:p>
              <a:pP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10</a:t>
              </a:r>
              <a:r>
                <a:rPr lang="en-US" sz="1400" b="0" i="0" baseline="30000">
                  <a:solidFill>
                    <a:srgbClr val="000000"/>
                  </a:solidFill>
                  <a:latin typeface="Cambria Math" panose="02040503050406030204" pitchFamily="18" charset="0"/>
                  <a:ea typeface="Cambria Math" panose="02040503050406030204" pitchFamily="18" charset="0"/>
                </a:rPr>
                <a:t>3</a:t>
              </a:r>
              <a:r>
                <a:rPr lang="en-US" sz="1400" b="0" i="0">
                  <a:solidFill>
                    <a:srgbClr val="000000"/>
                  </a:solidFill>
                  <a:latin typeface="Cambria Math" panose="02040503050406030204" pitchFamily="18" charset="0"/>
                  <a:ea typeface="Cambria Math" panose="02040503050406030204" pitchFamily="18" charset="0"/>
                </a:rPr>
                <a:t>𝐶𝑟/(</a:t>
              </a: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𝐿𝐶𝐵 )</a:t>
              </a:r>
              <a:endParaRPr lang="en-US" strike="noStrike" baseline="0"/>
            </a:p>
          </xdr:txBody>
        </xdr:sp>
      </mc:Fallback>
    </mc:AlternateContent>
    <xdr:clientData/>
  </xdr:twoCellAnchor>
  <xdr:twoCellAnchor>
    <xdr:from>
      <xdr:col>5</xdr:col>
      <xdr:colOff>173182</xdr:colOff>
      <xdr:row>113</xdr:row>
      <xdr:rowOff>1</xdr:rowOff>
    </xdr:from>
    <xdr:to>
      <xdr:col>5</xdr:col>
      <xdr:colOff>865909</xdr:colOff>
      <xdr:row>113</xdr:row>
      <xdr:rowOff>476251</xdr:rowOff>
    </xdr:to>
    <mc:AlternateContent xmlns:mc="http://schemas.openxmlformats.org/markup-compatibility/2006" xmlns:a14="http://schemas.microsoft.com/office/drawing/2010/main">
      <mc:Choice Requires="a14">
        <xdr:sp macro="" textlink="">
          <xdr:nvSpPr>
            <xdr:cNvPr id="13" name="Object 3">
              <a:extLst>
                <a:ext uri="{FF2B5EF4-FFF2-40B4-BE49-F238E27FC236}">
                  <a16:creationId xmlns:a16="http://schemas.microsoft.com/office/drawing/2014/main" id="{00000000-0008-0000-0000-00000D000000}"/>
                </a:ext>
              </a:extLst>
            </xdr:cNvPr>
            <xdr:cNvSpPr txBox="1"/>
          </xdr:nvSpPr>
          <xdr:spPr>
            <a:xfrm>
              <a:off x="3887932" y="22831426"/>
              <a:ext cx="692727" cy="476250"/>
            </a:xfrm>
            <a:prstGeom prst="rect">
              <a:avLst/>
            </a:prstGeom>
          </xdr:spPr>
          <xdr:txBody>
            <a:bodyPr vertOverflow="clip" horzOverflow="clip" wrap="none">
              <a:noAutofit/>
            </a:bodyPr>
            <a:lstStyle/>
            <a:p>
              <a:pPr/>
              <a14:m>
                <m:oMathPara xmlns:m="http://schemas.openxmlformats.org/officeDocument/2006/math">
                  <m:oMathParaPr>
                    <m:jc m:val="left"/>
                  </m:oMathParaPr>
                  <m:oMath xmlns:m="http://schemas.openxmlformats.org/officeDocument/2006/math">
                    <m:f>
                      <m:fPr>
                        <m:ctrlPr>
                          <a:rPr lang="en-US" sz="1400" i="1">
                            <a:solidFill>
                              <a:srgbClr val="000000"/>
                            </a:solidFill>
                            <a:latin typeface="Cambria Math" panose="02040503050406030204" pitchFamily="18" charset="0"/>
                            <a:ea typeface="Cambria Math" panose="02040503050406030204" pitchFamily="18" charset="0"/>
                          </a:rPr>
                        </m:ctrlPr>
                      </m:fPr>
                      <m:num>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10</m:t>
                        </m:r>
                        <m:r>
                          <a:rPr lang="en-US" sz="1400" b="0" i="1" baseline="30000">
                            <a:solidFill>
                              <a:srgbClr val="000000"/>
                            </a:solidFill>
                            <a:latin typeface="Cambria Math" panose="02040503050406030204" pitchFamily="18" charset="0"/>
                            <a:ea typeface="Cambria Math" panose="02040503050406030204" pitchFamily="18" charset="0"/>
                          </a:rPr>
                          <m:t>3</m:t>
                        </m:r>
                        <m:r>
                          <a:rPr lang="en-US" sz="1400" b="0" i="1">
                            <a:solidFill>
                              <a:srgbClr val="000000"/>
                            </a:solidFill>
                            <a:latin typeface="Cambria Math" panose="02040503050406030204" pitchFamily="18" charset="0"/>
                            <a:ea typeface="Cambria Math" panose="02040503050406030204" pitchFamily="18" charset="0"/>
                          </a:rPr>
                          <m:t>𝐶𝑟</m:t>
                        </m:r>
                      </m:num>
                      <m:den>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𝐿𝐶𝐵</m:t>
                        </m:r>
                        <m:r>
                          <a:rPr lang="en-US" sz="1400" b="0" i="1">
                            <a:solidFill>
                              <a:srgbClr val="000000"/>
                            </a:solidFill>
                            <a:latin typeface="Cambria Math" panose="02040503050406030204" pitchFamily="18" charset="0"/>
                            <a:ea typeface="Cambria Math" panose="02040503050406030204" pitchFamily="18" charset="0"/>
                          </a:rPr>
                          <m:t> </m:t>
                        </m:r>
                      </m:den>
                    </m:f>
                  </m:oMath>
                </m:oMathPara>
              </a14:m>
              <a:endParaRPr lang="en-US" strike="noStrike" baseline="0"/>
            </a:p>
          </xdr:txBody>
        </xdr:sp>
      </mc:Choice>
      <mc:Fallback xmlns="">
        <xdr:sp macro="" textlink="">
          <xdr:nvSpPr>
            <xdr:cNvPr id="13" name="Object 3">
              <a:extLst>
                <a:ext uri="{FF2B5EF4-FFF2-40B4-BE49-F238E27FC236}">
                  <a16:creationId xmlns:a16="http://schemas.microsoft.com/office/drawing/2014/main" id="{DE516659-05A6-4616-872A-25143B0EAAC8}"/>
                </a:ext>
              </a:extLst>
            </xdr:cNvPr>
            <xdr:cNvSpPr txBox="1"/>
          </xdr:nvSpPr>
          <xdr:spPr>
            <a:xfrm>
              <a:off x="3887932" y="22831426"/>
              <a:ext cx="692727" cy="476250"/>
            </a:xfrm>
            <a:prstGeom prst="rect">
              <a:avLst/>
            </a:prstGeom>
          </xdr:spPr>
          <xdr:txBody>
            <a:bodyPr vertOverflow="clip" horzOverflow="clip" wrap="none">
              <a:noAutofit/>
            </a:bodyPr>
            <a:lstStyle/>
            <a:p>
              <a:pP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10</a:t>
              </a:r>
              <a:r>
                <a:rPr lang="en-US" sz="1400" b="0" i="0" baseline="30000">
                  <a:solidFill>
                    <a:srgbClr val="000000"/>
                  </a:solidFill>
                  <a:latin typeface="Cambria Math" panose="02040503050406030204" pitchFamily="18" charset="0"/>
                  <a:ea typeface="Cambria Math" panose="02040503050406030204" pitchFamily="18" charset="0"/>
                </a:rPr>
                <a:t>3</a:t>
              </a:r>
              <a:r>
                <a:rPr lang="en-US" sz="1400" b="0" i="0">
                  <a:solidFill>
                    <a:srgbClr val="000000"/>
                  </a:solidFill>
                  <a:latin typeface="Cambria Math" panose="02040503050406030204" pitchFamily="18" charset="0"/>
                  <a:ea typeface="Cambria Math" panose="02040503050406030204" pitchFamily="18" charset="0"/>
                </a:rPr>
                <a:t>𝐶𝑟/(</a:t>
              </a: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𝐿𝐶𝐵 )</a:t>
              </a:r>
              <a:endParaRPr lang="en-US" strike="noStrike" baseline="0"/>
            </a:p>
          </xdr:txBody>
        </xdr:sp>
      </mc:Fallback>
    </mc:AlternateContent>
    <xdr:clientData/>
  </xdr:twoCellAnchor>
  <xdr:twoCellAnchor>
    <xdr:from>
      <xdr:col>6</xdr:col>
      <xdr:colOff>0</xdr:colOff>
      <xdr:row>113</xdr:row>
      <xdr:rowOff>0</xdr:rowOff>
    </xdr:from>
    <xdr:to>
      <xdr:col>6</xdr:col>
      <xdr:colOff>692727</xdr:colOff>
      <xdr:row>114</xdr:row>
      <xdr:rowOff>28863</xdr:rowOff>
    </xdr:to>
    <mc:AlternateContent xmlns:mc="http://schemas.openxmlformats.org/markup-compatibility/2006" xmlns:a14="http://schemas.microsoft.com/office/drawing/2010/main">
      <mc:Choice Requires="a14">
        <xdr:sp macro="" textlink="">
          <xdr:nvSpPr>
            <xdr:cNvPr id="14" name="Object 3">
              <a:extLst>
                <a:ext uri="{FF2B5EF4-FFF2-40B4-BE49-F238E27FC236}">
                  <a16:creationId xmlns:a16="http://schemas.microsoft.com/office/drawing/2014/main" id="{00000000-0008-0000-0000-00000E000000}"/>
                </a:ext>
              </a:extLst>
            </xdr:cNvPr>
            <xdr:cNvSpPr txBox="1"/>
          </xdr:nvSpPr>
          <xdr:spPr>
            <a:xfrm>
              <a:off x="4676775" y="22831425"/>
              <a:ext cx="692727" cy="552738"/>
            </a:xfrm>
            <a:prstGeom prst="rect">
              <a:avLst/>
            </a:prstGeom>
          </xdr:spPr>
          <xdr:txBody>
            <a:bodyPr vertOverflow="clip" horzOverflow="clip" wrap="none">
              <a:noAutofit/>
            </a:bodyPr>
            <a:lstStyle/>
            <a:p>
              <a:pPr/>
              <a14:m>
                <m:oMathPara xmlns:m="http://schemas.openxmlformats.org/officeDocument/2006/math">
                  <m:oMathParaPr>
                    <m:jc m:val="left"/>
                  </m:oMathParaPr>
                  <m:oMath xmlns:m="http://schemas.openxmlformats.org/officeDocument/2006/math">
                    <m:f>
                      <m:fPr>
                        <m:ctrlPr>
                          <a:rPr lang="en-US" sz="1400" i="1">
                            <a:solidFill>
                              <a:srgbClr val="000000"/>
                            </a:solidFill>
                            <a:latin typeface="Cambria Math" panose="02040503050406030204" pitchFamily="18" charset="0"/>
                            <a:ea typeface="Cambria Math" panose="02040503050406030204" pitchFamily="18" charset="0"/>
                          </a:rPr>
                        </m:ctrlPr>
                      </m:fPr>
                      <m:num>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10</m:t>
                        </m:r>
                        <m:r>
                          <a:rPr lang="en-US" sz="1400" b="0" i="1" baseline="30000">
                            <a:solidFill>
                              <a:srgbClr val="000000"/>
                            </a:solidFill>
                            <a:latin typeface="Cambria Math" panose="02040503050406030204" pitchFamily="18" charset="0"/>
                            <a:ea typeface="Cambria Math" panose="02040503050406030204" pitchFamily="18" charset="0"/>
                          </a:rPr>
                          <m:t>3</m:t>
                        </m:r>
                        <m:r>
                          <a:rPr lang="en-US" sz="1400" b="0" i="1">
                            <a:solidFill>
                              <a:srgbClr val="000000"/>
                            </a:solidFill>
                            <a:latin typeface="Cambria Math" panose="02040503050406030204" pitchFamily="18" charset="0"/>
                            <a:ea typeface="Cambria Math" panose="02040503050406030204" pitchFamily="18" charset="0"/>
                          </a:rPr>
                          <m:t>𝐶𝑟</m:t>
                        </m:r>
                      </m:num>
                      <m:den>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𝐿𝐶𝐵</m:t>
                        </m:r>
                        <m:r>
                          <a:rPr lang="en-US" sz="1400" b="0" i="1">
                            <a:solidFill>
                              <a:srgbClr val="000000"/>
                            </a:solidFill>
                            <a:latin typeface="Cambria Math" panose="02040503050406030204" pitchFamily="18" charset="0"/>
                            <a:ea typeface="Cambria Math" panose="02040503050406030204" pitchFamily="18" charset="0"/>
                          </a:rPr>
                          <m:t> </m:t>
                        </m:r>
                      </m:den>
                    </m:f>
                  </m:oMath>
                </m:oMathPara>
              </a14:m>
              <a:endParaRPr lang="en-US" strike="noStrike" baseline="0"/>
            </a:p>
          </xdr:txBody>
        </xdr:sp>
      </mc:Choice>
      <mc:Fallback xmlns="">
        <xdr:sp macro="" textlink="">
          <xdr:nvSpPr>
            <xdr:cNvPr id="14" name="Object 3">
              <a:extLst>
                <a:ext uri="{FF2B5EF4-FFF2-40B4-BE49-F238E27FC236}">
                  <a16:creationId xmlns:a16="http://schemas.microsoft.com/office/drawing/2014/main" id="{6998A9F9-ECA6-44D5-A033-E57F5203DD7F}"/>
                </a:ext>
              </a:extLst>
            </xdr:cNvPr>
            <xdr:cNvSpPr txBox="1"/>
          </xdr:nvSpPr>
          <xdr:spPr>
            <a:xfrm>
              <a:off x="4676775" y="22831425"/>
              <a:ext cx="692727" cy="552738"/>
            </a:xfrm>
            <a:prstGeom prst="rect">
              <a:avLst/>
            </a:prstGeom>
          </xdr:spPr>
          <xdr:txBody>
            <a:bodyPr vertOverflow="clip" horzOverflow="clip" wrap="none">
              <a:noAutofit/>
            </a:bodyPr>
            <a:lstStyle/>
            <a:p>
              <a:pP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10</a:t>
              </a:r>
              <a:r>
                <a:rPr lang="en-US" sz="1400" b="0" i="0" baseline="30000">
                  <a:solidFill>
                    <a:srgbClr val="000000"/>
                  </a:solidFill>
                  <a:latin typeface="Cambria Math" panose="02040503050406030204" pitchFamily="18" charset="0"/>
                  <a:ea typeface="Cambria Math" panose="02040503050406030204" pitchFamily="18" charset="0"/>
                </a:rPr>
                <a:t>3</a:t>
              </a:r>
              <a:r>
                <a:rPr lang="en-US" sz="1400" b="0" i="0">
                  <a:solidFill>
                    <a:srgbClr val="000000"/>
                  </a:solidFill>
                  <a:latin typeface="Cambria Math" panose="02040503050406030204" pitchFamily="18" charset="0"/>
                  <a:ea typeface="Cambria Math" panose="02040503050406030204" pitchFamily="18" charset="0"/>
                </a:rPr>
                <a:t>𝐶𝑟/(</a:t>
              </a: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𝐿𝐶𝐵 )</a:t>
              </a:r>
              <a:endParaRPr lang="en-US" strike="noStrike" baseline="0"/>
            </a:p>
          </xdr:txBody>
        </xdr:sp>
      </mc:Fallback>
    </mc:AlternateContent>
    <xdr:clientData/>
  </xdr:twoCellAnchor>
  <xdr:twoCellAnchor editAs="oneCell">
    <xdr:from>
      <xdr:col>6</xdr:col>
      <xdr:colOff>502516</xdr:colOff>
      <xdr:row>102</xdr:row>
      <xdr:rowOff>182129</xdr:rowOff>
    </xdr:from>
    <xdr:to>
      <xdr:col>8</xdr:col>
      <xdr:colOff>847759</xdr:colOff>
      <xdr:row>112</xdr:row>
      <xdr:rowOff>144016</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4"/>
        <a:stretch>
          <a:fillRect/>
        </a:stretch>
      </xdr:blipFill>
      <xdr:spPr>
        <a:xfrm>
          <a:off x="5179291" y="20813279"/>
          <a:ext cx="2297868" cy="1962137"/>
        </a:xfrm>
        <a:prstGeom prst="rect">
          <a:avLst/>
        </a:prstGeom>
      </xdr:spPr>
    </xdr:pic>
    <xdr:clientData/>
  </xdr:twoCellAnchor>
  <xdr:twoCellAnchor>
    <xdr:from>
      <xdr:col>4</xdr:col>
      <xdr:colOff>158751</xdr:colOff>
      <xdr:row>121</xdr:row>
      <xdr:rowOff>187614</xdr:rowOff>
    </xdr:from>
    <xdr:to>
      <xdr:col>4</xdr:col>
      <xdr:colOff>851478</xdr:colOff>
      <xdr:row>122</xdr:row>
      <xdr:rowOff>476540</xdr:rowOff>
    </xdr:to>
    <mc:AlternateContent xmlns:mc="http://schemas.openxmlformats.org/markup-compatibility/2006" xmlns:a14="http://schemas.microsoft.com/office/drawing/2010/main">
      <mc:Choice Requires="a14">
        <xdr:sp macro="" textlink="">
          <xdr:nvSpPr>
            <xdr:cNvPr id="16" name="Object 3">
              <a:extLst>
                <a:ext uri="{FF2B5EF4-FFF2-40B4-BE49-F238E27FC236}">
                  <a16:creationId xmlns:a16="http://schemas.microsoft.com/office/drawing/2014/main" id="{00000000-0008-0000-0000-000010000000}"/>
                </a:ext>
              </a:extLst>
            </xdr:cNvPr>
            <xdr:cNvSpPr txBox="1"/>
          </xdr:nvSpPr>
          <xdr:spPr>
            <a:xfrm>
              <a:off x="2863851" y="24943089"/>
              <a:ext cx="692727" cy="488951"/>
            </a:xfrm>
            <a:prstGeom prst="rect">
              <a:avLst/>
            </a:prstGeom>
          </xdr:spPr>
          <xdr:txBody>
            <a:bodyPr vertOverflow="clip" horzOverflow="clip" wrap="none">
              <a:noAutofit/>
            </a:bodyPr>
            <a:lstStyle/>
            <a:p>
              <a:pPr/>
              <a14:m>
                <m:oMathPara xmlns:m="http://schemas.openxmlformats.org/officeDocument/2006/math">
                  <m:oMathParaPr>
                    <m:jc m:val="left"/>
                  </m:oMathParaPr>
                  <m:oMath xmlns:m="http://schemas.openxmlformats.org/officeDocument/2006/math">
                    <m:f>
                      <m:fPr>
                        <m:ctrlPr>
                          <a:rPr lang="en-US" sz="1400" i="1">
                            <a:solidFill>
                              <a:srgbClr val="000000"/>
                            </a:solidFill>
                            <a:latin typeface="Cambria Math" panose="02040503050406030204" pitchFamily="18" charset="0"/>
                            <a:ea typeface="Cambria Math" panose="02040503050406030204" pitchFamily="18" charset="0"/>
                          </a:rPr>
                        </m:ctrlPr>
                      </m:fPr>
                      <m:num>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10</m:t>
                        </m:r>
                        <m:r>
                          <a:rPr lang="en-US" sz="1400" b="0" i="1" baseline="30000">
                            <a:solidFill>
                              <a:srgbClr val="000000"/>
                            </a:solidFill>
                            <a:latin typeface="Cambria Math" panose="02040503050406030204" pitchFamily="18" charset="0"/>
                            <a:ea typeface="Cambria Math" panose="02040503050406030204" pitchFamily="18" charset="0"/>
                          </a:rPr>
                          <m:t>3</m:t>
                        </m:r>
                        <m:r>
                          <a:rPr lang="en-US" sz="1400" b="0" i="1">
                            <a:solidFill>
                              <a:srgbClr val="000000"/>
                            </a:solidFill>
                            <a:latin typeface="Cambria Math" panose="02040503050406030204" pitchFamily="18" charset="0"/>
                            <a:ea typeface="Cambria Math" panose="02040503050406030204" pitchFamily="18" charset="0"/>
                          </a:rPr>
                          <m:t>𝐶𝑟</m:t>
                        </m:r>
                      </m:num>
                      <m:den>
                        <m:r>
                          <a:rPr lang="en-US" sz="1400" i="1">
                            <a:solidFill>
                              <a:srgbClr val="000000"/>
                            </a:solidFill>
                            <a:latin typeface="Cambria Math" panose="02040503050406030204" pitchFamily="18" charset="0"/>
                            <a:ea typeface="Cambria Math" panose="02040503050406030204" pitchFamily="18" charset="0"/>
                          </a:rPr>
                          <m:t>𝜕</m:t>
                        </m:r>
                        <m:r>
                          <a:rPr lang="en-US" sz="1400" b="0" i="1">
                            <a:solidFill>
                              <a:srgbClr val="000000"/>
                            </a:solidFill>
                            <a:latin typeface="Cambria Math" panose="02040503050406030204" pitchFamily="18" charset="0"/>
                            <a:ea typeface="Cambria Math" panose="02040503050406030204" pitchFamily="18" charset="0"/>
                          </a:rPr>
                          <m:t>𝐿𝐶𝐵</m:t>
                        </m:r>
                        <m:r>
                          <a:rPr lang="en-US" sz="1400" b="0" i="1">
                            <a:solidFill>
                              <a:srgbClr val="000000"/>
                            </a:solidFill>
                            <a:latin typeface="Cambria Math" panose="02040503050406030204" pitchFamily="18" charset="0"/>
                            <a:ea typeface="Cambria Math" panose="02040503050406030204" pitchFamily="18" charset="0"/>
                          </a:rPr>
                          <m:t> </m:t>
                        </m:r>
                      </m:den>
                    </m:f>
                  </m:oMath>
                </m:oMathPara>
              </a14:m>
              <a:endParaRPr lang="en-US" strike="noStrike" baseline="0"/>
            </a:p>
          </xdr:txBody>
        </xdr:sp>
      </mc:Choice>
      <mc:Fallback xmlns="">
        <xdr:sp macro="" textlink="">
          <xdr:nvSpPr>
            <xdr:cNvPr id="16" name="Object 3">
              <a:extLst>
                <a:ext uri="{FF2B5EF4-FFF2-40B4-BE49-F238E27FC236}">
                  <a16:creationId xmlns:a16="http://schemas.microsoft.com/office/drawing/2014/main" id="{1AE6ED15-30C1-4B9A-97B2-9F28748E0C7D}"/>
                </a:ext>
              </a:extLst>
            </xdr:cNvPr>
            <xdr:cNvSpPr txBox="1"/>
          </xdr:nvSpPr>
          <xdr:spPr>
            <a:xfrm>
              <a:off x="2863851" y="24943089"/>
              <a:ext cx="692727" cy="488951"/>
            </a:xfrm>
            <a:prstGeom prst="rect">
              <a:avLst/>
            </a:prstGeom>
          </xdr:spPr>
          <xdr:txBody>
            <a:bodyPr vertOverflow="clip" horzOverflow="clip" wrap="none">
              <a:noAutofit/>
            </a:bodyPr>
            <a:lstStyle/>
            <a:p>
              <a:pP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10</a:t>
              </a:r>
              <a:r>
                <a:rPr lang="en-US" sz="1400" b="0" i="0" baseline="30000">
                  <a:solidFill>
                    <a:srgbClr val="000000"/>
                  </a:solidFill>
                  <a:latin typeface="Cambria Math" panose="02040503050406030204" pitchFamily="18" charset="0"/>
                  <a:ea typeface="Cambria Math" panose="02040503050406030204" pitchFamily="18" charset="0"/>
                </a:rPr>
                <a:t>3</a:t>
              </a:r>
              <a:r>
                <a:rPr lang="en-US" sz="1400" b="0" i="0">
                  <a:solidFill>
                    <a:srgbClr val="000000"/>
                  </a:solidFill>
                  <a:latin typeface="Cambria Math" panose="02040503050406030204" pitchFamily="18" charset="0"/>
                  <a:ea typeface="Cambria Math" panose="02040503050406030204" pitchFamily="18" charset="0"/>
                </a:rPr>
                <a:t>𝐶𝑟/(</a:t>
              </a:r>
              <a:r>
                <a:rPr lang="en-US" sz="1400" i="0">
                  <a:solidFill>
                    <a:srgbClr val="000000"/>
                  </a:solidFill>
                  <a:latin typeface="Cambria Math" panose="02040503050406030204" pitchFamily="18" charset="0"/>
                  <a:ea typeface="Cambria Math" panose="02040503050406030204" pitchFamily="18" charset="0"/>
                </a:rPr>
                <a:t>𝜕</a:t>
              </a:r>
              <a:r>
                <a:rPr lang="en-US" sz="1400" b="0" i="0">
                  <a:solidFill>
                    <a:srgbClr val="000000"/>
                  </a:solidFill>
                  <a:latin typeface="Cambria Math" panose="02040503050406030204" pitchFamily="18" charset="0"/>
                  <a:ea typeface="Cambria Math" panose="02040503050406030204" pitchFamily="18" charset="0"/>
                </a:rPr>
                <a:t>𝐿𝐶𝐵 )</a:t>
              </a:r>
              <a:endParaRPr lang="en-US" strike="noStrike" baseline="0"/>
            </a:p>
          </xdr:txBody>
        </xdr:sp>
      </mc:Fallback>
    </mc:AlternateContent>
    <xdr:clientData/>
  </xdr:twoCellAnchor>
  <xdr:oneCellAnchor>
    <xdr:from>
      <xdr:col>0</xdr:col>
      <xdr:colOff>114300</xdr:colOff>
      <xdr:row>29</xdr:row>
      <xdr:rowOff>9525</xdr:rowOff>
    </xdr:from>
    <xdr:ext cx="911514" cy="320280"/>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14300" y="5810250"/>
              <a:ext cx="911514"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𝑅𝑛</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𝑣</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𝐿𝑤𝑙</m:t>
                        </m:r>
                      </m:num>
                      <m:den>
                        <m:r>
                          <a:rPr lang="en-US" sz="1100" b="0" i="1">
                            <a:latin typeface="Cambria Math" panose="02040503050406030204" pitchFamily="18" charset="0"/>
                          </a:rPr>
                          <m:t>𝑣𝑘</m:t>
                        </m:r>
                      </m:den>
                    </m:f>
                  </m:oMath>
                </m:oMathPara>
              </a14:m>
              <a:endParaRPr lang="en-US" sz="1100"/>
            </a:p>
          </xdr:txBody>
        </xdr:sp>
      </mc:Choice>
      <mc:Fallback xmlns="">
        <xdr:sp macro="" textlink="">
          <xdr:nvSpPr>
            <xdr:cNvPr id="17" name="TextBox 16">
              <a:extLst>
                <a:ext uri="{FF2B5EF4-FFF2-40B4-BE49-F238E27FC236}">
                  <a16:creationId xmlns:a16="http://schemas.microsoft.com/office/drawing/2014/main" id="{2DA71A7B-C1B9-44AE-9ACF-DC420906D0F0}"/>
                </a:ext>
              </a:extLst>
            </xdr:cNvPr>
            <xdr:cNvSpPr txBox="1"/>
          </xdr:nvSpPr>
          <xdr:spPr>
            <a:xfrm>
              <a:off x="114300" y="5810250"/>
              <a:ext cx="911514"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𝑅𝑛=(𝑣</a:t>
              </a:r>
              <a:r>
                <a:rPr lang="en-US" sz="1100" b="0" i="0">
                  <a:latin typeface="Cambria Math" panose="02040503050406030204" pitchFamily="18" charset="0"/>
                  <a:ea typeface="Cambria Math" panose="02040503050406030204" pitchFamily="18" charset="0"/>
                </a:rPr>
                <a:t>×𝐿𝑤𝑙)/</a:t>
              </a:r>
              <a:r>
                <a:rPr lang="en-US" sz="1100" b="0" i="0">
                  <a:latin typeface="Cambria Math" panose="02040503050406030204" pitchFamily="18" charset="0"/>
                </a:rPr>
                <a:t>𝑣𝑘</a:t>
              </a:r>
              <a:endParaRPr lang="en-US" sz="1100"/>
            </a:p>
          </xdr:txBody>
        </xdr:sp>
      </mc:Fallback>
    </mc:AlternateContent>
    <xdr:clientData/>
  </xdr:oneCellAnchor>
  <xdr:twoCellAnchor>
    <xdr:from>
      <xdr:col>7</xdr:col>
      <xdr:colOff>300386</xdr:colOff>
      <xdr:row>211</xdr:row>
      <xdr:rowOff>195617</xdr:rowOff>
    </xdr:from>
    <xdr:to>
      <xdr:col>13</xdr:col>
      <xdr:colOff>427700</xdr:colOff>
      <xdr:row>225</xdr:row>
      <xdr:rowOff>110181</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635000</xdr:colOff>
      <xdr:row>0</xdr:row>
      <xdr:rowOff>15875</xdr:rowOff>
    </xdr:from>
    <xdr:to>
      <xdr:col>16</xdr:col>
      <xdr:colOff>245473</xdr:colOff>
      <xdr:row>8</xdr:row>
      <xdr:rowOff>152642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692650" y="15875"/>
          <a:ext cx="7154273" cy="1736967"/>
        </a:xfrm>
        <a:prstGeom prst="rect">
          <a:avLst/>
        </a:prstGeom>
      </xdr:spPr>
    </xdr:pic>
    <xdr:clientData/>
  </xdr:twoCellAnchor>
  <xdr:twoCellAnchor editAs="oneCell">
    <xdr:from>
      <xdr:col>16</xdr:col>
      <xdr:colOff>479425</xdr:colOff>
      <xdr:row>14</xdr:row>
      <xdr:rowOff>63500</xdr:rowOff>
    </xdr:from>
    <xdr:to>
      <xdr:col>21</xdr:col>
      <xdr:colOff>416364</xdr:colOff>
      <xdr:row>44</xdr:row>
      <xdr:rowOff>152400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2080875" y="2863850"/>
          <a:ext cx="3365939" cy="6089650"/>
        </a:xfrm>
        <a:prstGeom prst="rect">
          <a:avLst/>
        </a:prstGeom>
      </xdr:spPr>
    </xdr:pic>
    <xdr:clientData/>
  </xdr:twoCellAnchor>
  <xdr:twoCellAnchor editAs="oneCell">
    <xdr:from>
      <xdr:col>16</xdr:col>
      <xdr:colOff>428625</xdr:colOff>
      <xdr:row>0</xdr:row>
      <xdr:rowOff>0</xdr:rowOff>
    </xdr:from>
    <xdr:to>
      <xdr:col>28</xdr:col>
      <xdr:colOff>20141</xdr:colOff>
      <xdr:row>13</xdr:row>
      <xdr:rowOff>194065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2030075" y="0"/>
          <a:ext cx="7821116" cy="2794390"/>
        </a:xfrm>
        <a:prstGeom prst="rect">
          <a:avLst/>
        </a:prstGeom>
      </xdr:spPr>
    </xdr:pic>
    <xdr:clientData/>
  </xdr:twoCellAnchor>
  <xdr:twoCellAnchor>
    <xdr:from>
      <xdr:col>5</xdr:col>
      <xdr:colOff>473075</xdr:colOff>
      <xdr:row>29</xdr:row>
      <xdr:rowOff>139700</xdr:rowOff>
    </xdr:from>
    <xdr:to>
      <xdr:col>16</xdr:col>
      <xdr:colOff>101600</xdr:colOff>
      <xdr:row>45</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501650</xdr:colOff>
      <xdr:row>9</xdr:row>
      <xdr:rowOff>152400</xdr:rowOff>
    </xdr:from>
    <xdr:to>
      <xdr:col>16</xdr:col>
      <xdr:colOff>292100</xdr:colOff>
      <xdr:row>29</xdr:row>
      <xdr:rowOff>49029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4559300" y="1952625"/>
          <a:ext cx="7334250" cy="38971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24</xdr:row>
          <xdr:rowOff>0</xdr:rowOff>
        </xdr:from>
        <xdr:to>
          <xdr:col>3</xdr:col>
          <xdr:colOff>114300</xdr:colOff>
          <xdr:row>25</xdr:row>
          <xdr:rowOff>30480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24</xdr:row>
          <xdr:rowOff>0</xdr:rowOff>
        </xdr:from>
        <xdr:to>
          <xdr:col>12</xdr:col>
          <xdr:colOff>114300</xdr:colOff>
          <xdr:row>25</xdr:row>
          <xdr:rowOff>30480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0</xdr:rowOff>
        </xdr:from>
        <xdr:to>
          <xdr:col>4</xdr:col>
          <xdr:colOff>114300</xdr:colOff>
          <xdr:row>20</xdr:row>
          <xdr:rowOff>30480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0</xdr:colOff>
          <xdr:row>19</xdr:row>
          <xdr:rowOff>0</xdr:rowOff>
        </xdr:from>
        <xdr:to>
          <xdr:col>13</xdr:col>
          <xdr:colOff>114300</xdr:colOff>
          <xdr:row>20</xdr:row>
          <xdr:rowOff>30480</xdr:rowOff>
        </xdr:to>
        <xdr:sp macro="" textlink="">
          <xdr:nvSpPr>
            <xdr:cNvPr id="4100" name="Object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579119</xdr:colOff>
      <xdr:row>26</xdr:row>
      <xdr:rowOff>36144</xdr:rowOff>
    </xdr:from>
    <xdr:to>
      <xdr:col>3</xdr:col>
      <xdr:colOff>208451</xdr:colOff>
      <xdr:row>35</xdr:row>
      <xdr:rowOff>22858</xdr:rowOff>
    </xdr:to>
    <xdr:pic>
      <xdr:nvPicPr>
        <xdr:cNvPr id="6" name="Picture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9119" y="5246319"/>
          <a:ext cx="2420157" cy="1786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342899</xdr:colOff>
      <xdr:row>26</xdr:row>
      <xdr:rowOff>122464</xdr:rowOff>
    </xdr:from>
    <xdr:to>
      <xdr:col>11</xdr:col>
      <xdr:colOff>926902</xdr:colOff>
      <xdr:row>35</xdr:row>
      <xdr:rowOff>20955</xdr:rowOff>
    </xdr:to>
    <xdr:pic>
      <xdr:nvPicPr>
        <xdr:cNvPr id="7" name="Picture 6">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7686674" y="5332639"/>
          <a:ext cx="2298503" cy="16987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321</xdr:row>
      <xdr:rowOff>42607</xdr:rowOff>
    </xdr:from>
    <xdr:to>
      <xdr:col>6</xdr:col>
      <xdr:colOff>31828</xdr:colOff>
      <xdr:row>331</xdr:row>
      <xdr:rowOff>157036</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stretch>
          <a:fillRect/>
        </a:stretch>
      </xdr:blipFill>
      <xdr:spPr>
        <a:xfrm>
          <a:off x="695325" y="64564957"/>
          <a:ext cx="4413328" cy="2114679"/>
        </a:xfrm>
        <a:prstGeom prst="rect">
          <a:avLst/>
        </a:prstGeom>
      </xdr:spPr>
    </xdr:pic>
    <xdr:clientData/>
  </xdr:twoCellAnchor>
  <xdr:twoCellAnchor editAs="oneCell">
    <xdr:from>
      <xdr:col>1</xdr:col>
      <xdr:colOff>85725</xdr:colOff>
      <xdr:row>333</xdr:row>
      <xdr:rowOff>38100</xdr:rowOff>
    </xdr:from>
    <xdr:to>
      <xdr:col>6</xdr:col>
      <xdr:colOff>108028</xdr:colOff>
      <xdr:row>340</xdr:row>
      <xdr:rowOff>39983</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a:stretch>
          <a:fillRect/>
        </a:stretch>
      </xdr:blipFill>
      <xdr:spPr>
        <a:xfrm>
          <a:off x="771525" y="66970275"/>
          <a:ext cx="4413328" cy="1402058"/>
        </a:xfrm>
        <a:prstGeom prst="rect">
          <a:avLst/>
        </a:prstGeom>
      </xdr:spPr>
    </xdr:pic>
    <xdr:clientData/>
  </xdr:twoCellAnchor>
  <xdr:twoCellAnchor editAs="oneCell">
    <xdr:from>
      <xdr:col>1</xdr:col>
      <xdr:colOff>27214</xdr:colOff>
      <xdr:row>388</xdr:row>
      <xdr:rowOff>79139</xdr:rowOff>
    </xdr:from>
    <xdr:to>
      <xdr:col>6</xdr:col>
      <xdr:colOff>106667</xdr:colOff>
      <xdr:row>393</xdr:row>
      <xdr:rowOff>76992</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13014" y="78288914"/>
          <a:ext cx="4470478" cy="1007503"/>
        </a:xfrm>
        <a:prstGeom prst="rect">
          <a:avLst/>
        </a:prstGeom>
      </xdr:spPr>
    </xdr:pic>
    <xdr:clientData/>
  </xdr:twoCellAnchor>
  <xdr:twoCellAnchor editAs="oneCell">
    <xdr:from>
      <xdr:col>1</xdr:col>
      <xdr:colOff>197369</xdr:colOff>
      <xdr:row>377</xdr:row>
      <xdr:rowOff>81233</xdr:rowOff>
    </xdr:from>
    <xdr:to>
      <xdr:col>6</xdr:col>
      <xdr:colOff>23137</xdr:colOff>
      <xdr:row>387</xdr:row>
      <xdr:rowOff>67057</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3169" y="76081208"/>
          <a:ext cx="4216793" cy="1986074"/>
        </a:xfrm>
        <a:prstGeom prst="rect">
          <a:avLst/>
        </a:prstGeom>
      </xdr:spPr>
    </xdr:pic>
    <xdr:clientData/>
  </xdr:twoCellAnchor>
  <xdr:twoCellAnchor editAs="oneCell">
    <xdr:from>
      <xdr:col>1</xdr:col>
      <xdr:colOff>394606</xdr:colOff>
      <xdr:row>436</xdr:row>
      <xdr:rowOff>31589</xdr:rowOff>
    </xdr:from>
    <xdr:to>
      <xdr:col>5</xdr:col>
      <xdr:colOff>478418</xdr:colOff>
      <xdr:row>446</xdr:row>
      <xdr:rowOff>152942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80406" y="88080689"/>
          <a:ext cx="3560437" cy="2121603"/>
        </a:xfrm>
        <a:prstGeom prst="rect">
          <a:avLst/>
        </a:prstGeom>
      </xdr:spPr>
    </xdr:pic>
    <xdr:clientData/>
  </xdr:twoCellAnchor>
  <xdr:twoCellAnchor editAs="oneCell">
    <xdr:from>
      <xdr:col>1</xdr:col>
      <xdr:colOff>61225</xdr:colOff>
      <xdr:row>453</xdr:row>
      <xdr:rowOff>64447</xdr:rowOff>
    </xdr:from>
    <xdr:to>
      <xdr:col>6</xdr:col>
      <xdr:colOff>59042</xdr:colOff>
      <xdr:row>453</xdr:row>
      <xdr:rowOff>190825</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47025" y="91533022"/>
          <a:ext cx="4388842" cy="126378"/>
        </a:xfrm>
        <a:prstGeom prst="rect">
          <a:avLst/>
        </a:prstGeom>
      </xdr:spPr>
    </xdr:pic>
    <xdr:clientData/>
  </xdr:twoCellAnchor>
  <xdr:twoCellAnchor editAs="oneCell">
    <xdr:from>
      <xdr:col>1</xdr:col>
      <xdr:colOff>68035</xdr:colOff>
      <xdr:row>448</xdr:row>
      <xdr:rowOff>54428</xdr:rowOff>
    </xdr:from>
    <xdr:to>
      <xdr:col>6</xdr:col>
      <xdr:colOff>124629</xdr:colOff>
      <xdr:row>453</xdr:row>
      <xdr:rowOff>39813</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53835" y="90513353"/>
          <a:ext cx="4447619" cy="995035"/>
        </a:xfrm>
        <a:prstGeom prst="rect">
          <a:avLst/>
        </a:prstGeom>
      </xdr:spPr>
    </xdr:pic>
    <xdr:clientData/>
  </xdr:twoCellAnchor>
  <xdr:twoCellAnchor editAs="oneCell">
    <xdr:from>
      <xdr:col>18</xdr:col>
      <xdr:colOff>22151</xdr:colOff>
      <xdr:row>2</xdr:row>
      <xdr:rowOff>66454</xdr:rowOff>
    </xdr:from>
    <xdr:to>
      <xdr:col>24</xdr:col>
      <xdr:colOff>1445</xdr:colOff>
      <xdr:row>36</xdr:row>
      <xdr:rowOff>69396</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9"/>
        <a:stretch>
          <a:fillRect/>
        </a:stretch>
      </xdr:blipFill>
      <xdr:spPr>
        <a:xfrm>
          <a:off x="14462051" y="466504"/>
          <a:ext cx="4034735" cy="6813317"/>
        </a:xfrm>
        <a:prstGeom prst="rect">
          <a:avLst/>
        </a:prstGeom>
      </xdr:spPr>
    </xdr:pic>
    <xdr:clientData/>
  </xdr:twoCellAnchor>
  <xdr:twoCellAnchor editAs="oneCell">
    <xdr:from>
      <xdr:col>24</xdr:col>
      <xdr:colOff>22151</xdr:colOff>
      <xdr:row>9</xdr:row>
      <xdr:rowOff>199359</xdr:rowOff>
    </xdr:from>
    <xdr:to>
      <xdr:col>26</xdr:col>
      <xdr:colOff>534992</xdr:colOff>
      <xdr:row>15</xdr:row>
      <xdr:rowOff>146356</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0"/>
        <a:stretch>
          <a:fillRect/>
        </a:stretch>
      </xdr:blipFill>
      <xdr:spPr>
        <a:xfrm>
          <a:off x="18576851" y="2009109"/>
          <a:ext cx="1884441" cy="1147147"/>
        </a:xfrm>
        <a:prstGeom prst="rect">
          <a:avLst/>
        </a:prstGeom>
      </xdr:spPr>
    </xdr:pic>
    <xdr:clientData/>
  </xdr:twoCellAnchor>
  <xdr:twoCellAnchor editAs="oneCell">
    <xdr:from>
      <xdr:col>15</xdr:col>
      <xdr:colOff>591156</xdr:colOff>
      <xdr:row>120</xdr:row>
      <xdr:rowOff>3602</xdr:rowOff>
    </xdr:from>
    <xdr:to>
      <xdr:col>22</xdr:col>
      <xdr:colOff>333373</xdr:colOff>
      <xdr:row>141</xdr:row>
      <xdr:rowOff>122294</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1"/>
        <a:stretch>
          <a:fillRect/>
        </a:stretch>
      </xdr:blipFill>
      <xdr:spPr>
        <a:xfrm>
          <a:off x="12811731" y="24216152"/>
          <a:ext cx="4704742" cy="4319217"/>
        </a:xfrm>
        <a:prstGeom prst="rect">
          <a:avLst/>
        </a:prstGeom>
      </xdr:spPr>
    </xdr:pic>
    <xdr:clientData/>
  </xdr:twoCellAnchor>
  <xdr:twoCellAnchor editAs="oneCell">
    <xdr:from>
      <xdr:col>10</xdr:col>
      <xdr:colOff>110755</xdr:colOff>
      <xdr:row>112</xdr:row>
      <xdr:rowOff>11076</xdr:rowOff>
    </xdr:from>
    <xdr:to>
      <xdr:col>15</xdr:col>
      <xdr:colOff>150424</xdr:colOff>
      <xdr:row>129</xdr:row>
      <xdr:rowOff>90779</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rotWithShape="1">
        <a:blip xmlns:r="http://schemas.openxmlformats.org/officeDocument/2006/relationships" r:embed="rId12"/>
        <a:srcRect l="21596" t="10585" r="23725" b="5054"/>
        <a:stretch/>
      </xdr:blipFill>
      <xdr:spPr>
        <a:xfrm>
          <a:off x="8359405" y="22623426"/>
          <a:ext cx="4011594" cy="3480128"/>
        </a:xfrm>
        <a:prstGeom prst="rect">
          <a:avLst/>
        </a:prstGeom>
        <a:ln>
          <a:solidFill>
            <a:schemeClr val="tx1"/>
          </a:solidFill>
        </a:ln>
      </xdr:spPr>
    </xdr:pic>
    <xdr:clientData/>
  </xdr:twoCellAnchor>
  <xdr:twoCellAnchor editAs="oneCell">
    <xdr:from>
      <xdr:col>4</xdr:col>
      <xdr:colOff>454098</xdr:colOff>
      <xdr:row>145</xdr:row>
      <xdr:rowOff>143982</xdr:rowOff>
    </xdr:from>
    <xdr:to>
      <xdr:col>14</xdr:col>
      <xdr:colOff>371238</xdr:colOff>
      <xdr:row>170</xdr:row>
      <xdr:rowOff>85083</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3"/>
        <a:stretch>
          <a:fillRect/>
        </a:stretch>
      </xdr:blipFill>
      <xdr:spPr>
        <a:xfrm>
          <a:off x="3930723" y="29357157"/>
          <a:ext cx="7832415" cy="4941726"/>
        </a:xfrm>
        <a:prstGeom prst="rect">
          <a:avLst/>
        </a:prstGeom>
      </xdr:spPr>
    </xdr:pic>
    <xdr:clientData/>
  </xdr:twoCellAnchor>
  <xdr:twoCellAnchor editAs="oneCell">
    <xdr:from>
      <xdr:col>4</xdr:col>
      <xdr:colOff>476250</xdr:colOff>
      <xdr:row>112</xdr:row>
      <xdr:rowOff>88605</xdr:rowOff>
    </xdr:from>
    <xdr:to>
      <xdr:col>9</xdr:col>
      <xdr:colOff>372223</xdr:colOff>
      <xdr:row>141</xdr:row>
      <xdr:rowOff>80107</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4"/>
        <a:stretch>
          <a:fillRect/>
        </a:stretch>
      </xdr:blipFill>
      <xdr:spPr>
        <a:xfrm>
          <a:off x="3952875" y="22700955"/>
          <a:ext cx="3763123" cy="5792227"/>
        </a:xfrm>
        <a:prstGeom prst="rect">
          <a:avLst/>
        </a:prstGeom>
      </xdr:spPr>
    </xdr:pic>
    <xdr:clientData/>
  </xdr:twoCellAnchor>
  <xdr:twoCellAnchor editAs="oneCell">
    <xdr:from>
      <xdr:col>4</xdr:col>
      <xdr:colOff>248926</xdr:colOff>
      <xdr:row>176</xdr:row>
      <xdr:rowOff>21321</xdr:rowOff>
    </xdr:from>
    <xdr:to>
      <xdr:col>12</xdr:col>
      <xdr:colOff>520120</xdr:colOff>
      <xdr:row>205</xdr:row>
      <xdr:rowOff>108086</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5"/>
        <a:stretch>
          <a:fillRect/>
        </a:stretch>
      </xdr:blipFill>
      <xdr:spPr>
        <a:xfrm>
          <a:off x="3725551" y="35435271"/>
          <a:ext cx="6814869" cy="5887490"/>
        </a:xfrm>
        <a:prstGeom prst="rect">
          <a:avLst/>
        </a:prstGeom>
      </xdr:spPr>
    </xdr:pic>
    <xdr:clientData/>
  </xdr:twoCellAnchor>
  <xdr:twoCellAnchor editAs="oneCell">
    <xdr:from>
      <xdr:col>14</xdr:col>
      <xdr:colOff>77530</xdr:colOff>
      <xdr:row>176</xdr:row>
      <xdr:rowOff>44302</xdr:rowOff>
    </xdr:from>
    <xdr:to>
      <xdr:col>19</xdr:col>
      <xdr:colOff>342699</xdr:colOff>
      <xdr:row>193</xdr:row>
      <xdr:rowOff>124004</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rotWithShape="1">
        <a:blip xmlns:r="http://schemas.openxmlformats.org/officeDocument/2006/relationships" r:embed="rId12"/>
        <a:srcRect l="21596" t="10585" r="23725" b="5054"/>
        <a:stretch/>
      </xdr:blipFill>
      <xdr:spPr>
        <a:xfrm>
          <a:off x="11469430" y="35458252"/>
          <a:ext cx="3998969" cy="3480127"/>
        </a:xfrm>
        <a:prstGeom prst="rect">
          <a:avLst/>
        </a:prstGeom>
        <a:ln>
          <a:solidFill>
            <a:schemeClr val="tx1"/>
          </a:solidFill>
        </a:ln>
      </xdr:spPr>
    </xdr:pic>
    <xdr:clientData/>
  </xdr:twoCellAnchor>
  <xdr:twoCellAnchor editAs="oneCell">
    <xdr:from>
      <xdr:col>5</xdr:col>
      <xdr:colOff>59531</xdr:colOff>
      <xdr:row>213</xdr:row>
      <xdr:rowOff>59532</xdr:rowOff>
    </xdr:from>
    <xdr:to>
      <xdr:col>12</xdr:col>
      <xdr:colOff>99007</xdr:colOff>
      <xdr:row>238</xdr:row>
      <xdr:rowOff>19752</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6"/>
        <a:stretch>
          <a:fillRect/>
        </a:stretch>
      </xdr:blipFill>
      <xdr:spPr>
        <a:xfrm>
          <a:off x="4221956" y="42874407"/>
          <a:ext cx="5897351" cy="4960845"/>
        </a:xfrm>
        <a:prstGeom prst="rect">
          <a:avLst/>
        </a:prstGeom>
      </xdr:spPr>
    </xdr:pic>
    <xdr:clientData/>
  </xdr:twoCellAnchor>
  <xdr:twoCellAnchor editAs="oneCell">
    <xdr:from>
      <xdr:col>12</xdr:col>
      <xdr:colOff>297656</xdr:colOff>
      <xdr:row>213</xdr:row>
      <xdr:rowOff>0</xdr:rowOff>
    </xdr:from>
    <xdr:to>
      <xdr:col>18</xdr:col>
      <xdr:colOff>1693</xdr:colOff>
      <xdr:row>227</xdr:row>
      <xdr:rowOff>154782</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7"/>
        <a:stretch>
          <a:fillRect/>
        </a:stretch>
      </xdr:blipFill>
      <xdr:spPr>
        <a:xfrm>
          <a:off x="10317956" y="42814875"/>
          <a:ext cx="4102378" cy="2955132"/>
        </a:xfrm>
        <a:prstGeom prst="rect">
          <a:avLst/>
        </a:prstGeom>
      </xdr:spPr>
    </xdr:pic>
    <xdr:clientData/>
  </xdr:twoCellAnchor>
  <xdr:twoCellAnchor editAs="oneCell">
    <xdr:from>
      <xdr:col>12</xdr:col>
      <xdr:colOff>309564</xdr:colOff>
      <xdr:row>227</xdr:row>
      <xdr:rowOff>190500</xdr:rowOff>
    </xdr:from>
    <xdr:to>
      <xdr:col>18</xdr:col>
      <xdr:colOff>833</xdr:colOff>
      <xdr:row>232</xdr:row>
      <xdr:rowOff>107156</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8"/>
        <a:stretch>
          <a:fillRect/>
        </a:stretch>
      </xdr:blipFill>
      <xdr:spPr>
        <a:xfrm>
          <a:off x="10329864" y="45805725"/>
          <a:ext cx="4110869" cy="916781"/>
        </a:xfrm>
        <a:prstGeom prst="rect">
          <a:avLst/>
        </a:prstGeom>
      </xdr:spPr>
    </xdr:pic>
    <xdr:clientData/>
  </xdr:twoCellAnchor>
  <xdr:twoCellAnchor editAs="oneCell">
    <xdr:from>
      <xdr:col>12</xdr:col>
      <xdr:colOff>345281</xdr:colOff>
      <xdr:row>232</xdr:row>
      <xdr:rowOff>154783</xdr:rowOff>
    </xdr:from>
    <xdr:to>
      <xdr:col>16</xdr:col>
      <xdr:colOff>214313</xdr:colOff>
      <xdr:row>235</xdr:row>
      <xdr:rowOff>182294</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19"/>
        <a:stretch>
          <a:fillRect/>
        </a:stretch>
      </xdr:blipFill>
      <xdr:spPr>
        <a:xfrm>
          <a:off x="10365581" y="46770133"/>
          <a:ext cx="2917032" cy="627586"/>
        </a:xfrm>
        <a:prstGeom prst="rect">
          <a:avLst/>
        </a:prstGeom>
      </xdr:spPr>
    </xdr:pic>
    <xdr:clientData/>
  </xdr:twoCellAnchor>
  <xdr:twoCellAnchor editAs="oneCell">
    <xdr:from>
      <xdr:col>19</xdr:col>
      <xdr:colOff>246630</xdr:colOff>
      <xdr:row>212</xdr:row>
      <xdr:rowOff>127566</xdr:rowOff>
    </xdr:from>
    <xdr:to>
      <xdr:col>25</xdr:col>
      <xdr:colOff>120594</xdr:colOff>
      <xdr:row>230</xdr:row>
      <xdr:rowOff>3160</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rotWithShape="1">
        <a:blip xmlns:r="http://schemas.openxmlformats.org/officeDocument/2006/relationships" r:embed="rId12"/>
        <a:srcRect l="21596" t="10585" r="23725" b="5054"/>
        <a:stretch/>
      </xdr:blipFill>
      <xdr:spPr>
        <a:xfrm>
          <a:off x="15372330" y="42742416"/>
          <a:ext cx="3988764" cy="3476044"/>
        </a:xfrm>
        <a:prstGeom prst="rect">
          <a:avLst/>
        </a:prstGeom>
        <a:ln>
          <a:solidFill>
            <a:schemeClr val="tx1"/>
          </a:solidFill>
        </a:ln>
      </xdr:spPr>
    </xdr:pic>
    <xdr:clientData/>
  </xdr:twoCellAnchor>
  <xdr:twoCellAnchor editAs="oneCell">
    <xdr:from>
      <xdr:col>24</xdr:col>
      <xdr:colOff>416719</xdr:colOff>
      <xdr:row>109</xdr:row>
      <xdr:rowOff>11905</xdr:rowOff>
    </xdr:from>
    <xdr:to>
      <xdr:col>29</xdr:col>
      <xdr:colOff>357693</xdr:colOff>
      <xdr:row>135</xdr:row>
      <xdr:rowOff>179351</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0"/>
        <a:stretch>
          <a:fillRect/>
        </a:stretch>
      </xdr:blipFill>
      <xdr:spPr>
        <a:xfrm>
          <a:off x="18971419" y="22024180"/>
          <a:ext cx="3598574" cy="53680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324091</xdr:colOff>
      <xdr:row>114</xdr:row>
      <xdr:rowOff>134157</xdr:rowOff>
    </xdr:from>
    <xdr:to>
      <xdr:col>9</xdr:col>
      <xdr:colOff>371314</xdr:colOff>
      <xdr:row>130</xdr:row>
      <xdr:rowOff>64576</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611420</xdr:colOff>
      <xdr:row>33</xdr:row>
      <xdr:rowOff>21405</xdr:rowOff>
    </xdr:from>
    <xdr:to>
      <xdr:col>8</xdr:col>
      <xdr:colOff>492302</xdr:colOff>
      <xdr:row>48</xdr:row>
      <xdr:rowOff>158751</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500064</xdr:colOff>
      <xdr:row>71</xdr:row>
      <xdr:rowOff>100853</xdr:rowOff>
    </xdr:from>
    <xdr:to>
      <xdr:col>7</xdr:col>
      <xdr:colOff>329235</xdr:colOff>
      <xdr:row>85</xdr:row>
      <xdr:rowOff>158564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329522</xdr:colOff>
      <xdr:row>131</xdr:row>
      <xdr:rowOff>161441</xdr:rowOff>
    </xdr:from>
    <xdr:to>
      <xdr:col>9</xdr:col>
      <xdr:colOff>355170</xdr:colOff>
      <xdr:row>149</xdr:row>
      <xdr:rowOff>177583</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403601</xdr:colOff>
      <xdr:row>161</xdr:row>
      <xdr:rowOff>96320</xdr:rowOff>
    </xdr:from>
    <xdr:to>
      <xdr:col>8</xdr:col>
      <xdr:colOff>288960</xdr:colOff>
      <xdr:row>180</xdr:row>
      <xdr:rowOff>128427</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524861</xdr:colOff>
      <xdr:row>240</xdr:row>
      <xdr:rowOff>89898</xdr:rowOff>
    </xdr:from>
    <xdr:to>
      <xdr:col>14</xdr:col>
      <xdr:colOff>524362</xdr:colOff>
      <xdr:row>265</xdr:row>
      <xdr:rowOff>106235</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475653</xdr:colOff>
      <xdr:row>130</xdr:row>
      <xdr:rowOff>0</xdr:rowOff>
    </xdr:from>
    <xdr:to>
      <xdr:col>29</xdr:col>
      <xdr:colOff>511238</xdr:colOff>
      <xdr:row>147</xdr:row>
      <xdr:rowOff>153745</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440787</xdr:colOff>
      <xdr:row>130</xdr:row>
      <xdr:rowOff>5016</xdr:rowOff>
    </xdr:from>
    <xdr:to>
      <xdr:col>38</xdr:col>
      <xdr:colOff>485898</xdr:colOff>
      <xdr:row>147</xdr:row>
      <xdr:rowOff>158761</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416163</xdr:colOff>
      <xdr:row>130</xdr:row>
      <xdr:rowOff>22960</xdr:rowOff>
    </xdr:from>
    <xdr:to>
      <xdr:col>47</xdr:col>
      <xdr:colOff>461276</xdr:colOff>
      <xdr:row>147</xdr:row>
      <xdr:rowOff>176705</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48</xdr:col>
      <xdr:colOff>391539</xdr:colOff>
      <xdr:row>130</xdr:row>
      <xdr:rowOff>43894</xdr:rowOff>
    </xdr:from>
    <xdr:to>
      <xdr:col>56</xdr:col>
      <xdr:colOff>436651</xdr:colOff>
      <xdr:row>148</xdr:row>
      <xdr:rowOff>11785</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57</xdr:col>
      <xdr:colOff>375421</xdr:colOff>
      <xdr:row>130</xdr:row>
      <xdr:rowOff>18379</xdr:rowOff>
    </xdr:from>
    <xdr:to>
      <xdr:col>65</xdr:col>
      <xdr:colOff>411007</xdr:colOff>
      <xdr:row>147</xdr:row>
      <xdr:rowOff>172124</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465411</xdr:colOff>
      <xdr:row>161</xdr:row>
      <xdr:rowOff>15223</xdr:rowOff>
    </xdr:from>
    <xdr:to>
      <xdr:col>29</xdr:col>
      <xdr:colOff>169230</xdr:colOff>
      <xdr:row>178</xdr:row>
      <xdr:rowOff>19262</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512944</xdr:colOff>
      <xdr:row>161</xdr:row>
      <xdr:rowOff>15223</xdr:rowOff>
    </xdr:from>
    <xdr:to>
      <xdr:col>37</xdr:col>
      <xdr:colOff>216763</xdr:colOff>
      <xdr:row>178</xdr:row>
      <xdr:rowOff>19262</xdr:rowOff>
    </xdr:to>
    <xdr:graphicFrame macro="">
      <xdr:nvGraphicFramePr>
        <xdr:cNvPr id="16" name="Chart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560477</xdr:colOff>
      <xdr:row>161</xdr:row>
      <xdr:rowOff>15223</xdr:rowOff>
    </xdr:from>
    <xdr:to>
      <xdr:col>45</xdr:col>
      <xdr:colOff>264297</xdr:colOff>
      <xdr:row>178</xdr:row>
      <xdr:rowOff>19262</xdr:rowOff>
    </xdr:to>
    <xdr:graphicFrame macro="">
      <xdr:nvGraphicFramePr>
        <xdr:cNvPr id="17" name="Chart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45</xdr:col>
      <xdr:colOff>608012</xdr:colOff>
      <xdr:row>161</xdr:row>
      <xdr:rowOff>15223</xdr:rowOff>
    </xdr:from>
    <xdr:to>
      <xdr:col>53</xdr:col>
      <xdr:colOff>311831</xdr:colOff>
      <xdr:row>178</xdr:row>
      <xdr:rowOff>19262</xdr:rowOff>
    </xdr:to>
    <xdr:graphicFrame macro="">
      <xdr:nvGraphicFramePr>
        <xdr:cNvPr id="18" name="Chart 17">
          <a:extLst>
            <a:ext uri="{FF2B5EF4-FFF2-40B4-BE49-F238E27FC236}">
              <a16:creationId xmlns:a16="http://schemas.microsoft.com/office/drawing/2014/main" id="{00000000-0008-0000-0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53</xdr:col>
      <xdr:colOff>655546</xdr:colOff>
      <xdr:row>161</xdr:row>
      <xdr:rowOff>15223</xdr:rowOff>
    </xdr:from>
    <xdr:to>
      <xdr:col>61</xdr:col>
      <xdr:colOff>359364</xdr:colOff>
      <xdr:row>178</xdr:row>
      <xdr:rowOff>19262</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31750</xdr:colOff>
      <xdr:row>21</xdr:row>
      <xdr:rowOff>25400</xdr:rowOff>
    </xdr:from>
    <xdr:ext cx="880754" cy="31688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546225" y="4454525"/>
              <a:ext cx="880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rPr>
                      <m:t>(</m:t>
                    </m:r>
                    <m:r>
                      <a:rPr lang="en-US" sz="1100" b="0" i="1">
                        <a:latin typeface="Cambria Math" panose="02040503050406030204" pitchFamily="18" charset="0"/>
                      </a:rPr>
                      <m:t>𝐿𝑝𝑝</m:t>
                    </m:r>
                    <m:r>
                      <a:rPr lang="en-US" sz="1100" b="0" i="1">
                        <a:latin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𝐿𝑤𝑙</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98A612A7-F304-4C0B-8CE4-3658669F6787}"/>
                </a:ext>
              </a:extLst>
            </xdr:cNvPr>
            <xdr:cNvSpPr txBox="1"/>
          </xdr:nvSpPr>
          <xdr:spPr>
            <a:xfrm>
              <a:off x="1546225" y="4454525"/>
              <a:ext cx="880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1/2(𝐿𝑝𝑝+</a:t>
              </a:r>
              <a:r>
                <a:rPr lang="en-US" sz="1100" b="0" i="0">
                  <a:latin typeface="Cambria Math" panose="02040503050406030204" pitchFamily="18" charset="0"/>
                  <a:ea typeface="Cambria Math" panose="02040503050406030204" pitchFamily="18" charset="0"/>
                </a:rPr>
                <a:t>𝐿𝑤𝑙)</a:t>
              </a:r>
              <a:endParaRPr lang="en-US" sz="1100"/>
            </a:p>
          </xdr:txBody>
        </xdr:sp>
      </mc:Fallback>
    </mc:AlternateContent>
    <xdr:clientData/>
  </xdr:oneCellAnchor>
  <xdr:oneCellAnchor>
    <xdr:from>
      <xdr:col>1</xdr:col>
      <xdr:colOff>69850</xdr:colOff>
      <xdr:row>23</xdr:row>
      <xdr:rowOff>25400</xdr:rowOff>
    </xdr:from>
    <xdr:ext cx="542649" cy="36644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584325" y="4854575"/>
              <a:ext cx="542649" cy="366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𝑉𝑠</m:t>
                        </m:r>
                      </m:num>
                      <m:den>
                        <m:rad>
                          <m:radPr>
                            <m:degHide m:val="on"/>
                            <m:ctrlPr>
                              <a:rPr lang="en-US" sz="1100" b="0" i="1">
                                <a:latin typeface="Cambria Math" panose="02040503050406030204" pitchFamily="18" charset="0"/>
                                <a:ea typeface="Cambria Math" panose="02040503050406030204" pitchFamily="18" charset="0"/>
                              </a:rPr>
                            </m:ctrlPr>
                          </m:radPr>
                          <m:deg/>
                          <m:e>
                            <m:r>
                              <a:rPr lang="en-US" sz="1100" b="0" i="1">
                                <a:latin typeface="Cambria Math" panose="02040503050406030204" pitchFamily="18" charset="0"/>
                                <a:ea typeface="Cambria Math" panose="02040503050406030204" pitchFamily="18" charset="0"/>
                              </a:rPr>
                              <m:t>𝐿</m:t>
                            </m:r>
                          </m:e>
                        </m:ra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𝐷𝑖𝑠𝑝</m:t>
                        </m:r>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79406F82-73B7-4BB0-96F0-AEE191BF2629}"/>
                </a:ext>
              </a:extLst>
            </xdr:cNvPr>
            <xdr:cNvSpPr txBox="1"/>
          </xdr:nvSpPr>
          <xdr:spPr>
            <a:xfrm>
              <a:off x="1584325" y="4854575"/>
              <a:ext cx="542649" cy="366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𝑉𝑠/(</a:t>
              </a:r>
              <a:r>
                <a:rPr lang="en-US" sz="1100" b="0" i="0">
                  <a:latin typeface="Cambria Math" panose="02040503050406030204" pitchFamily="18" charset="0"/>
                  <a:ea typeface="Cambria Math" panose="02040503050406030204" pitchFamily="18" charset="0"/>
                </a:rPr>
                <a:t>√𝐿.𝐷𝑖𝑠𝑝)</a:t>
              </a:r>
              <a:endParaRPr lang="en-US" sz="1100"/>
            </a:p>
          </xdr:txBody>
        </xdr:sp>
      </mc:Fallback>
    </mc:AlternateContent>
    <xdr:clientData/>
  </xdr:oneCellAnchor>
  <xdr:oneCellAnchor>
    <xdr:from>
      <xdr:col>1</xdr:col>
      <xdr:colOff>907</xdr:colOff>
      <xdr:row>25</xdr:row>
      <xdr:rowOff>26307</xdr:rowOff>
    </xdr:from>
    <xdr:ext cx="829128"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515382" y="5255532"/>
              <a:ext cx="82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𝐶𝑚</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m:t>
                    </m:r>
                  </m:oMath>
                </m:oMathPara>
              </a14:m>
              <a:endParaRPr lang="en-US" sz="1100"/>
            </a:p>
          </xdr:txBody>
        </xdr:sp>
      </mc:Choice>
      <mc:Fallback xmlns="">
        <xdr:sp macro="" textlink="">
          <xdr:nvSpPr>
            <xdr:cNvPr id="4" name="TextBox 3">
              <a:extLst>
                <a:ext uri="{FF2B5EF4-FFF2-40B4-BE49-F238E27FC236}">
                  <a16:creationId xmlns:a16="http://schemas.microsoft.com/office/drawing/2014/main" id="{AE275444-A032-462B-8AF8-0F42488907F4}"/>
                </a:ext>
              </a:extLst>
            </xdr:cNvPr>
            <xdr:cNvSpPr txBox="1"/>
          </xdr:nvSpPr>
          <xdr:spPr>
            <a:xfrm>
              <a:off x="1515382" y="5255532"/>
              <a:ext cx="82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𝐶𝑚</a:t>
              </a:r>
              <a:r>
                <a:rPr lang="en-US" sz="1100" b="0" i="0">
                  <a:latin typeface="Cambria Math" panose="02040503050406030204" pitchFamily="18" charset="0"/>
                  <a:ea typeface="Cambria Math" panose="02040503050406030204" pitchFamily="18" charset="0"/>
                </a:rPr>
                <a:t>×𝐵×𝑇</a:t>
              </a:r>
              <a:endParaRPr lang="en-US" sz="1100"/>
            </a:p>
          </xdr:txBody>
        </xdr:sp>
      </mc:Fallback>
    </mc:AlternateContent>
    <xdr:clientData/>
  </xdr:oneCellAnchor>
  <xdr:oneCellAnchor>
    <xdr:from>
      <xdr:col>1</xdr:col>
      <xdr:colOff>44450</xdr:colOff>
      <xdr:row>26</xdr:row>
      <xdr:rowOff>30480</xdr:rowOff>
    </xdr:from>
    <xdr:ext cx="1197610"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1558925" y="5459730"/>
              <a:ext cx="11976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𝐶𝑏</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𝐿𝑑𝑖𝑠𝑝</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m:t>
                    </m:r>
                  </m:oMath>
                </m:oMathPara>
              </a14:m>
              <a:endParaRPr lang="en-US" sz="1100"/>
            </a:p>
          </xdr:txBody>
        </xdr:sp>
      </mc:Choice>
      <mc:Fallback xmlns="">
        <xdr:sp macro="" textlink="">
          <xdr:nvSpPr>
            <xdr:cNvPr id="5" name="TextBox 4">
              <a:extLst>
                <a:ext uri="{FF2B5EF4-FFF2-40B4-BE49-F238E27FC236}">
                  <a16:creationId xmlns:a16="http://schemas.microsoft.com/office/drawing/2014/main" id="{3EA62E22-10C9-49CF-9BD8-D2CFFA5BBD6A}"/>
                </a:ext>
              </a:extLst>
            </xdr:cNvPr>
            <xdr:cNvSpPr txBox="1"/>
          </xdr:nvSpPr>
          <xdr:spPr>
            <a:xfrm>
              <a:off x="1558925" y="5459730"/>
              <a:ext cx="11976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𝐶𝑏</a:t>
              </a:r>
              <a:r>
                <a:rPr lang="en-US" sz="1100" b="0" i="0">
                  <a:latin typeface="Cambria Math" panose="02040503050406030204" pitchFamily="18" charset="0"/>
                  <a:ea typeface="Cambria Math" panose="02040503050406030204" pitchFamily="18" charset="0"/>
                </a:rPr>
                <a:t>×𝐿𝑑𝑖𝑠𝑝×𝐵×𝑇</a:t>
              </a:r>
              <a:endParaRPr lang="en-US" sz="1100"/>
            </a:p>
          </xdr:txBody>
        </xdr:sp>
      </mc:Fallback>
    </mc:AlternateContent>
    <xdr:clientData/>
  </xdr:oneCellAnchor>
  <xdr:oneCellAnchor>
    <xdr:from>
      <xdr:col>1</xdr:col>
      <xdr:colOff>69850</xdr:colOff>
      <xdr:row>27</xdr:row>
      <xdr:rowOff>25400</xdr:rowOff>
    </xdr:from>
    <xdr:ext cx="1149545"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584325" y="5673725"/>
              <a:ext cx="11495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r>
                      <a:rPr lang="en-US" sz="1100" b="0" i="1">
                        <a:latin typeface="Cambria Math" panose="02040503050406030204" pitchFamily="18" charset="0"/>
                      </a:rPr>
                      <m:t>.</m:t>
                    </m:r>
                    <m:r>
                      <a:rPr lang="en-US" sz="1100" b="0" i="1">
                        <a:latin typeface="Cambria Math" panose="02040503050406030204" pitchFamily="18" charset="0"/>
                      </a:rPr>
                      <m:t>𝑑𝑖𝑠𝑝</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𝑎𝑖𝑟</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𝑙𝑎𝑢𝑡</m:t>
                    </m:r>
                  </m:oMath>
                </m:oMathPara>
              </a14:m>
              <a:endParaRPr lang="en-US" sz="1100"/>
            </a:p>
          </xdr:txBody>
        </xdr:sp>
      </mc:Choice>
      <mc:Fallback xmlns="">
        <xdr:sp macro="" textlink="">
          <xdr:nvSpPr>
            <xdr:cNvPr id="6" name="TextBox 5">
              <a:extLst>
                <a:ext uri="{FF2B5EF4-FFF2-40B4-BE49-F238E27FC236}">
                  <a16:creationId xmlns:a16="http://schemas.microsoft.com/office/drawing/2014/main" id="{3B74CEE8-BF0F-46A5-A987-364B112EBE0F}"/>
                </a:ext>
              </a:extLst>
            </xdr:cNvPr>
            <xdr:cNvSpPr txBox="1"/>
          </xdr:nvSpPr>
          <xdr:spPr>
            <a:xfrm>
              <a:off x="1584325" y="5673725"/>
              <a:ext cx="11495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𝑉.𝑑𝑖𝑠𝑝</a:t>
              </a:r>
              <a:r>
                <a:rPr lang="en-US" sz="1100" b="0" i="0">
                  <a:latin typeface="Cambria Math" panose="02040503050406030204" pitchFamily="18" charset="0"/>
                  <a:ea typeface="Cambria Math" panose="02040503050406030204" pitchFamily="18" charset="0"/>
                </a:rPr>
                <a:t>×𝜌 𝑎𝑖𝑟 𝑙𝑎𝑢𝑡</a:t>
              </a:r>
              <a:endParaRPr lang="en-US" sz="1100"/>
            </a:p>
          </xdr:txBody>
        </xdr:sp>
      </mc:Fallback>
    </mc:AlternateContent>
    <xdr:clientData/>
  </xdr:oneCellAnchor>
  <xdr:oneCellAnchor>
    <xdr:from>
      <xdr:col>1</xdr:col>
      <xdr:colOff>44450</xdr:colOff>
      <xdr:row>28</xdr:row>
      <xdr:rowOff>19210</xdr:rowOff>
    </xdr:from>
    <xdr:ext cx="2004626"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1558925" y="5867560"/>
              <a:ext cx="200462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𝐿𝑝𝑝</m:t>
                    </m:r>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𝐶𝑏</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1,7×</m:t>
                        </m:r>
                        <m:r>
                          <a:rPr lang="en-US" sz="1100" b="0" i="1">
                            <a:latin typeface="Cambria Math" panose="02040503050406030204" pitchFamily="18" charset="0"/>
                            <a:ea typeface="Cambria Math" panose="02040503050406030204" pitchFamily="18" charset="0"/>
                          </a:rPr>
                          <m:t>𝑇</m:t>
                        </m:r>
                      </m:e>
                    </m:d>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7" name="TextBox 6">
              <a:extLst>
                <a:ext uri="{FF2B5EF4-FFF2-40B4-BE49-F238E27FC236}">
                  <a16:creationId xmlns:a16="http://schemas.microsoft.com/office/drawing/2014/main" id="{8E7F4CC8-2DB8-4458-9604-9F121424345F}"/>
                </a:ext>
              </a:extLst>
            </xdr:cNvPr>
            <xdr:cNvSpPr txBox="1"/>
          </xdr:nvSpPr>
          <xdr:spPr>
            <a:xfrm>
              <a:off x="1558925" y="5867560"/>
              <a:ext cx="200462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ea typeface="Cambria Math" panose="02040503050406030204" pitchFamily="18" charset="0"/>
                </a:rPr>
                <a:t>𝜌×𝐿𝑝𝑝((𝐶𝑏×𝐵)+(1,7×𝑇))</a:t>
              </a:r>
              <a:endParaRPr lang="en-US" sz="1100"/>
            </a:p>
          </xdr:txBody>
        </xdr:sp>
      </mc:Fallback>
    </mc:AlternateContent>
    <xdr:clientData/>
  </xdr:oneCellAnchor>
  <xdr:oneCellAnchor>
    <xdr:from>
      <xdr:col>1</xdr:col>
      <xdr:colOff>57150</xdr:colOff>
      <xdr:row>29</xdr:row>
      <xdr:rowOff>38100</xdr:rowOff>
    </xdr:from>
    <xdr:ext cx="653577" cy="315792"/>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1571625" y="6086475"/>
              <a:ext cx="65357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19</m:t>
                    </m:r>
                    <m:sSup>
                      <m:sSupPr>
                        <m:ctrlPr>
                          <a:rPr lang="en-US" sz="1100" b="0" i="1">
                            <a:latin typeface="Cambria Math" panose="02040503050406030204" pitchFamily="18" charset="0"/>
                          </a:rPr>
                        </m:ctrlPr>
                      </m:sSupPr>
                      <m:e>
                        <m:r>
                          <a:rPr lang="en-US" sz="1100" b="0" i="1">
                            <a:latin typeface="Cambria Math" panose="02040503050406030204" pitchFamily="18" charset="0"/>
                          </a:rPr>
                          <m:t>(</m:t>
                        </m:r>
                        <m:r>
                          <a:rPr lang="en-US" sz="1100" b="0" i="1">
                            <a:latin typeface="Cambria Math" panose="02040503050406030204" pitchFamily="18" charset="0"/>
                          </a:rPr>
                          <m:t>𝐶𝑏</m:t>
                        </m:r>
                        <m:f>
                          <m:fPr>
                            <m:ctrlPr>
                              <a:rPr lang="en-US" sz="1100" b="0" i="1">
                                <a:latin typeface="Cambria Math" panose="02040503050406030204" pitchFamily="18" charset="0"/>
                              </a:rPr>
                            </m:ctrlPr>
                          </m:fPr>
                          <m:num>
                            <m:r>
                              <a:rPr lang="en-US" sz="1100" b="0" i="1">
                                <a:latin typeface="Cambria Math" panose="02040503050406030204" pitchFamily="18" charset="0"/>
                              </a:rPr>
                              <m:t>𝐵</m:t>
                            </m:r>
                          </m:num>
                          <m:den>
                            <m:r>
                              <a:rPr lang="en-US" sz="1100" b="0" i="1">
                                <a:latin typeface="Cambria Math" panose="02040503050406030204" pitchFamily="18" charset="0"/>
                              </a:rPr>
                              <m:t>𝐿</m:t>
                            </m:r>
                          </m:den>
                        </m:f>
                        <m:r>
                          <a:rPr lang="en-US" sz="1100" b="0" i="1">
                            <a:latin typeface="Cambria Math" panose="02040503050406030204" pitchFamily="18" charset="0"/>
                          </a:rPr>
                          <m:t>)</m:t>
                        </m:r>
                      </m:e>
                      <m:sup>
                        <m:r>
                          <a:rPr lang="en-US" sz="1100" b="0" i="1">
                            <a:latin typeface="Cambria Math" panose="02040503050406030204" pitchFamily="18" charset="0"/>
                          </a:rPr>
                          <m:t>2</m:t>
                        </m:r>
                      </m:sup>
                    </m:sSup>
                  </m:oMath>
                </m:oMathPara>
              </a14:m>
              <a:endParaRPr lang="en-US" sz="1100"/>
            </a:p>
          </xdr:txBody>
        </xdr:sp>
      </mc:Choice>
      <mc:Fallback xmlns="">
        <xdr:sp macro="" textlink="">
          <xdr:nvSpPr>
            <xdr:cNvPr id="8" name="TextBox 7">
              <a:extLst>
                <a:ext uri="{FF2B5EF4-FFF2-40B4-BE49-F238E27FC236}">
                  <a16:creationId xmlns:a16="http://schemas.microsoft.com/office/drawing/2014/main" id="{0A3376A3-EB71-4ED3-9E1C-D2C8B55F279F}"/>
                </a:ext>
              </a:extLst>
            </xdr:cNvPr>
            <xdr:cNvSpPr txBox="1"/>
          </xdr:nvSpPr>
          <xdr:spPr>
            <a:xfrm>
              <a:off x="1571625" y="6086475"/>
              <a:ext cx="65357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19〖(𝐶𝑏 𝐵/𝐿)〗^2</a:t>
              </a:r>
              <a:endParaRPr lang="en-US" sz="1100"/>
            </a:p>
          </xdr:txBody>
        </xdr:sp>
      </mc:Fallback>
    </mc:AlternateContent>
    <xdr:clientData/>
  </xdr:oneCellAnchor>
  <xdr:oneCellAnchor>
    <xdr:from>
      <xdr:col>0</xdr:col>
      <xdr:colOff>0</xdr:colOff>
      <xdr:row>92</xdr:row>
      <xdr:rowOff>0</xdr:rowOff>
    </xdr:from>
    <xdr:ext cx="5578835" cy="417294"/>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0" y="19040475"/>
              <a:ext cx="5578835" cy="417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𝑘</m:t>
                        </m:r>
                      </m:e>
                      <m:sub>
                        <m:r>
                          <a:rPr lang="en-US" sz="1100" b="0" i="1">
                            <a:latin typeface="Cambria Math" panose="02040503050406030204" pitchFamily="18" charset="0"/>
                          </a:rPr>
                          <m:t>1</m:t>
                        </m:r>
                      </m:sub>
                    </m:sSub>
                    <m:r>
                      <a:rPr lang="en-US" sz="1100" b="0" i="1">
                        <a:latin typeface="Cambria Math" panose="02040503050406030204" pitchFamily="18" charset="0"/>
                      </a:rPr>
                      <m:t>=0,93+0,487118</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14</m:t>
                        </m:r>
                      </m:sub>
                    </m:sSub>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𝐵</m:t>
                                </m:r>
                              </m:num>
                              <m:den>
                                <m:r>
                                  <a:rPr lang="en-US" sz="1100" b="0" i="1">
                                    <a:latin typeface="Cambria Math" panose="02040503050406030204" pitchFamily="18" charset="0"/>
                                  </a:rPr>
                                  <m:t>𝐿</m:t>
                                </m:r>
                              </m:den>
                            </m:f>
                          </m:e>
                        </m:d>
                      </m:e>
                      <m:sup>
                        <m:r>
                          <a:rPr lang="en-US" sz="1100" b="0" i="1">
                            <a:latin typeface="Cambria Math" panose="02040503050406030204" pitchFamily="18" charset="0"/>
                          </a:rPr>
                          <m:t>1,06806</m:t>
                        </m:r>
                      </m:sup>
                    </m:sSup>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𝑇</m:t>
                                </m:r>
                              </m:num>
                              <m:den>
                                <m:r>
                                  <a:rPr lang="en-US" sz="1100" b="0" i="1">
                                    <a:latin typeface="Cambria Math" panose="02040503050406030204" pitchFamily="18" charset="0"/>
                                  </a:rPr>
                                  <m:t>𝐿</m:t>
                                </m:r>
                              </m:den>
                            </m:f>
                          </m:e>
                        </m:d>
                      </m:e>
                      <m:sup>
                        <m:r>
                          <a:rPr lang="en-US" sz="1100" b="0" i="1">
                            <a:latin typeface="Cambria Math" panose="02040503050406030204" pitchFamily="18" charset="0"/>
                          </a:rPr>
                          <m:t>0,46106</m:t>
                        </m:r>
                      </m:sup>
                    </m:sSup>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𝐿</m:t>
                                </m:r>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𝑅</m:t>
                                    </m:r>
                                  </m:sub>
                                </m:sSub>
                              </m:den>
                            </m:f>
                          </m:e>
                        </m:d>
                      </m:e>
                      <m:sup>
                        <m:r>
                          <a:rPr lang="en-US" sz="1100" b="0" i="1">
                            <a:latin typeface="Cambria Math" panose="02040503050406030204" pitchFamily="18" charset="0"/>
                          </a:rPr>
                          <m:t>0,121563</m:t>
                        </m:r>
                      </m:sup>
                    </m:sSup>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𝐿</m:t>
                                    </m:r>
                                  </m:e>
                                  <m:sup>
                                    <m:r>
                                      <a:rPr lang="en-US" sz="1100" b="0" i="1">
                                        <a:latin typeface="Cambria Math" panose="02040503050406030204" pitchFamily="18" charset="0"/>
                                        <a:ea typeface="Cambria Math" panose="02040503050406030204" pitchFamily="18" charset="0"/>
                                      </a:rPr>
                                      <m:t>3</m:t>
                                    </m:r>
                                  </m:sup>
                                </m:sSup>
                              </m:num>
                              <m:den>
                                <m:r>
                                  <a:rPr lang="en-US" sz="1100" b="0" i="1">
                                    <a:latin typeface="Cambria Math" panose="02040503050406030204" pitchFamily="18" charset="0"/>
                                    <a:ea typeface="Cambria Math" panose="02040503050406030204" pitchFamily="18" charset="0"/>
                                  </a:rPr>
                                  <m:t>𝛻</m:t>
                                </m:r>
                              </m:den>
                            </m:f>
                          </m:e>
                        </m:d>
                      </m:e>
                      <m:sup>
                        <m:r>
                          <a:rPr lang="en-US" sz="1100" b="0" i="1">
                            <a:latin typeface="Cambria Math" panose="02040503050406030204" pitchFamily="18" charset="0"/>
                            <a:ea typeface="Cambria Math" panose="02040503050406030204" pitchFamily="18" charset="0"/>
                          </a:rPr>
                          <m:t>0,36486</m:t>
                        </m:r>
                      </m:sup>
                    </m:sSup>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𝑝</m:t>
                            </m:r>
                          </m:sub>
                        </m:sSub>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ea typeface="Cambria Math" panose="02040503050406030204" pitchFamily="18" charset="0"/>
                          </a:rPr>
                          <m:t>−0,604247</m:t>
                        </m:r>
                      </m:sup>
                    </m:sSup>
                  </m:oMath>
                </m:oMathPara>
              </a14:m>
              <a:endParaRPr lang="en-US" sz="1100"/>
            </a:p>
          </xdr:txBody>
        </xdr:sp>
      </mc:Choice>
      <mc:Fallback xmlns="">
        <xdr:sp macro="" textlink="">
          <xdr:nvSpPr>
            <xdr:cNvPr id="9" name="TextBox 8">
              <a:extLst>
                <a:ext uri="{FF2B5EF4-FFF2-40B4-BE49-F238E27FC236}">
                  <a16:creationId xmlns:a16="http://schemas.microsoft.com/office/drawing/2014/main" id="{EC50BB2F-02A0-4722-AF6B-8D5DC20C63B3}"/>
                </a:ext>
              </a:extLst>
            </xdr:cNvPr>
            <xdr:cNvSpPr txBox="1"/>
          </xdr:nvSpPr>
          <xdr:spPr>
            <a:xfrm>
              <a:off x="0" y="19040475"/>
              <a:ext cx="5578835" cy="417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1+𝑘_1=0,93+0,487118𝐶_14 (𝐵/𝐿)^1,06806 (𝑇/𝐿)^0,46106 (𝐿/𝐿_𝑅 )^0,121563</a:t>
              </a:r>
              <a:r>
                <a:rPr lang="en-US" sz="1100" b="0" i="0">
                  <a:latin typeface="Cambria Math" panose="02040503050406030204" pitchFamily="18" charset="0"/>
                  <a:ea typeface="Cambria Math" panose="02040503050406030204" pitchFamily="18" charset="0"/>
                </a:rPr>
                <a:t> (𝐿^3/𝛻)^0,36486 〖(1−𝐶_𝑝)〗^(−0,604247)</a:t>
              </a:r>
              <a:endParaRPr lang="en-US" sz="1100"/>
            </a:p>
          </xdr:txBody>
        </xdr:sp>
      </mc:Fallback>
    </mc:AlternateContent>
    <xdr:clientData/>
  </xdr:oneCellAnchor>
  <xdr:oneCellAnchor>
    <xdr:from>
      <xdr:col>0</xdr:col>
      <xdr:colOff>84301</xdr:colOff>
      <xdr:row>96</xdr:row>
      <xdr:rowOff>52722</xdr:rowOff>
    </xdr:from>
    <xdr:ext cx="1724126" cy="37279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84301" y="19893297"/>
              <a:ext cx="1724126" cy="3727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𝑅</m:t>
                        </m:r>
                      </m:sub>
                    </m:sSub>
                    <m:r>
                      <a:rPr lang="en-US" sz="1100" b="0" i="1">
                        <a:latin typeface="Cambria Math" panose="02040503050406030204" pitchFamily="18" charset="0"/>
                      </a:rPr>
                      <m:t>=</m:t>
                    </m:r>
                    <m:r>
                      <a:rPr lang="en-US" sz="1100" b="0" i="1">
                        <a:latin typeface="Cambria Math" panose="02040503050406030204" pitchFamily="18" charset="0"/>
                      </a:rPr>
                      <m:t>𝐿</m:t>
                    </m:r>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𝑝</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0,06</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𝑝</m:t>
                            </m:r>
                          </m:sub>
                        </m:sSub>
                        <m:r>
                          <a:rPr lang="en-US" sz="1100" b="0" i="1">
                            <a:latin typeface="Cambria Math" panose="02040503050406030204" pitchFamily="18" charset="0"/>
                          </a:rPr>
                          <m:t>𝑙𝑐𝑏</m:t>
                        </m:r>
                      </m:num>
                      <m:den>
                        <m:r>
                          <a:rPr lang="en-US" sz="1100" b="0" i="1">
                            <a:latin typeface="Cambria Math" panose="02040503050406030204" pitchFamily="18" charset="0"/>
                          </a:rPr>
                          <m:t>4</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𝑝</m:t>
                            </m:r>
                          </m:sub>
                        </m:sSub>
                        <m:r>
                          <a:rPr lang="en-US" sz="1100" b="0" i="1">
                            <a:latin typeface="Cambria Math" panose="02040503050406030204" pitchFamily="18" charset="0"/>
                          </a:rPr>
                          <m:t>−1</m:t>
                        </m:r>
                      </m:den>
                    </m:f>
                    <m:r>
                      <a:rPr lang="en-US" sz="1100" b="0" i="1">
                        <a:latin typeface="Cambria Math" panose="02040503050406030204" pitchFamily="18" charset="0"/>
                      </a:rPr>
                      <m:t>)</m:t>
                    </m:r>
                  </m:oMath>
                </m:oMathPara>
              </a14:m>
              <a:endParaRPr lang="en-US" sz="1100"/>
            </a:p>
          </xdr:txBody>
        </xdr:sp>
      </mc:Choice>
      <mc:Fallback xmlns="">
        <xdr:sp macro="" textlink="">
          <xdr:nvSpPr>
            <xdr:cNvPr id="10" name="TextBox 9">
              <a:extLst>
                <a:ext uri="{FF2B5EF4-FFF2-40B4-BE49-F238E27FC236}">
                  <a16:creationId xmlns:a16="http://schemas.microsoft.com/office/drawing/2014/main" id="{0C30FD08-103A-4C7B-A7D5-A39C3BC35B7B}"/>
                </a:ext>
              </a:extLst>
            </xdr:cNvPr>
            <xdr:cNvSpPr txBox="1"/>
          </xdr:nvSpPr>
          <xdr:spPr>
            <a:xfrm>
              <a:off x="84301" y="19893297"/>
              <a:ext cx="1724126" cy="3727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𝐿_𝑅=𝐿(1−𝐶_𝑝+(0,06𝐶_𝑝 𝑙𝑐𝑏)/(4𝐶_𝑝−1))</a:t>
              </a:r>
              <a:endParaRPr lang="en-US" sz="1100"/>
            </a:p>
          </xdr:txBody>
        </xdr:sp>
      </mc:Fallback>
    </mc:AlternateContent>
    <xdr:clientData/>
  </xdr:oneCellAnchor>
  <xdr:oneCellAnchor>
    <xdr:from>
      <xdr:col>0</xdr:col>
      <xdr:colOff>0</xdr:colOff>
      <xdr:row>108</xdr:row>
      <xdr:rowOff>50800</xdr:rowOff>
    </xdr:from>
    <xdr:ext cx="4440703" cy="55406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0" y="22291675"/>
              <a:ext cx="4440703" cy="55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𝑘</m:t>
                        </m:r>
                      </m:e>
                      <m:sub>
                        <m:r>
                          <a:rPr lang="en-US" sz="1100" b="0" i="1">
                            <a:latin typeface="Cambria Math" panose="02040503050406030204" pitchFamily="18" charset="0"/>
                          </a:rPr>
                          <m:t>1</m:t>
                        </m:r>
                      </m:sub>
                    </m:sSub>
                    <m:r>
                      <a:rPr lang="en-US" sz="1100" b="0" i="1">
                        <a:latin typeface="Cambria Math" panose="02040503050406030204" pitchFamily="18" charset="0"/>
                      </a:rPr>
                      <m:t>=0,93+</m:t>
                    </m:r>
                    <m:f>
                      <m:fPr>
                        <m:ctrlPr>
                          <a:rPr lang="en-US" sz="1100" b="0" i="1">
                            <a:latin typeface="Cambria Math" panose="02040503050406030204" pitchFamily="18" charset="0"/>
                          </a:rPr>
                        </m:ctrlPr>
                      </m:fPr>
                      <m:num>
                        <m:r>
                          <a:rPr lang="en-US" sz="1100" b="0" i="1">
                            <a:latin typeface="Cambria Math" panose="02040503050406030204" pitchFamily="18" charset="0"/>
                          </a:rPr>
                          <m:t>0,487118</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14</m:t>
                            </m:r>
                          </m:sub>
                        </m:sSub>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𝐵</m:t>
                                </m:r>
                              </m:num>
                              <m:den>
                                <m:r>
                                  <a:rPr lang="en-US" sz="1100" b="0" i="1">
                                    <a:latin typeface="Cambria Math" panose="02040503050406030204" pitchFamily="18" charset="0"/>
                                  </a:rPr>
                                  <m:t>𝐿</m:t>
                                </m:r>
                              </m:den>
                            </m:f>
                            <m:r>
                              <a:rPr lang="en-US" sz="1100" b="0" i="1">
                                <a:latin typeface="Cambria Math" panose="02040503050406030204" pitchFamily="18" charset="0"/>
                              </a:rPr>
                              <m:t>)</m:t>
                            </m:r>
                          </m:e>
                          <m:sup>
                            <m:r>
                              <a:rPr lang="en-US" sz="1100" b="0" i="1">
                                <a:latin typeface="Cambria Math" panose="02040503050406030204" pitchFamily="18" charset="0"/>
                              </a:rPr>
                              <m:t>1,06806</m:t>
                            </m:r>
                          </m:sup>
                        </m:sSup>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𝑇</m:t>
                                </m:r>
                              </m:num>
                              <m:den>
                                <m:r>
                                  <a:rPr lang="en-US" sz="1100" b="0" i="1">
                                    <a:latin typeface="Cambria Math" panose="02040503050406030204" pitchFamily="18" charset="0"/>
                                  </a:rPr>
                                  <m:t>𝐿</m:t>
                                </m:r>
                              </m:den>
                            </m:f>
                            <m:r>
                              <a:rPr lang="en-US" sz="1100" b="0" i="1">
                                <a:latin typeface="Cambria Math" panose="02040503050406030204" pitchFamily="18" charset="0"/>
                              </a:rPr>
                              <m:t>)</m:t>
                            </m:r>
                          </m:e>
                          <m:sup>
                            <m:r>
                              <a:rPr lang="en-US" sz="1100" b="0" i="1">
                                <a:latin typeface="Cambria Math" panose="02040503050406030204" pitchFamily="18" charset="0"/>
                              </a:rPr>
                              <m:t>0,46106</m:t>
                            </m:r>
                          </m:sup>
                        </m:sSup>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𝐿</m:t>
                                </m:r>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𝑅</m:t>
                                    </m:r>
                                  </m:sub>
                                </m:sSub>
                              </m:den>
                            </m:f>
                            <m:r>
                              <a:rPr lang="en-US" sz="1100" b="0" i="1">
                                <a:latin typeface="Cambria Math" panose="02040503050406030204" pitchFamily="18" charset="0"/>
                              </a:rPr>
                              <m:t>)</m:t>
                            </m:r>
                          </m:e>
                          <m:sup>
                            <m:r>
                              <a:rPr lang="en-US" sz="1100" b="0" i="1">
                                <a:latin typeface="Cambria Math" panose="02040503050406030204" pitchFamily="18" charset="0"/>
                              </a:rPr>
                              <m:t>0,121563</m:t>
                            </m:r>
                          </m:sup>
                        </m:sSup>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𝐿</m:t>
                                    </m:r>
                                  </m:e>
                                  <m:sup>
                                    <m:r>
                                      <a:rPr lang="en-US" sz="1100" b="0" i="1">
                                        <a:latin typeface="Cambria Math" panose="02040503050406030204" pitchFamily="18" charset="0"/>
                                      </a:rPr>
                                      <m:t>3</m:t>
                                    </m:r>
                                  </m:sup>
                                </m:sSup>
                              </m:num>
                              <m:den>
                                <m:r>
                                  <a:rPr lang="en-US" sz="1100" b="0" i="1">
                                    <a:latin typeface="Cambria Math" panose="02040503050406030204" pitchFamily="18" charset="0"/>
                                    <a:ea typeface="Cambria Math" panose="02040503050406030204" pitchFamily="18" charset="0"/>
                                  </a:rPr>
                                  <m:t>𝛻</m:t>
                                </m:r>
                              </m:den>
                            </m:f>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rPr>
                              <m:t>0,36486</m:t>
                            </m:r>
                          </m:sup>
                        </m:sSup>
                      </m:num>
                      <m:den>
                        <m:sSup>
                          <m:sSupPr>
                            <m:ctrlPr>
                              <a:rPr lang="en-US" sz="1100" b="0" i="1">
                                <a:latin typeface="Cambria Math" panose="02040503050406030204" pitchFamily="18" charset="0"/>
                              </a:rPr>
                            </m:ctrlPr>
                          </m:sSupPr>
                          <m:e>
                            <m:r>
                              <a:rPr lang="en-US" sz="1100" b="0" i="1">
                                <a:latin typeface="Cambria Math" panose="02040503050406030204" pitchFamily="18" charset="0"/>
                              </a:rPr>
                              <m:t>(1−</m:t>
                            </m:r>
                            <m:sSubSup>
                              <m:sSubSupPr>
                                <m:ctrlPr>
                                  <a:rPr lang="en-US" sz="1100" b="0" i="1">
                                    <a:latin typeface="Cambria Math" panose="02040503050406030204" pitchFamily="18" charset="0"/>
                                  </a:rPr>
                                </m:ctrlPr>
                              </m:sSubSupPr>
                              <m:e>
                                <m:r>
                                  <a:rPr lang="en-US" sz="1100" b="0" i="1">
                                    <a:latin typeface="Cambria Math" panose="02040503050406030204" pitchFamily="18" charset="0"/>
                                  </a:rPr>
                                  <m:t>𝐶</m:t>
                                </m:r>
                              </m:e>
                              <m:sub>
                                <m:r>
                                  <a:rPr lang="en-US" b="0" i="1">
                                    <a:latin typeface="Cambria Math" panose="02040503050406030204" pitchFamily="18" charset="0"/>
                                  </a:rPr>
                                  <m:t>𝑝</m:t>
                                </m:r>
                              </m:sub>
                              <m:sup/>
                            </m:sSubSup>
                            <m:r>
                              <a:rPr lang="en-US" sz="1100" b="0" i="1">
                                <a:latin typeface="Cambria Math" panose="02040503050406030204" pitchFamily="18" charset="0"/>
                              </a:rPr>
                              <m:t>)</m:t>
                            </m:r>
                          </m:e>
                          <m:sup>
                            <m:r>
                              <a:rPr lang="en-US" sz="1100" b="0" i="1">
                                <a:latin typeface="Cambria Math" panose="02040503050406030204" pitchFamily="18" charset="0"/>
                              </a:rPr>
                              <m:t>0,604247</m:t>
                            </m:r>
                          </m:sup>
                        </m:sSup>
                      </m:den>
                    </m:f>
                  </m:oMath>
                </m:oMathPara>
              </a14:m>
              <a:endParaRPr lang="en-US" sz="1100"/>
            </a:p>
          </xdr:txBody>
        </xdr:sp>
      </mc:Choice>
      <mc:Fallback xmlns="">
        <xdr:sp macro="" textlink="">
          <xdr:nvSpPr>
            <xdr:cNvPr id="11" name="TextBox 10">
              <a:extLst>
                <a:ext uri="{FF2B5EF4-FFF2-40B4-BE49-F238E27FC236}">
                  <a16:creationId xmlns:a16="http://schemas.microsoft.com/office/drawing/2014/main" id="{F570CD12-70E7-4BDB-864B-CBB8C4307411}"/>
                </a:ext>
              </a:extLst>
            </xdr:cNvPr>
            <xdr:cNvSpPr txBox="1"/>
          </xdr:nvSpPr>
          <xdr:spPr>
            <a:xfrm>
              <a:off x="0" y="22291675"/>
              <a:ext cx="4440703" cy="55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1+𝑘_1=0,93+(0,487118𝐶_14 〖(𝐵/𝐿)〗^1,06806 〖(𝑇/𝐿)〗^0,46106 〖(𝐿/𝐿_𝑅 )〗^0,121563 〖(𝐿^3/</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0,36486)/〖(1−𝐶_</a:t>
              </a:r>
              <a:r>
                <a:rPr lang="en-US" b="0" i="0">
                  <a:latin typeface="Cambria Math" panose="02040503050406030204" pitchFamily="18" charset="0"/>
                </a:rPr>
                <a:t>𝑝^ </a:t>
              </a:r>
              <a:r>
                <a:rPr lang="en-US" sz="1100" b="0" i="0">
                  <a:latin typeface="Cambria Math" panose="02040503050406030204" pitchFamily="18" charset="0"/>
                </a:rPr>
                <a:t>)〗^0,604247 </a:t>
              </a:r>
              <a:endParaRPr lang="en-US" sz="1100"/>
            </a:p>
          </xdr:txBody>
        </xdr:sp>
      </mc:Fallback>
    </mc:AlternateContent>
    <xdr:clientData/>
  </xdr:oneCellAnchor>
  <xdr:twoCellAnchor>
    <xdr:from>
      <xdr:col>0</xdr:col>
      <xdr:colOff>0</xdr:colOff>
      <xdr:row>121</xdr:row>
      <xdr:rowOff>13607</xdr:rowOff>
    </xdr:from>
    <xdr:to>
      <xdr:col>5</xdr:col>
      <xdr:colOff>557106</xdr:colOff>
      <xdr:row>123</xdr:row>
      <xdr:rowOff>0</xdr:rowOff>
    </xdr:to>
    <mc:AlternateContent xmlns:mc="http://schemas.openxmlformats.org/markup-compatibility/2006" xmlns:a14="http://schemas.microsoft.com/office/drawing/2010/main">
      <mc:Choice Requires="a14">
        <xdr:sp macro="" textlink="">
          <xdr:nvSpPr>
            <xdr:cNvPr id="12" name="Text Box 7">
              <a:extLst>
                <a:ext uri="{FF2B5EF4-FFF2-40B4-BE49-F238E27FC236}">
                  <a16:creationId xmlns:a16="http://schemas.microsoft.com/office/drawing/2014/main" id="{00000000-0008-0000-0600-00000C000000}"/>
                </a:ext>
              </a:extLst>
            </xdr:cNvPr>
            <xdr:cNvSpPr txBox="1"/>
          </xdr:nvSpPr>
          <xdr:spPr>
            <a:xfrm>
              <a:off x="0" y="24845282"/>
              <a:ext cx="6224481" cy="3864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lnSpc>
                  <a:spcPct val="107000"/>
                </a:lnSpc>
                <a:spcAft>
                  <a:spcPts val="800"/>
                </a:spcAft>
              </a:pPr>
              <a14:m>
                <m:oMathPara xmlns:m="http://schemas.openxmlformats.org/officeDocument/2006/math">
                  <m:oMathParaPr>
                    <m:jc m:val="centerGroup"/>
                  </m:oMathParaPr>
                  <m:oMath xmlns:m="http://schemas.openxmlformats.org/officeDocument/2006/math">
                    <m:r>
                      <a:rPr lang="en-US" sz="1000" i="1">
                        <a:effectLst/>
                        <a:latin typeface="Cambria Math" panose="02040503050406030204" pitchFamily="18" charset="0"/>
                        <a:ea typeface="Calibri" panose="020F0502020204030204" pitchFamily="34" charset="0"/>
                        <a:cs typeface="Times New Roman" panose="02020603050405020304" pitchFamily="18" charset="0"/>
                      </a:rPr>
                      <m:t>𝑆</m:t>
                    </m:r>
                    <m:r>
                      <a:rPr lang="en-US" sz="1000" i="1">
                        <a:effectLst/>
                        <a:latin typeface="Cambria Math" panose="02040503050406030204" pitchFamily="18" charset="0"/>
                        <a:ea typeface="Calibri" panose="020F0502020204030204" pitchFamily="34" charset="0"/>
                        <a:cs typeface="Times New Roman" panose="02020603050405020304" pitchFamily="18" charset="0"/>
                      </a:rPr>
                      <m:t>=</m:t>
                    </m:r>
                    <m:r>
                      <a:rPr lang="en-US" sz="1000" i="1">
                        <a:effectLst/>
                        <a:latin typeface="Cambria Math" panose="02040503050406030204" pitchFamily="18" charset="0"/>
                        <a:ea typeface="Calibri" panose="020F0502020204030204" pitchFamily="34" charset="0"/>
                        <a:cs typeface="Times New Roman" panose="02020603050405020304" pitchFamily="18" charset="0"/>
                      </a:rPr>
                      <m:t>𝐿</m:t>
                    </m:r>
                    <m:d>
                      <m:d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dPr>
                      <m:e>
                        <m:r>
                          <a:rPr lang="en-US" sz="1000" i="1">
                            <a:effectLst/>
                            <a:latin typeface="Cambria Math" panose="02040503050406030204" pitchFamily="18" charset="0"/>
                            <a:ea typeface="Calibri" panose="020F0502020204030204" pitchFamily="34" charset="0"/>
                            <a:cs typeface="Times New Roman" panose="02020603050405020304" pitchFamily="18" charset="0"/>
                          </a:rPr>
                          <m:t>2</m:t>
                        </m:r>
                        <m:r>
                          <a:rPr lang="en-US" sz="1000" i="1">
                            <a:effectLst/>
                            <a:latin typeface="Cambria Math" panose="02040503050406030204" pitchFamily="18" charset="0"/>
                            <a:ea typeface="Calibri" panose="020F0502020204030204" pitchFamily="34" charset="0"/>
                            <a:cs typeface="Times New Roman" panose="02020603050405020304" pitchFamily="18" charset="0"/>
                          </a:rPr>
                          <m:t>𝑇</m:t>
                        </m:r>
                        <m:r>
                          <a:rPr lang="en-US" sz="1000" i="1">
                            <a:effectLst/>
                            <a:latin typeface="Cambria Math" panose="02040503050406030204" pitchFamily="18" charset="0"/>
                            <a:ea typeface="Calibri" panose="020F0502020204030204" pitchFamily="34" charset="0"/>
                            <a:cs typeface="Times New Roman" panose="02020603050405020304" pitchFamily="18" charset="0"/>
                          </a:rPr>
                          <m:t>+</m:t>
                        </m:r>
                        <m:r>
                          <a:rPr lang="en-US" sz="1000" i="1">
                            <a:effectLst/>
                            <a:latin typeface="Cambria Math" panose="02040503050406030204" pitchFamily="18" charset="0"/>
                            <a:ea typeface="Calibri" panose="020F0502020204030204" pitchFamily="34" charset="0"/>
                            <a:cs typeface="Times New Roman" panose="02020603050405020304" pitchFamily="18" charset="0"/>
                          </a:rPr>
                          <m:t>𝐵</m:t>
                        </m:r>
                      </m:e>
                    </m:d>
                    <m:rad>
                      <m:radPr>
                        <m:degHide m:val="on"/>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radPr>
                      <m:deg/>
                      <m:e>
                        <m:sSub>
                          <m:sSub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sSubPr>
                          <m:e>
                            <m:r>
                              <a:rPr lang="en-US" sz="1000" i="1">
                                <a:effectLst/>
                                <a:latin typeface="Cambria Math" panose="02040503050406030204" pitchFamily="18" charset="0"/>
                                <a:ea typeface="Calibri" panose="020F0502020204030204" pitchFamily="34" charset="0"/>
                                <a:cs typeface="Times New Roman" panose="02020603050405020304" pitchFamily="18" charset="0"/>
                              </a:rPr>
                              <m:t>𝐶</m:t>
                            </m:r>
                          </m:e>
                          <m:sub>
                            <m:r>
                              <a:rPr lang="en-US" sz="1000" i="1">
                                <a:effectLst/>
                                <a:latin typeface="Cambria Math" panose="02040503050406030204" pitchFamily="18" charset="0"/>
                                <a:ea typeface="Calibri" panose="020F0502020204030204" pitchFamily="34" charset="0"/>
                                <a:cs typeface="Times New Roman" panose="02020603050405020304" pitchFamily="18" charset="0"/>
                              </a:rPr>
                              <m:t>𝑀</m:t>
                            </m:r>
                          </m:sub>
                        </m:sSub>
                      </m:e>
                    </m:rad>
                    <m:d>
                      <m:d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dPr>
                      <m:e>
                        <m:r>
                          <a:rPr lang="en-US" sz="1000" i="1">
                            <a:effectLst/>
                            <a:latin typeface="Cambria Math" panose="02040503050406030204" pitchFamily="18" charset="0"/>
                            <a:ea typeface="Calibri" panose="020F0502020204030204" pitchFamily="34" charset="0"/>
                            <a:cs typeface="Times New Roman" panose="02020603050405020304" pitchFamily="18" charset="0"/>
                          </a:rPr>
                          <m:t>0,453+0,4425</m:t>
                        </m:r>
                        <m:sSub>
                          <m:sSub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sSubPr>
                          <m:e>
                            <m:r>
                              <a:rPr lang="en-US" sz="1000" i="1">
                                <a:effectLst/>
                                <a:latin typeface="Cambria Math" panose="02040503050406030204" pitchFamily="18" charset="0"/>
                                <a:ea typeface="Calibri" panose="020F0502020204030204" pitchFamily="34" charset="0"/>
                                <a:cs typeface="Times New Roman" panose="02020603050405020304" pitchFamily="18" charset="0"/>
                              </a:rPr>
                              <m:t>𝐶</m:t>
                            </m:r>
                          </m:e>
                          <m:sub>
                            <m:r>
                              <a:rPr lang="en-US" sz="1000" i="1">
                                <a:effectLst/>
                                <a:latin typeface="Cambria Math" panose="02040503050406030204" pitchFamily="18" charset="0"/>
                                <a:ea typeface="Calibri" panose="020F0502020204030204" pitchFamily="34" charset="0"/>
                                <a:cs typeface="Times New Roman" panose="02020603050405020304" pitchFamily="18" charset="0"/>
                              </a:rPr>
                              <m:t>𝐵</m:t>
                            </m:r>
                          </m:sub>
                        </m:sSub>
                        <m:r>
                          <a:rPr lang="en-US" sz="1000" i="1">
                            <a:effectLst/>
                            <a:latin typeface="Cambria Math" panose="02040503050406030204" pitchFamily="18" charset="0"/>
                            <a:ea typeface="Calibri" panose="020F0502020204030204" pitchFamily="34" charset="0"/>
                            <a:cs typeface="Times New Roman" panose="02020603050405020304" pitchFamily="18" charset="0"/>
                          </a:rPr>
                          <m:t>−0,2862</m:t>
                        </m:r>
                        <m:sSub>
                          <m:sSub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sSubPr>
                          <m:e>
                            <m:r>
                              <a:rPr lang="en-US" sz="1000" i="1">
                                <a:effectLst/>
                                <a:latin typeface="Cambria Math" panose="02040503050406030204" pitchFamily="18" charset="0"/>
                                <a:ea typeface="Calibri" panose="020F0502020204030204" pitchFamily="34" charset="0"/>
                                <a:cs typeface="Times New Roman" panose="02020603050405020304" pitchFamily="18" charset="0"/>
                              </a:rPr>
                              <m:t>𝐶</m:t>
                            </m:r>
                          </m:e>
                          <m:sub>
                            <m:r>
                              <a:rPr lang="en-US" sz="1000" i="1">
                                <a:effectLst/>
                                <a:latin typeface="Cambria Math" panose="02040503050406030204" pitchFamily="18" charset="0"/>
                                <a:ea typeface="Calibri" panose="020F0502020204030204" pitchFamily="34" charset="0"/>
                                <a:cs typeface="Times New Roman" panose="02020603050405020304" pitchFamily="18" charset="0"/>
                              </a:rPr>
                              <m:t>𝑀</m:t>
                            </m:r>
                          </m:sub>
                        </m:sSub>
                        <m:r>
                          <a:rPr lang="en-US" sz="1000" i="1">
                            <a:effectLst/>
                            <a:latin typeface="Cambria Math" panose="02040503050406030204" pitchFamily="18" charset="0"/>
                            <a:ea typeface="Calibri" panose="020F0502020204030204" pitchFamily="34" charset="0"/>
                            <a:cs typeface="Times New Roman" panose="02020603050405020304" pitchFamily="18" charset="0"/>
                          </a:rPr>
                          <m:t>−0,003467</m:t>
                        </m:r>
                        <m:f>
                          <m:f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fPr>
                          <m:num>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𝐵</m:t>
                            </m:r>
                          </m:num>
                          <m:den>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𝑇</m:t>
                            </m:r>
                          </m:den>
                        </m:f>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+0,3696</m:t>
                        </m:r>
                        <m:sSub>
                          <m:sSub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𝐶</m:t>
                            </m:r>
                          </m:e>
                          <m:sub>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𝑊𝑃</m:t>
                            </m:r>
                          </m:sub>
                        </m:sSub>
                      </m:e>
                    </m:d>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+2,38</m:t>
                    </m:r>
                    <m:f>
                      <m:f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fPr>
                      <m:num>
                        <m:sSub>
                          <m:sSub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𝐴</m:t>
                            </m:r>
                          </m:e>
                          <m:sub>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𝐵𝑇</m:t>
                            </m:r>
                          </m:sub>
                        </m:sSub>
                      </m:num>
                      <m:den>
                        <m:sSub>
                          <m:sSub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𝐶</m:t>
                            </m:r>
                          </m:e>
                          <m:sub>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𝐵</m:t>
                            </m:r>
                          </m:sub>
                        </m:sSub>
                      </m:den>
                    </m:f>
                  </m:oMath>
                </m:oMathPara>
              </a14:m>
              <a:endParaRPr lang="en-US" sz="1000">
                <a:effectLst/>
                <a:ea typeface="Calibri" panose="020F0502020204030204" pitchFamily="34" charset="0"/>
                <a:cs typeface="Times New Roman" panose="02020603050405020304" pitchFamily="18" charset="0"/>
              </a:endParaRPr>
            </a:p>
          </xdr:txBody>
        </xdr:sp>
      </mc:Choice>
      <mc:Fallback xmlns="">
        <xdr:sp macro="" textlink="">
          <xdr:nvSpPr>
            <xdr:cNvPr id="12" name="Text Box 7">
              <a:extLst>
                <a:ext uri="{FF2B5EF4-FFF2-40B4-BE49-F238E27FC236}">
                  <a16:creationId xmlns:a16="http://schemas.microsoft.com/office/drawing/2014/main" id="{B125AFC8-7ABE-40CB-BC34-C08C64D60053}"/>
                </a:ext>
              </a:extLst>
            </xdr:cNvPr>
            <xdr:cNvSpPr txBox="1"/>
          </xdr:nvSpPr>
          <xdr:spPr>
            <a:xfrm>
              <a:off x="0" y="24845282"/>
              <a:ext cx="6224481" cy="3864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lnSpc>
                  <a:spcPct val="107000"/>
                </a:lnSpc>
                <a:spcAft>
                  <a:spcPts val="800"/>
                </a:spcAft>
              </a:pPr>
              <a:r>
                <a:rPr lang="en-US" sz="1000" i="0">
                  <a:effectLst/>
                  <a:latin typeface="Cambria Math" panose="02040503050406030204" pitchFamily="18" charset="0"/>
                  <a:ea typeface="Calibri" panose="020F0502020204030204" pitchFamily="34" charset="0"/>
                  <a:cs typeface="Times New Roman" panose="02020603050405020304" pitchFamily="18" charset="0"/>
                </a:rPr>
                <a:t>𝑆=𝐿</a:t>
              </a:r>
              <a:r>
                <a:rPr lang="en-US" sz="1000" i="0">
                  <a:effectLst/>
                  <a:latin typeface="Cambria Math" panose="02040503050406030204" pitchFamily="18" charset="0"/>
                  <a:cs typeface="Times New Roman" panose="02020603050405020304" pitchFamily="18" charset="0"/>
                </a:rPr>
                <a:t>(</a:t>
              </a:r>
              <a:r>
                <a:rPr lang="en-US" sz="1000" i="0">
                  <a:effectLst/>
                  <a:latin typeface="Cambria Math" panose="02040503050406030204" pitchFamily="18" charset="0"/>
                  <a:ea typeface="Calibri" panose="020F0502020204030204" pitchFamily="34" charset="0"/>
                  <a:cs typeface="Times New Roman" panose="02020603050405020304" pitchFamily="18" charset="0"/>
                </a:rPr>
                <a:t>2𝑇+𝐵) </a:t>
              </a:r>
              <a:r>
                <a:rPr lang="en-US" sz="1000" i="0">
                  <a:effectLst/>
                  <a:latin typeface="Cambria Math" panose="02040503050406030204" pitchFamily="18" charset="0"/>
                  <a:cs typeface="Times New Roman" panose="02020603050405020304" pitchFamily="18" charset="0"/>
                </a:rPr>
                <a:t>√(</a:t>
              </a:r>
              <a:r>
                <a:rPr lang="en-US" sz="1000" i="0">
                  <a:effectLst/>
                  <a:latin typeface="Cambria Math" panose="02040503050406030204" pitchFamily="18" charset="0"/>
                  <a:ea typeface="Calibri" panose="020F0502020204030204" pitchFamily="34" charset="0"/>
                  <a:cs typeface="Times New Roman" panose="02020603050405020304" pitchFamily="18" charset="0"/>
                </a:rPr>
                <a:t>𝐶_𝑀 ) </a:t>
              </a:r>
              <a:r>
                <a:rPr lang="en-US" sz="1000" i="0">
                  <a:effectLst/>
                  <a:latin typeface="Cambria Math" panose="02040503050406030204" pitchFamily="18" charset="0"/>
                  <a:cs typeface="Times New Roman" panose="02020603050405020304" pitchFamily="18" charset="0"/>
                </a:rPr>
                <a:t>(</a:t>
              </a:r>
              <a:r>
                <a:rPr lang="en-US" sz="1000" i="0">
                  <a:effectLst/>
                  <a:latin typeface="Cambria Math" panose="02040503050406030204" pitchFamily="18" charset="0"/>
                  <a:ea typeface="Calibri" panose="020F0502020204030204" pitchFamily="34" charset="0"/>
                  <a:cs typeface="Times New Roman" panose="02020603050405020304" pitchFamily="18" charset="0"/>
                </a:rPr>
                <a:t>0,453+0,4425𝐶_𝐵−0,2862𝐶_𝑀−0,003467 </a:t>
              </a:r>
              <a:r>
                <a:rPr lang="en-US" sz="1000" i="0">
                  <a:effectLst/>
                  <a:latin typeface="Cambria Math" panose="02040503050406030204" pitchFamily="18" charset="0"/>
                  <a:ea typeface="Times New Roman" panose="02020603050405020304" pitchFamily="18" charset="0"/>
                  <a:cs typeface="Times New Roman" panose="02020603050405020304" pitchFamily="18" charset="0"/>
                </a:rPr>
                <a:t>𝐵/𝑇+0,3696𝐶_𝑊𝑃 )+2,38</a:t>
              </a:r>
              <a:r>
                <a:rPr lang="en-US" sz="1000" i="0">
                  <a:effectLst/>
                  <a:latin typeface="Cambria Math" panose="02040503050406030204" pitchFamily="18" charset="0"/>
                  <a:cs typeface="Times New Roman" panose="02020603050405020304" pitchFamily="18" charset="0"/>
                </a:rPr>
                <a:t> </a:t>
              </a:r>
              <a:r>
                <a:rPr lang="en-US" sz="1000" i="0">
                  <a:effectLst/>
                  <a:latin typeface="Cambria Math" panose="02040503050406030204" pitchFamily="18" charset="0"/>
                  <a:ea typeface="Times New Roman" panose="02020603050405020304" pitchFamily="18" charset="0"/>
                  <a:cs typeface="Times New Roman" panose="02020603050405020304" pitchFamily="18" charset="0"/>
                </a:rPr>
                <a:t>𝐴_𝐵𝑇/𝐶_𝐵 </a:t>
              </a:r>
              <a:endParaRPr lang="en-US" sz="1000">
                <a:effectLst/>
                <a:ea typeface="Calibri" panose="020F0502020204030204" pitchFamily="34" charset="0"/>
                <a:cs typeface="Times New Roman" panose="02020603050405020304" pitchFamily="18" charset="0"/>
              </a:endParaRPr>
            </a:p>
          </xdr:txBody>
        </xdr:sp>
      </mc:Fallback>
    </mc:AlternateContent>
    <xdr:clientData/>
  </xdr:twoCellAnchor>
  <xdr:twoCellAnchor>
    <xdr:from>
      <xdr:col>0</xdr:col>
      <xdr:colOff>0</xdr:colOff>
      <xdr:row>127</xdr:row>
      <xdr:rowOff>37565</xdr:rowOff>
    </xdr:from>
    <xdr:to>
      <xdr:col>3</xdr:col>
      <xdr:colOff>473848</xdr:colOff>
      <xdr:row>129</xdr:row>
      <xdr:rowOff>144630</xdr:rowOff>
    </xdr:to>
    <mc:AlternateContent xmlns:mc="http://schemas.openxmlformats.org/markup-compatibility/2006" xmlns:a14="http://schemas.microsoft.com/office/drawing/2010/main">
      <mc:Choice Requires="a14">
        <xdr:sp macro="" textlink="">
          <xdr:nvSpPr>
            <xdr:cNvPr id="13" name="Text Box 8">
              <a:extLst>
                <a:ext uri="{FF2B5EF4-FFF2-40B4-BE49-F238E27FC236}">
                  <a16:creationId xmlns:a16="http://schemas.microsoft.com/office/drawing/2014/main" id="{00000000-0008-0000-0600-00000D000000}"/>
                </a:ext>
              </a:extLst>
            </xdr:cNvPr>
            <xdr:cNvSpPr txBox="1"/>
          </xdr:nvSpPr>
          <xdr:spPr>
            <a:xfrm>
              <a:off x="0" y="26069390"/>
              <a:ext cx="3998098" cy="50711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457200" lvl="0" algn="l">
                <a:lnSpc>
                  <a:spcPct val="115000"/>
                </a:lnSpc>
                <a:spcAft>
                  <a:spcPts val="0"/>
                </a:spcAft>
              </a:pPr>
              <a14:m>
                <m:oMathPara xmlns:m="http://schemas.openxmlformats.org/officeDocument/2006/math">
                  <m:oMathParaPr>
                    <m:jc m:val="left"/>
                  </m:oMathParaPr>
                  <m:oMath xmlns:m="http://schemas.openxmlformats.org/officeDocument/2006/math">
                    <m:sSub>
                      <m:sSub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𝑆</m:t>
                        </m:r>
                      </m:e>
                      <m:sub>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𝑎𝑝𝑝</m:t>
                        </m:r>
                      </m:sub>
                    </m:sSub>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m:t>
                    </m:r>
                    <m:d>
                      <m:d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dPr>
                      <m:e>
                        <m:f>
                          <m:f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fPr>
                          <m:num>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2 </m:t>
                            </m:r>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𝐿𝑤𝑙</m:t>
                            </m:r>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 </m:t>
                            </m:r>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𝑇</m:t>
                            </m:r>
                          </m:num>
                          <m:den>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100</m:t>
                            </m:r>
                          </m:den>
                        </m:f>
                      </m:e>
                    </m:d>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m:t>
                    </m:r>
                    <m:d>
                      <m:d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dPr>
                      <m:e>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1+25</m:t>
                        </m:r>
                        <m:sSup>
                          <m:sSup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sSupPr>
                          <m:e>
                            <m:d>
                              <m:d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dPr>
                              <m:e>
                                <m:f>
                                  <m:f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fPr>
                                  <m:num>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𝐵</m:t>
                                    </m:r>
                                  </m:num>
                                  <m:den>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𝐿𝑤𝑙</m:t>
                                    </m:r>
                                  </m:den>
                                </m:f>
                              </m:e>
                            </m:d>
                          </m:e>
                          <m:sup>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2</m:t>
                            </m:r>
                          </m:sup>
                        </m:sSup>
                      </m:e>
                    </m:d>
                  </m:oMath>
                </m:oMathPara>
              </a14:m>
              <a:endParaRPr lang="en-US" sz="1100">
                <a:effectLst/>
                <a:ea typeface="Calibri" panose="020F0502020204030204" pitchFamily="34" charset="0"/>
                <a:cs typeface="Times New Roman" panose="02020603050405020304" pitchFamily="18" charset="0"/>
              </a:endParaRPr>
            </a:p>
          </xdr:txBody>
        </xdr:sp>
      </mc:Choice>
      <mc:Fallback xmlns="">
        <xdr:sp macro="" textlink="">
          <xdr:nvSpPr>
            <xdr:cNvPr id="13" name="Text Box 8">
              <a:extLst>
                <a:ext uri="{FF2B5EF4-FFF2-40B4-BE49-F238E27FC236}">
                  <a16:creationId xmlns:a16="http://schemas.microsoft.com/office/drawing/2014/main" id="{DB091D20-C937-4B07-8F28-DDB9876AF15F}"/>
                </a:ext>
              </a:extLst>
            </xdr:cNvPr>
            <xdr:cNvSpPr txBox="1"/>
          </xdr:nvSpPr>
          <xdr:spPr>
            <a:xfrm>
              <a:off x="0" y="26069390"/>
              <a:ext cx="3998098" cy="50711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457200" lvl="0" algn="l">
                <a:lnSpc>
                  <a:spcPct val="115000"/>
                </a:lnSpc>
                <a:spcAft>
                  <a:spcPts val="0"/>
                </a:spcAft>
              </a:pPr>
              <a:r>
                <a:rPr lang="en-US" sz="1200" i="0">
                  <a:effectLst/>
                  <a:latin typeface="Cambria Math" panose="02040503050406030204" pitchFamily="18" charset="0"/>
                  <a:ea typeface="Times New Roman" panose="02020603050405020304" pitchFamily="18" charset="0"/>
                  <a:cs typeface="Times New Roman" panose="02020603050405020304" pitchFamily="18" charset="0"/>
                </a:rPr>
                <a:t>𝑆_𝑎𝑝𝑝=</a:t>
              </a:r>
              <a:r>
                <a:rPr lang="en-US" sz="1200" i="0">
                  <a:effectLst/>
                  <a:latin typeface="Cambria Math" panose="02040503050406030204" pitchFamily="18" charset="0"/>
                  <a:cs typeface="Times New Roman" panose="02020603050405020304" pitchFamily="18" charset="0"/>
                </a:rPr>
                <a:t>((</a:t>
              </a:r>
              <a:r>
                <a:rPr lang="en-US" sz="1200" i="0">
                  <a:effectLst/>
                  <a:latin typeface="Cambria Math" panose="02040503050406030204" pitchFamily="18" charset="0"/>
                  <a:ea typeface="Times New Roman" panose="02020603050405020304" pitchFamily="18" charset="0"/>
                  <a:cs typeface="Times New Roman" panose="02020603050405020304" pitchFamily="18" charset="0"/>
                </a:rPr>
                <a:t>2 𝐿𝑤𝑙 𝑇)/100)×</a:t>
              </a:r>
              <a:r>
                <a:rPr lang="en-US" sz="1200" i="0">
                  <a:effectLst/>
                  <a:latin typeface="Cambria Math" panose="02040503050406030204" pitchFamily="18" charset="0"/>
                  <a:cs typeface="Times New Roman" panose="02020603050405020304" pitchFamily="18" charset="0"/>
                </a:rPr>
                <a:t>(</a:t>
              </a:r>
              <a:r>
                <a:rPr lang="en-US" sz="1200" i="0">
                  <a:effectLst/>
                  <a:latin typeface="Cambria Math" panose="02040503050406030204" pitchFamily="18" charset="0"/>
                  <a:ea typeface="Times New Roman" panose="02020603050405020304" pitchFamily="18" charset="0"/>
                  <a:cs typeface="Times New Roman" panose="02020603050405020304" pitchFamily="18" charset="0"/>
                </a:rPr>
                <a:t>1+25(𝐵/𝐿𝑤𝑙)^2 )</a:t>
              </a:r>
              <a:endParaRPr lang="en-US" sz="1100">
                <a:effectLst/>
                <a:ea typeface="Calibri" panose="020F0502020204030204" pitchFamily="34" charset="0"/>
                <a:cs typeface="Times New Roman" panose="02020603050405020304" pitchFamily="18" charset="0"/>
              </a:endParaRPr>
            </a:p>
          </xdr:txBody>
        </xdr:sp>
      </mc:Fallback>
    </mc:AlternateContent>
    <xdr:clientData/>
  </xdr:twoCellAnchor>
  <xdr:oneCellAnchor>
    <xdr:from>
      <xdr:col>0</xdr:col>
      <xdr:colOff>96520</xdr:colOff>
      <xdr:row>136</xdr:row>
      <xdr:rowOff>20320</xdr:rowOff>
    </xdr:from>
    <xdr:ext cx="1848455" cy="186269"/>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96520" y="27880945"/>
              <a:ext cx="1848455" cy="186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𝐴𝑃𝑃</m:t>
                        </m:r>
                      </m:sub>
                    </m:sSub>
                    <m:r>
                      <a:rPr lang="en-US" sz="1100" b="0" i="1">
                        <a:latin typeface="Cambria Math" panose="02040503050406030204" pitchFamily="18" charset="0"/>
                      </a:rPr>
                      <m:t>=0,5</m:t>
                    </m:r>
                    <m:r>
                      <a:rPr lang="en-US" sz="1100" b="0" i="1">
                        <a:latin typeface="Cambria Math" panose="02040503050406030204" pitchFamily="18" charset="0"/>
                        <a:ea typeface="Cambria Math" panose="02040503050406030204" pitchFamily="18" charset="0"/>
                      </a:rPr>
                      <m:t>𝜌</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𝑉</m:t>
                        </m:r>
                      </m:e>
                      <m:sup>
                        <m:r>
                          <a:rPr lang="en-US" sz="1100" b="0" i="1">
                            <a:latin typeface="Cambria Math" panose="02040503050406030204" pitchFamily="18" charset="0"/>
                            <a:ea typeface="Cambria Math" panose="02040503050406030204" pitchFamily="18" charset="0"/>
                          </a:rPr>
                          <m:t>2</m:t>
                        </m:r>
                      </m:sup>
                    </m:sSup>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𝑆</m:t>
                        </m:r>
                      </m:e>
                      <m:sub>
                        <m:r>
                          <a:rPr lang="en-US" sz="1100" b="0" i="1">
                            <a:latin typeface="Cambria Math" panose="02040503050406030204" pitchFamily="18" charset="0"/>
                            <a:ea typeface="Cambria Math" panose="02040503050406030204" pitchFamily="18" charset="0"/>
                          </a:rPr>
                          <m:t>𝐴𝑃𝑃</m:t>
                        </m:r>
                      </m:sub>
                    </m:sSub>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𝑘</m:t>
                        </m:r>
                      </m:e>
                      <m:sub>
                        <m:r>
                          <a:rPr lang="en-US" sz="1100" b="0" i="1">
                            <a:latin typeface="Cambria Math" panose="02040503050406030204" pitchFamily="18" charset="0"/>
                            <a:ea typeface="Cambria Math" panose="02040503050406030204" pitchFamily="18" charset="0"/>
                          </a:rPr>
                          <m:t>2</m:t>
                        </m:r>
                      </m:sub>
                    </m:sSub>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𝑓</m:t>
                        </m:r>
                      </m:sub>
                    </m:sSub>
                  </m:oMath>
                </m:oMathPara>
              </a14:m>
              <a:endParaRPr lang="en-US" sz="1100"/>
            </a:p>
          </xdr:txBody>
        </xdr:sp>
      </mc:Choice>
      <mc:Fallback xmlns="">
        <xdr:sp macro="" textlink="">
          <xdr:nvSpPr>
            <xdr:cNvPr id="14" name="TextBox 13">
              <a:extLst>
                <a:ext uri="{FF2B5EF4-FFF2-40B4-BE49-F238E27FC236}">
                  <a16:creationId xmlns:a16="http://schemas.microsoft.com/office/drawing/2014/main" id="{C7DE2E84-FB5D-4582-8716-E453FE874B46}"/>
                </a:ext>
              </a:extLst>
            </xdr:cNvPr>
            <xdr:cNvSpPr txBox="1"/>
          </xdr:nvSpPr>
          <xdr:spPr>
            <a:xfrm>
              <a:off x="96520" y="27880945"/>
              <a:ext cx="1848455" cy="186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𝑅_𝐴𝑃𝑃=0,5</a:t>
              </a:r>
              <a:r>
                <a:rPr lang="en-US" sz="1100" b="0" i="0">
                  <a:latin typeface="Cambria Math" panose="02040503050406030204" pitchFamily="18" charset="0"/>
                  <a:ea typeface="Cambria Math" panose="02040503050406030204" pitchFamily="18" charset="0"/>
                </a:rPr>
                <a:t>𝜌𝑉^2 𝑆_𝐴𝑃𝑃 (1+𝑘_2)𝐶_𝑓</a:t>
              </a:r>
              <a:endParaRPr lang="en-US" sz="1100"/>
            </a:p>
          </xdr:txBody>
        </xdr:sp>
      </mc:Fallback>
    </mc:AlternateContent>
    <xdr:clientData/>
  </xdr:oneCellAnchor>
  <xdr:oneCellAnchor>
    <xdr:from>
      <xdr:col>0</xdr:col>
      <xdr:colOff>0</xdr:colOff>
      <xdr:row>169</xdr:row>
      <xdr:rowOff>0</xdr:rowOff>
    </xdr:from>
    <xdr:ext cx="3657600" cy="315792"/>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0" y="34461450"/>
              <a:ext cx="365760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1</m:t>
                        </m:r>
                      </m:sub>
                    </m:sSub>
                    <m:r>
                      <a:rPr lang="en-US" sz="1100" b="0" i="1">
                        <a:latin typeface="Cambria Math" panose="02040503050406030204" pitchFamily="18" charset="0"/>
                      </a:rPr>
                      <m:t>=2223105</m:t>
                    </m:r>
                    <m:r>
                      <a:rPr lang="en-US" sz="1100" b="0" i="1">
                        <a:latin typeface="Cambria Math" panose="02040503050406030204" pitchFamily="18" charset="0"/>
                        <a:ea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7</m:t>
                        </m:r>
                      </m:sub>
                      <m:sup>
                        <m:r>
                          <a:rPr lang="en-US" sz="1100" b="0" i="1">
                            <a:latin typeface="Cambria Math" panose="02040503050406030204" pitchFamily="18" charset="0"/>
                            <a:ea typeface="Cambria Math" panose="02040503050406030204" pitchFamily="18" charset="0"/>
                          </a:rPr>
                          <m:t>3,78613</m:t>
                        </m:r>
                      </m:sup>
                    </m:sSubSup>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𝑇</m:t>
                            </m:r>
                          </m:num>
                          <m:den>
                            <m:r>
                              <a:rPr lang="en-US" sz="1100" b="0" i="1">
                                <a:latin typeface="Cambria Math" panose="02040503050406030204" pitchFamily="18" charset="0"/>
                                <a:ea typeface="Cambria Math" panose="02040503050406030204" pitchFamily="18" charset="0"/>
                              </a:rPr>
                              <m:t>𝐵</m:t>
                            </m:r>
                          </m:den>
                        </m:f>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ea typeface="Cambria Math" panose="02040503050406030204" pitchFamily="18" charset="0"/>
                          </a:rPr>
                          <m:t>1,07961</m:t>
                        </m:r>
                      </m:sup>
                    </m:sSup>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(90−</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𝑖</m:t>
                            </m:r>
                          </m:e>
                          <m:sub>
                            <m:r>
                              <a:rPr lang="en-US" sz="1100" b="0" i="1">
                                <a:latin typeface="Cambria Math" panose="02040503050406030204" pitchFamily="18" charset="0"/>
                                <a:ea typeface="Cambria Math" panose="02040503050406030204" pitchFamily="18" charset="0"/>
                              </a:rPr>
                              <m:t>𝐸</m:t>
                            </m:r>
                          </m:sub>
                        </m:sSub>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ea typeface="Cambria Math" panose="02040503050406030204" pitchFamily="18" charset="0"/>
                          </a:rPr>
                          <m:t>−1,37565</m:t>
                        </m:r>
                      </m:sup>
                    </m:sSup>
                  </m:oMath>
                </m:oMathPara>
              </a14:m>
              <a:endParaRPr lang="en-US" sz="1100"/>
            </a:p>
          </xdr:txBody>
        </xdr:sp>
      </mc:Choice>
      <mc:Fallback xmlns="">
        <xdr:sp macro="" textlink="">
          <xdr:nvSpPr>
            <xdr:cNvPr id="15" name="TextBox 14">
              <a:extLst>
                <a:ext uri="{FF2B5EF4-FFF2-40B4-BE49-F238E27FC236}">
                  <a16:creationId xmlns:a16="http://schemas.microsoft.com/office/drawing/2014/main" id="{ADFDB9EF-CE94-4050-ABA4-FE0195A3AEFD}"/>
                </a:ext>
              </a:extLst>
            </xdr:cNvPr>
            <xdr:cNvSpPr txBox="1"/>
          </xdr:nvSpPr>
          <xdr:spPr>
            <a:xfrm>
              <a:off x="0" y="34461450"/>
              <a:ext cx="365760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𝐶_1=2223105</a:t>
              </a:r>
              <a:r>
                <a:rPr lang="en-US" sz="1100" b="0" i="0">
                  <a:latin typeface="Cambria Math" panose="02040503050406030204" pitchFamily="18" charset="0"/>
                  <a:ea typeface="Cambria Math" panose="02040503050406030204" pitchFamily="18" charset="0"/>
                </a:rPr>
                <a:t>×𝐶_7^3,78613×〖(𝑇/𝐵)〗^1,07961×〖(90−𝑖_𝐸)〗^(−1,37565)</a:t>
              </a:r>
              <a:endParaRPr lang="en-US" sz="1100"/>
            </a:p>
          </xdr:txBody>
        </xdr:sp>
      </mc:Fallback>
    </mc:AlternateContent>
    <xdr:clientData/>
  </xdr:oneCellAnchor>
  <xdr:oneCellAnchor>
    <xdr:from>
      <xdr:col>0</xdr:col>
      <xdr:colOff>0</xdr:colOff>
      <xdr:row>178</xdr:row>
      <xdr:rowOff>0</xdr:rowOff>
    </xdr:from>
    <xdr:ext cx="1472583" cy="19396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0" y="36261675"/>
              <a:ext cx="1472583" cy="19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m:t>
                    </m:r>
                    <m:r>
                      <a:rPr lang="en-US" sz="1100" b="0" i="1">
                        <a:latin typeface="Cambria Math" panose="02040503050406030204" pitchFamily="18" charset="0"/>
                      </a:rPr>
                      <m:t>2=</m:t>
                    </m:r>
                    <m:r>
                      <a:rPr lang="en-US" sz="1100" b="0" i="1">
                        <a:latin typeface="Cambria Math" panose="02040503050406030204" pitchFamily="18" charset="0"/>
                      </a:rPr>
                      <m:t>𝐸𝑋𝑃</m:t>
                    </m:r>
                    <m:r>
                      <a:rPr lang="en-US" sz="1100" b="0" i="1">
                        <a:latin typeface="Cambria Math" panose="02040503050406030204" pitchFamily="18" charset="0"/>
                      </a:rPr>
                      <m:t>(−1,89×</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3</m:t>
                        </m:r>
                      </m:sub>
                      <m:sup>
                        <m:r>
                          <a:rPr lang="en-US" sz="1100" b="0" i="1">
                            <a:latin typeface="Cambria Math" panose="02040503050406030204" pitchFamily="18" charset="0"/>
                            <a:ea typeface="Cambria Math" panose="02040503050406030204" pitchFamily="18" charset="0"/>
                          </a:rPr>
                          <m:t>0,5</m:t>
                        </m:r>
                      </m:sup>
                    </m:sSubSup>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D33A9994-CA5B-418A-AB93-8F040B6CAA9C}"/>
                </a:ext>
              </a:extLst>
            </xdr:cNvPr>
            <xdr:cNvSpPr txBox="1"/>
          </xdr:nvSpPr>
          <xdr:spPr>
            <a:xfrm>
              <a:off x="0" y="36261675"/>
              <a:ext cx="1472583" cy="19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𝐶2=𝐸𝑋𝑃(−1,89×</a:t>
              </a:r>
              <a:r>
                <a:rPr lang="en-US" sz="1100" b="0" i="0">
                  <a:latin typeface="Cambria Math" panose="02040503050406030204" pitchFamily="18" charset="0"/>
                  <a:ea typeface="Cambria Math" panose="02040503050406030204" pitchFamily="18" charset="0"/>
                </a:rPr>
                <a:t>𝐶_3^0,5)</a:t>
              </a:r>
              <a:endParaRPr lang="en-US" sz="1100"/>
            </a:p>
          </xdr:txBody>
        </xdr:sp>
      </mc:Fallback>
    </mc:AlternateContent>
    <xdr:clientData/>
  </xdr:oneCellAnchor>
  <xdr:oneCellAnchor>
    <xdr:from>
      <xdr:col>0</xdr:col>
      <xdr:colOff>0</xdr:colOff>
      <xdr:row>182</xdr:row>
      <xdr:rowOff>0</xdr:rowOff>
    </xdr:from>
    <xdr:ext cx="1425968" cy="17222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0" y="37061775"/>
              <a:ext cx="14259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5</m:t>
                        </m:r>
                      </m:sub>
                    </m:sSub>
                    <m:r>
                      <a:rPr lang="en-US" sz="1100" b="0" i="1">
                        <a:latin typeface="Cambria Math" panose="02040503050406030204" pitchFamily="18" charset="0"/>
                      </a:rPr>
                      <m:t>=1−0,8</m:t>
                    </m:r>
                    <m:sSub>
                      <m:sSubPr>
                        <m:ctrlPr>
                          <a:rPr lang="en-US" sz="1100" b="0" i="1">
                            <a:latin typeface="Cambria Math" panose="02040503050406030204" pitchFamily="18" charset="0"/>
                          </a:rPr>
                        </m:ctrlPr>
                      </m:sSubPr>
                      <m:e>
                        <m:r>
                          <a:rPr lang="en-US" sz="1100" b="0" i="1">
                            <a:latin typeface="Cambria Math" panose="02040503050406030204" pitchFamily="18" charset="0"/>
                          </a:rPr>
                          <m:t>𝐴</m:t>
                        </m:r>
                      </m:e>
                      <m:sub>
                        <m:r>
                          <a:rPr lang="en-US" sz="1100" b="0" i="1">
                            <a:latin typeface="Cambria Math" panose="02040503050406030204" pitchFamily="18" charset="0"/>
                          </a:rPr>
                          <m:t>𝑇</m:t>
                        </m:r>
                      </m:sub>
                    </m:sSub>
                    <m:r>
                      <a:rPr lang="en-US" sz="1100" b="0" i="1">
                        <a:latin typeface="Cambria Math" panose="02040503050406030204" pitchFamily="18" charset="0"/>
                      </a:rPr>
                      <m:t>(</m:t>
                    </m:r>
                    <m:r>
                      <a:rPr lang="en-US" sz="1100" b="0" i="1">
                        <a:latin typeface="Cambria Math" panose="02040503050406030204" pitchFamily="18" charset="0"/>
                      </a:rPr>
                      <m:t>𝐵𝑇</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𝑀</m:t>
                        </m:r>
                      </m:sub>
                    </m:sSub>
                    <m:r>
                      <a:rPr lang="en-US" sz="1100" b="0" i="1">
                        <a:latin typeface="Cambria Math" panose="02040503050406030204" pitchFamily="18" charset="0"/>
                      </a:rPr>
                      <m:t>)</m:t>
                    </m:r>
                  </m:oMath>
                </m:oMathPara>
              </a14:m>
              <a:endParaRPr lang="en-US" sz="1100"/>
            </a:p>
          </xdr:txBody>
        </xdr:sp>
      </mc:Choice>
      <mc:Fallback xmlns="">
        <xdr:sp macro="" textlink="">
          <xdr:nvSpPr>
            <xdr:cNvPr id="17" name="TextBox 16">
              <a:extLst>
                <a:ext uri="{FF2B5EF4-FFF2-40B4-BE49-F238E27FC236}">
                  <a16:creationId xmlns:a16="http://schemas.microsoft.com/office/drawing/2014/main" id="{165C6DE2-0AE5-4657-A42F-970DA09CF916}"/>
                </a:ext>
              </a:extLst>
            </xdr:cNvPr>
            <xdr:cNvSpPr txBox="1"/>
          </xdr:nvSpPr>
          <xdr:spPr>
            <a:xfrm>
              <a:off x="0" y="37061775"/>
              <a:ext cx="14259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𝐶_5=1−0,8𝐴_𝑇 (𝐵𝑇𝐶_𝑀)</a:t>
              </a:r>
              <a:endParaRPr lang="en-US" sz="1100"/>
            </a:p>
          </xdr:txBody>
        </xdr:sp>
      </mc:Fallback>
    </mc:AlternateContent>
    <xdr:clientData/>
  </xdr:oneCellAnchor>
  <xdr:oneCellAnchor>
    <xdr:from>
      <xdr:col>0</xdr:col>
      <xdr:colOff>0</xdr:colOff>
      <xdr:row>191</xdr:row>
      <xdr:rowOff>0</xdr:rowOff>
    </xdr:from>
    <xdr:ext cx="3951514" cy="460832"/>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0" y="38862000"/>
              <a:ext cx="3951514" cy="460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𝑚</m:t>
                    </m:r>
                    <m:r>
                      <a:rPr lang="en-US" sz="1100" b="0" i="1">
                        <a:latin typeface="Cambria Math" panose="02040503050406030204" pitchFamily="18" charset="0"/>
                      </a:rPr>
                      <m:t>1=</m:t>
                    </m:r>
                    <m:d>
                      <m:dPr>
                        <m:ctrlPr>
                          <a:rPr lang="en-US" sz="1100" b="0" i="1">
                            <a:latin typeface="Cambria Math" panose="02040503050406030204" pitchFamily="18" charset="0"/>
                          </a:rPr>
                        </m:ctrlPr>
                      </m:dPr>
                      <m:e>
                        <m:r>
                          <a:rPr lang="en-US" sz="1100" b="0" i="1">
                            <a:latin typeface="Cambria Math" panose="02040503050406030204" pitchFamily="18" charset="0"/>
                          </a:rPr>
                          <m:t>0,0140407</m:t>
                        </m:r>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𝐿</m:t>
                            </m:r>
                          </m:num>
                          <m:den>
                            <m:r>
                              <a:rPr lang="en-US" sz="1100" b="0" i="1">
                                <a:latin typeface="Cambria Math" panose="02040503050406030204" pitchFamily="18" charset="0"/>
                                <a:ea typeface="Cambria Math" panose="02040503050406030204" pitchFamily="18" charset="0"/>
                              </a:rPr>
                              <m:t>𝑇</m:t>
                            </m:r>
                          </m:den>
                        </m:f>
                      </m:e>
                    </m:d>
                    <m:r>
                      <a:rPr lang="en-US" sz="1100" b="0" i="1">
                        <a:latin typeface="Cambria Math" panose="02040503050406030204" pitchFamily="18" charset="0"/>
                        <a:ea typeface="Cambria Math" panose="02040503050406030204" pitchFamily="18" charset="0"/>
                      </a:rPr>
                      <m:t>−1,75254×</m:t>
                    </m:r>
                    <m:f>
                      <m:fPr>
                        <m:ctrlPr>
                          <a:rPr lang="en-US" sz="1100" b="0" i="1">
                            <a:latin typeface="Cambria Math" panose="02040503050406030204" pitchFamily="18" charset="0"/>
                            <a:ea typeface="Cambria Math" panose="02040503050406030204" pitchFamily="18" charset="0"/>
                          </a:rPr>
                        </m:ctrlPr>
                      </m:fPr>
                      <m:num>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e>
                          <m:sup>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1</m:t>
                                </m:r>
                              </m:num>
                              <m:den>
                                <m:r>
                                  <a:rPr lang="en-US" sz="1100" b="0" i="1">
                                    <a:latin typeface="Cambria Math" panose="02040503050406030204" pitchFamily="18" charset="0"/>
                                    <a:ea typeface="Cambria Math" panose="02040503050406030204" pitchFamily="18" charset="0"/>
                                  </a:rPr>
                                  <m:t>3</m:t>
                                </m:r>
                              </m:den>
                            </m:f>
                          </m:sup>
                        </m:sSup>
                      </m:num>
                      <m:den>
                        <m:r>
                          <a:rPr lang="en-US" sz="1100" b="0" i="1">
                            <a:latin typeface="Cambria Math" panose="02040503050406030204" pitchFamily="18" charset="0"/>
                            <a:ea typeface="Cambria Math" panose="02040503050406030204" pitchFamily="18" charset="0"/>
                          </a:rPr>
                          <m:t>𝐿</m:t>
                        </m:r>
                      </m:den>
                    </m:f>
                    <m:r>
                      <a:rPr lang="en-US" sz="1100" b="0" i="1">
                        <a:latin typeface="Cambria Math" panose="02040503050406030204" pitchFamily="18" charset="0"/>
                        <a:ea typeface="Cambria Math" panose="02040503050406030204" pitchFamily="18" charset="0"/>
                      </a:rPr>
                      <m:t>−4,79323×</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𝐵</m:t>
                        </m:r>
                      </m:num>
                      <m:den>
                        <m:r>
                          <a:rPr lang="en-US" sz="1100" b="0" i="1">
                            <a:latin typeface="Cambria Math" panose="02040503050406030204" pitchFamily="18" charset="0"/>
                            <a:ea typeface="Cambria Math" panose="02040503050406030204" pitchFamily="18" charset="0"/>
                          </a:rPr>
                          <m:t>𝐿</m:t>
                        </m:r>
                      </m:den>
                    </m:f>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𝐶</m:t>
                    </m:r>
                    <m:r>
                      <a:rPr lang="en-US" sz="1100" b="0" i="1">
                        <a:solidFill>
                          <a:schemeClr val="tx1"/>
                        </a:solidFill>
                        <a:effectLst/>
                        <a:latin typeface="Cambria Math" panose="02040503050406030204" pitchFamily="18" charset="0"/>
                        <a:ea typeface="+mn-ea"/>
                        <a:cs typeface="+mn-cs"/>
                      </a:rPr>
                      <m:t>16</m:t>
                    </m:r>
                  </m:oMath>
                </m:oMathPara>
              </a14:m>
              <a:endParaRPr lang="en-US" sz="1100"/>
            </a:p>
          </xdr:txBody>
        </xdr:sp>
      </mc:Choice>
      <mc:Fallback xmlns="">
        <xdr:sp macro="" textlink="">
          <xdr:nvSpPr>
            <xdr:cNvPr id="18" name="TextBox 17">
              <a:extLst>
                <a:ext uri="{FF2B5EF4-FFF2-40B4-BE49-F238E27FC236}">
                  <a16:creationId xmlns:a16="http://schemas.microsoft.com/office/drawing/2014/main" id="{A73F9119-8CA7-4EFC-9E2B-1A2461F472D0}"/>
                </a:ext>
              </a:extLst>
            </xdr:cNvPr>
            <xdr:cNvSpPr txBox="1"/>
          </xdr:nvSpPr>
          <xdr:spPr>
            <a:xfrm>
              <a:off x="0" y="38862000"/>
              <a:ext cx="3951514" cy="460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𝑚1=(0,0140407</a:t>
              </a:r>
              <a:r>
                <a:rPr lang="en-US" sz="1100" b="0" i="0">
                  <a:latin typeface="Cambria Math" panose="02040503050406030204" pitchFamily="18" charset="0"/>
                  <a:ea typeface="Cambria Math" panose="02040503050406030204" pitchFamily="18" charset="0"/>
                </a:rPr>
                <a:t>×𝐿/𝑇)−1,75254×𝛻^(1/3)/𝐿−4,79323×𝐵/𝐿</a:t>
              </a:r>
              <a:r>
                <a:rPr lang="en-US" sz="1100" b="0" i="0">
                  <a:solidFill>
                    <a:schemeClr val="tx1"/>
                  </a:solidFill>
                  <a:effectLst/>
                  <a:latin typeface="Cambria Math" panose="02040503050406030204" pitchFamily="18" charset="0"/>
                  <a:ea typeface="+mn-ea"/>
                  <a:cs typeface="+mn-cs"/>
                </a:rPr>
                <a:t>−𝐶16</a:t>
              </a:r>
              <a:endParaRPr lang="en-US" sz="1100"/>
            </a:p>
          </xdr:txBody>
        </xdr:sp>
      </mc:Fallback>
    </mc:AlternateContent>
    <xdr:clientData/>
  </xdr:oneCellAnchor>
  <xdr:oneCellAnchor>
    <xdr:from>
      <xdr:col>0</xdr:col>
      <xdr:colOff>0</xdr:colOff>
      <xdr:row>187</xdr:row>
      <xdr:rowOff>19210</xdr:rowOff>
    </xdr:from>
    <xdr:ext cx="3810000" cy="17536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0" y="38081110"/>
              <a:ext cx="3810000"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a:t>C16=</a:t>
              </a:r>
              <a14:m>
                <m:oMath xmlns:m="http://schemas.openxmlformats.org/officeDocument/2006/math">
                  <m:d>
                    <m:dPr>
                      <m:ctrlPr>
                        <a:rPr lang="en-US" sz="1100" b="0" i="1">
                          <a:latin typeface="Cambria Math" panose="02040503050406030204" pitchFamily="18" charset="0"/>
                        </a:rPr>
                      </m:ctrlPr>
                    </m:dPr>
                    <m:e>
                      <m:r>
                        <a:rPr lang="en-US" sz="1100" b="0" i="1">
                          <a:latin typeface="Cambria Math" panose="02040503050406030204" pitchFamily="18" charset="0"/>
                        </a:rPr>
                        <m:t>8,07981</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𝐶𝑝</m:t>
                      </m:r>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13,8673×</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𝐶𝑝</m:t>
                          </m:r>
                        </m:e>
                        <m:sup>
                          <m:r>
                            <a:rPr lang="en-US" sz="1100" b="0" i="1">
                              <a:latin typeface="Cambria Math" panose="02040503050406030204" pitchFamily="18" charset="0"/>
                              <a:ea typeface="Cambria Math" panose="02040503050406030204" pitchFamily="18" charset="0"/>
                            </a:rPr>
                            <m:t>2</m:t>
                          </m:r>
                        </m:sup>
                      </m:sSup>
                    </m:e>
                  </m:d>
                  <m:r>
                    <a:rPr lang="en-US" sz="1100" b="0" i="1">
                      <a:latin typeface="Cambria Math" panose="02040503050406030204" pitchFamily="18" charset="0"/>
                      <a:ea typeface="Cambria Math" panose="02040503050406030204" pitchFamily="18" charset="0"/>
                    </a:rPr>
                    <m:t>+(6,984388×</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𝐶𝑝</m:t>
                      </m:r>
                    </m:e>
                    <m:sup>
                      <m:r>
                        <a:rPr lang="en-US" sz="1100" b="0" i="1">
                          <a:latin typeface="Cambria Math" panose="02040503050406030204" pitchFamily="18" charset="0"/>
                          <a:ea typeface="Cambria Math" panose="02040503050406030204" pitchFamily="18" charset="0"/>
                        </a:rPr>
                        <m:t>3</m:t>
                      </m:r>
                    </m:sup>
                  </m:sSup>
                  <m:r>
                    <a:rPr lang="en-US" sz="1100" b="0" i="1">
                      <a:latin typeface="Cambria Math" panose="02040503050406030204" pitchFamily="18" charset="0"/>
                      <a:ea typeface="Cambria Math" panose="02040503050406030204" pitchFamily="18" charset="0"/>
                    </a:rPr>
                    <m:t>)</m:t>
                  </m:r>
                </m:oMath>
              </a14:m>
              <a:endParaRPr lang="en-US" sz="1100"/>
            </a:p>
          </xdr:txBody>
        </xdr:sp>
      </mc:Choice>
      <mc:Fallback xmlns="">
        <xdr:sp macro="" textlink="">
          <xdr:nvSpPr>
            <xdr:cNvPr id="19" name="TextBox 18">
              <a:extLst>
                <a:ext uri="{FF2B5EF4-FFF2-40B4-BE49-F238E27FC236}">
                  <a16:creationId xmlns:a16="http://schemas.microsoft.com/office/drawing/2014/main" id="{5C51CCEA-B291-4E80-81C8-9BEABBEAA32A}"/>
                </a:ext>
              </a:extLst>
            </xdr:cNvPr>
            <xdr:cNvSpPr txBox="1"/>
          </xdr:nvSpPr>
          <xdr:spPr>
            <a:xfrm>
              <a:off x="0" y="38081110"/>
              <a:ext cx="3810000"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a:t>C16=</a:t>
              </a:r>
              <a:r>
                <a:rPr lang="en-US" sz="1100" b="0" i="0">
                  <a:latin typeface="Cambria Math" panose="02040503050406030204" pitchFamily="18" charset="0"/>
                </a:rPr>
                <a:t>(8,07981</a:t>
              </a:r>
              <a:r>
                <a:rPr lang="en-US" sz="1100" b="0" i="0">
                  <a:latin typeface="Cambria Math" panose="02040503050406030204" pitchFamily="18" charset="0"/>
                  <a:ea typeface="Cambria Math" panose="02040503050406030204" pitchFamily="18" charset="0"/>
                </a:rPr>
                <a:t>×𝐶𝑝)−(13,8673×〖𝐶𝑝〗^2 )+(6,984388×〖𝐶𝑝〗^3)</a:t>
              </a:r>
              <a:endParaRPr lang="en-US" sz="1100"/>
            </a:p>
          </xdr:txBody>
        </xdr:sp>
      </mc:Fallback>
    </mc:AlternateContent>
    <xdr:clientData/>
  </xdr:oneCellAnchor>
  <xdr:oneCellAnchor>
    <xdr:from>
      <xdr:col>0</xdr:col>
      <xdr:colOff>1041400</xdr:colOff>
      <xdr:row>196</xdr:row>
      <xdr:rowOff>5080</xdr:rowOff>
    </xdr:from>
    <xdr:ext cx="308610" cy="339708"/>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1041400" y="39867205"/>
              <a:ext cx="308610"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𝐿</m:t>
                            </m:r>
                          </m:e>
                          <m:sup>
                            <m:r>
                              <a:rPr lang="en-US" sz="1100" b="0" i="1">
                                <a:latin typeface="Cambria Math" panose="02040503050406030204" pitchFamily="18" charset="0"/>
                              </a:rPr>
                              <m:t>3</m:t>
                            </m:r>
                          </m:sup>
                        </m:sSup>
                      </m:num>
                      <m:den>
                        <m:r>
                          <a:rPr lang="en-US" sz="1100" b="0" i="1">
                            <a:latin typeface="Cambria Math" panose="02040503050406030204" pitchFamily="18" charset="0"/>
                            <a:ea typeface="Cambria Math" panose="02040503050406030204" pitchFamily="18" charset="0"/>
                          </a:rPr>
                          <m:t>𝛻</m:t>
                        </m:r>
                      </m:den>
                    </m:f>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0" name="TextBox 19">
              <a:extLst>
                <a:ext uri="{FF2B5EF4-FFF2-40B4-BE49-F238E27FC236}">
                  <a16:creationId xmlns:a16="http://schemas.microsoft.com/office/drawing/2014/main" id="{B429F79C-CF42-43E7-B780-4542807795FF}"/>
                </a:ext>
              </a:extLst>
            </xdr:cNvPr>
            <xdr:cNvSpPr txBox="1"/>
          </xdr:nvSpPr>
          <xdr:spPr>
            <a:xfrm>
              <a:off x="1041400" y="39867205"/>
              <a:ext cx="308610"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𝐿^3/</a:t>
              </a:r>
              <a:r>
                <a:rPr lang="en-US" sz="1100" b="0" i="0">
                  <a:latin typeface="Cambria Math" panose="02040503050406030204" pitchFamily="18" charset="0"/>
                  <a:ea typeface="Cambria Math" panose="02040503050406030204" pitchFamily="18" charset="0"/>
                </a:rPr>
                <a:t>𝛻=</a:t>
              </a:r>
              <a:endParaRPr lang="en-US" sz="1100"/>
            </a:p>
          </xdr:txBody>
        </xdr:sp>
      </mc:Fallback>
    </mc:AlternateContent>
    <xdr:clientData/>
  </xdr:oneCellAnchor>
  <xdr:oneCellAnchor>
    <xdr:from>
      <xdr:col>0</xdr:col>
      <xdr:colOff>0</xdr:colOff>
      <xdr:row>202</xdr:row>
      <xdr:rowOff>0</xdr:rowOff>
    </xdr:from>
    <xdr:ext cx="2677886" cy="17536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0" y="41062275"/>
              <a:ext cx="2677886"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𝑀</m:t>
                    </m:r>
                    <m:r>
                      <a:rPr lang="en-US" sz="1100" b="0" i="1">
                        <a:latin typeface="Cambria Math" panose="02040503050406030204" pitchFamily="18" charset="0"/>
                      </a:rPr>
                      <m:t>2=</m:t>
                    </m:r>
                    <m:r>
                      <a:rPr lang="en-US" sz="1100" b="0" i="1">
                        <a:latin typeface="Cambria Math" panose="02040503050406030204" pitchFamily="18" charset="0"/>
                      </a:rPr>
                      <m:t>𝐶</m:t>
                    </m:r>
                    <m:r>
                      <a:rPr lang="en-US" sz="1100" b="0" i="1">
                        <a:latin typeface="Cambria Math" panose="02040503050406030204" pitchFamily="18" charset="0"/>
                      </a:rPr>
                      <m:t>15×</m:t>
                    </m:r>
                    <m:r>
                      <a:rPr lang="en-US" sz="1100" b="0" i="1">
                        <a:latin typeface="Cambria Math" panose="02040503050406030204" pitchFamily="18" charset="0"/>
                        <a:ea typeface="Cambria Math" panose="02040503050406030204" pitchFamily="18" charset="0"/>
                      </a:rPr>
                      <m:t>𝐶</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𝑝</m:t>
                        </m:r>
                      </m:e>
                      <m:sup>
                        <m:r>
                          <a:rPr lang="en-US" sz="1100" b="0" i="1">
                            <a:latin typeface="Cambria Math" panose="02040503050406030204" pitchFamily="18" charset="0"/>
                            <a:ea typeface="Cambria Math" panose="02040503050406030204" pitchFamily="18" charset="0"/>
                          </a:rPr>
                          <m:t>2</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𝐸𝑋𝑃</m:t>
                    </m:r>
                    <m:r>
                      <a:rPr lang="en-US" sz="1100" b="0" i="1">
                        <a:latin typeface="Cambria Math" panose="02040503050406030204" pitchFamily="18" charset="0"/>
                        <a:ea typeface="Cambria Math" panose="02040503050406030204" pitchFamily="18" charset="0"/>
                      </a:rPr>
                      <m:t>(−0,1</m:t>
                    </m:r>
                    <m:r>
                      <a:rPr lang="en-US" sz="1100" b="0" i="1">
                        <a:latin typeface="Cambria Math" panose="02040503050406030204" pitchFamily="18" charset="0"/>
                        <a:ea typeface="Cambria Math" panose="02040503050406030204" pitchFamily="18" charset="0"/>
                      </a:rPr>
                      <m:t>𝐹</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𝑛</m:t>
                        </m:r>
                      </m:e>
                      <m:sup>
                        <m:r>
                          <a:rPr lang="en-US" sz="1100" b="0" i="1">
                            <a:latin typeface="Cambria Math" panose="02040503050406030204" pitchFamily="18" charset="0"/>
                            <a:ea typeface="Cambria Math" panose="02040503050406030204" pitchFamily="18" charset="0"/>
                          </a:rPr>
                          <m:t>−2</m:t>
                        </m:r>
                      </m:sup>
                    </m:sSup>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1" name="TextBox 20">
              <a:extLst>
                <a:ext uri="{FF2B5EF4-FFF2-40B4-BE49-F238E27FC236}">
                  <a16:creationId xmlns:a16="http://schemas.microsoft.com/office/drawing/2014/main" id="{11BE96BD-1C2C-40C4-BE2C-83C3E26CDAFF}"/>
                </a:ext>
              </a:extLst>
            </xdr:cNvPr>
            <xdr:cNvSpPr txBox="1"/>
          </xdr:nvSpPr>
          <xdr:spPr>
            <a:xfrm>
              <a:off x="0" y="41062275"/>
              <a:ext cx="2677886"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𝑀2=𝐶15×</a:t>
              </a:r>
              <a:r>
                <a:rPr lang="en-US" sz="1100" b="0" i="0">
                  <a:latin typeface="Cambria Math" panose="02040503050406030204" pitchFamily="18" charset="0"/>
                  <a:ea typeface="Cambria Math" panose="02040503050406030204" pitchFamily="18" charset="0"/>
                </a:rPr>
                <a:t>𝐶𝑝^2×𝐸𝑋𝑃(−0,1𝐹𝑛^(−2))</a:t>
              </a:r>
              <a:endParaRPr lang="en-US" sz="1100"/>
            </a:p>
          </xdr:txBody>
        </xdr:sp>
      </mc:Fallback>
    </mc:AlternateContent>
    <xdr:clientData/>
  </xdr:oneCellAnchor>
  <xdr:oneCellAnchor>
    <xdr:from>
      <xdr:col>0</xdr:col>
      <xdr:colOff>0</xdr:colOff>
      <xdr:row>215</xdr:row>
      <xdr:rowOff>0</xdr:rowOff>
    </xdr:from>
    <xdr:ext cx="1406604" cy="316882"/>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0000000-0008-0000-0600-000016000000}"/>
                </a:ext>
              </a:extLst>
            </xdr:cNvPr>
            <xdr:cNvSpPr txBox="1"/>
          </xdr:nvSpPr>
          <xdr:spPr>
            <a:xfrm>
              <a:off x="0" y="43729275"/>
              <a:ext cx="140660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𝜆</m:t>
                    </m:r>
                    <m:r>
                      <a:rPr lang="en-US" sz="1100" b="0" i="1">
                        <a:latin typeface="Cambria Math" panose="02040503050406030204" pitchFamily="18" charset="0"/>
                        <a:ea typeface="Cambria Math" panose="02040503050406030204" pitchFamily="18" charset="0"/>
                      </a:rPr>
                      <m:t>=1,446×</m:t>
                    </m:r>
                    <m:r>
                      <a:rPr lang="en-US" sz="1100" b="0" i="1">
                        <a:latin typeface="Cambria Math" panose="02040503050406030204" pitchFamily="18" charset="0"/>
                        <a:ea typeface="Cambria Math" panose="02040503050406030204" pitchFamily="18" charset="0"/>
                      </a:rPr>
                      <m:t>𝐶𝑝</m:t>
                    </m:r>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0,03</m:t>
                        </m:r>
                        <m:r>
                          <a:rPr lang="en-US" sz="1100" b="0" i="1">
                            <a:latin typeface="Cambria Math" panose="02040503050406030204" pitchFamily="18" charset="0"/>
                            <a:ea typeface="Cambria Math" panose="02040503050406030204" pitchFamily="18" charset="0"/>
                          </a:rPr>
                          <m:t>𝐿</m:t>
                        </m:r>
                      </m:num>
                      <m:den>
                        <m:r>
                          <a:rPr lang="en-US" sz="1100" b="0" i="1">
                            <a:latin typeface="Cambria Math" panose="02040503050406030204" pitchFamily="18" charset="0"/>
                            <a:ea typeface="Cambria Math" panose="02040503050406030204" pitchFamily="18" charset="0"/>
                          </a:rPr>
                          <m:t>𝐵</m:t>
                        </m:r>
                      </m:den>
                    </m:f>
                  </m:oMath>
                </m:oMathPara>
              </a14:m>
              <a:endParaRPr lang="en-US" sz="1100"/>
            </a:p>
          </xdr:txBody>
        </xdr:sp>
      </mc:Choice>
      <mc:Fallback xmlns="">
        <xdr:sp macro="" textlink="">
          <xdr:nvSpPr>
            <xdr:cNvPr id="22" name="TextBox 21">
              <a:extLst>
                <a:ext uri="{FF2B5EF4-FFF2-40B4-BE49-F238E27FC236}">
                  <a16:creationId xmlns:a16="http://schemas.microsoft.com/office/drawing/2014/main" id="{F0C8DA0E-6617-4331-BAAA-0281A8B3FE20}"/>
                </a:ext>
              </a:extLst>
            </xdr:cNvPr>
            <xdr:cNvSpPr txBox="1"/>
          </xdr:nvSpPr>
          <xdr:spPr>
            <a:xfrm>
              <a:off x="0" y="43729275"/>
              <a:ext cx="140660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ea typeface="Cambria Math" panose="02040503050406030204" pitchFamily="18" charset="0"/>
                </a:rPr>
                <a:t>𝜆</a:t>
              </a:r>
              <a:r>
                <a:rPr lang="en-US" sz="1100" b="0" i="0">
                  <a:latin typeface="Cambria Math" panose="02040503050406030204" pitchFamily="18" charset="0"/>
                  <a:ea typeface="Cambria Math" panose="02040503050406030204" pitchFamily="18" charset="0"/>
                </a:rPr>
                <a:t>=1,446×𝐶𝑝−0,03𝐿/𝐵</a:t>
              </a:r>
              <a:endParaRPr lang="en-US" sz="1100"/>
            </a:p>
          </xdr:txBody>
        </xdr:sp>
      </mc:Fallback>
    </mc:AlternateContent>
    <xdr:clientData/>
  </xdr:oneCellAnchor>
  <xdr:oneCellAnchor>
    <xdr:from>
      <xdr:col>0</xdr:col>
      <xdr:colOff>0</xdr:colOff>
      <xdr:row>219</xdr:row>
      <xdr:rowOff>192101</xdr:rowOff>
    </xdr:from>
    <xdr:ext cx="4597612" cy="178832"/>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00000000-0008-0000-0600-000017000000}"/>
                </a:ext>
              </a:extLst>
            </xdr:cNvPr>
            <xdr:cNvSpPr txBox="1"/>
          </xdr:nvSpPr>
          <xdr:spPr>
            <a:xfrm>
              <a:off x="0" y="44721476"/>
              <a:ext cx="4597612"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𝑅𝑤</m:t>
                    </m:r>
                    <m:r>
                      <a:rPr lang="en-US" sz="1100" b="0" i="1">
                        <a:latin typeface="Cambria Math" panose="02040503050406030204" pitchFamily="18" charset="0"/>
                      </a:rPr>
                      <m:t>=</m:t>
                    </m:r>
                    <m:r>
                      <a:rPr lang="en-US" sz="1100" b="0" i="1">
                        <a:latin typeface="Cambria Math" panose="02040503050406030204" pitchFamily="18" charset="0"/>
                      </a:rPr>
                      <m:t>𝐶</m:t>
                    </m:r>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2×</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5×</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𝑔</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𝐸𝑋𝑃</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𝑀</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𝐹</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𝑛</m:t>
                        </m:r>
                      </m:e>
                      <m:sup>
                        <m:r>
                          <a:rPr lang="en-US" sz="1100" b="0" i="1">
                            <a:latin typeface="Cambria Math" panose="02040503050406030204" pitchFamily="18" charset="0"/>
                            <a:ea typeface="Cambria Math" panose="02040503050406030204" pitchFamily="18" charset="0"/>
                          </a:rPr>
                          <m:t>𝑑</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𝑀</m:t>
                    </m:r>
                    <m:r>
                      <a:rPr lang="en-US" sz="1100" b="0" i="1">
                        <a:latin typeface="Cambria Math" panose="02040503050406030204" pitchFamily="18" charset="0"/>
                        <a:ea typeface="Cambria Math" panose="02040503050406030204" pitchFamily="18" charset="0"/>
                      </a:rPr>
                      <m:t>2</m:t>
                    </m:r>
                    <m:r>
                      <a:rPr lang="en-US" sz="1100" b="0" i="1">
                        <a:latin typeface="Cambria Math" panose="02040503050406030204" pitchFamily="18" charset="0"/>
                        <a:ea typeface="Cambria Math" panose="02040503050406030204" pitchFamily="18" charset="0"/>
                      </a:rPr>
                      <m:t>𝐶𝑜𝑠</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𝜆</m:t>
                        </m:r>
                        <m:r>
                          <a:rPr lang="en-US" sz="1100" b="0" i="1">
                            <a:latin typeface="Cambria Math" panose="02040503050406030204" pitchFamily="18" charset="0"/>
                            <a:ea typeface="Cambria Math" panose="02040503050406030204" pitchFamily="18" charset="0"/>
                          </a:rPr>
                          <m:t>𝐹</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𝑛</m:t>
                            </m:r>
                          </m:e>
                          <m:sup>
                            <m:r>
                              <a:rPr lang="en-US" sz="1100" b="0" i="1">
                                <a:latin typeface="Cambria Math" panose="02040503050406030204" pitchFamily="18" charset="0"/>
                                <a:ea typeface="Cambria Math" panose="02040503050406030204" pitchFamily="18" charset="0"/>
                              </a:rPr>
                              <m:t>−2</m:t>
                            </m:r>
                          </m:sup>
                        </m:sSup>
                      </m:e>
                    </m:d>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3" name="TextBox 22">
              <a:extLst>
                <a:ext uri="{FF2B5EF4-FFF2-40B4-BE49-F238E27FC236}">
                  <a16:creationId xmlns:a16="http://schemas.microsoft.com/office/drawing/2014/main" id="{1ABAF707-0887-4A98-8EDF-2C036B6234B7}"/>
                </a:ext>
              </a:extLst>
            </xdr:cNvPr>
            <xdr:cNvSpPr txBox="1"/>
          </xdr:nvSpPr>
          <xdr:spPr>
            <a:xfrm>
              <a:off x="0" y="44721476"/>
              <a:ext cx="4597612"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𝑅𝑤=𝐶1×</a:t>
              </a:r>
              <a:r>
                <a:rPr lang="en-US" sz="1100" b="0" i="0">
                  <a:latin typeface="Cambria Math" panose="02040503050406030204" pitchFamily="18" charset="0"/>
                  <a:ea typeface="Cambria Math" panose="02040503050406030204" pitchFamily="18" charset="0"/>
                </a:rPr>
                <a:t>𝐶2×𝐶5×𝛻×𝜌×𝑔×𝐸𝑋𝑃×(𝑀1𝐹𝑛^𝑑+𝑀2𝐶𝑜𝑠(𝜆𝐹𝑛^(−2) ))</a:t>
              </a:r>
              <a:endParaRPr lang="en-US" sz="1100"/>
            </a:p>
          </xdr:txBody>
        </xdr:sp>
      </mc:Fallback>
    </mc:AlternateContent>
    <xdr:clientData/>
  </xdr:oneCellAnchor>
  <xdr:oneCellAnchor>
    <xdr:from>
      <xdr:col>0</xdr:col>
      <xdr:colOff>0</xdr:colOff>
      <xdr:row>248</xdr:row>
      <xdr:rowOff>0</xdr:rowOff>
    </xdr:from>
    <xdr:ext cx="5203371" cy="416204"/>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00000000-0008-0000-0600-000018000000}"/>
                </a:ext>
              </a:extLst>
            </xdr:cNvPr>
            <xdr:cNvSpPr txBox="1"/>
          </xdr:nvSpPr>
          <xdr:spPr>
            <a:xfrm>
              <a:off x="0" y="50330100"/>
              <a:ext cx="5203371" cy="416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𝐴</m:t>
                        </m:r>
                      </m:sub>
                    </m:sSub>
                    <m:r>
                      <a:rPr lang="en-US" sz="1100" b="0" i="1">
                        <a:latin typeface="Cambria Math" panose="02040503050406030204" pitchFamily="18" charset="0"/>
                      </a:rPr>
                      <m:t>=0,006</m:t>
                    </m:r>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𝐿</m:t>
                            </m:r>
                            <m:r>
                              <a:rPr lang="en-US" sz="1100" b="0" i="1">
                                <a:latin typeface="Cambria Math" panose="02040503050406030204" pitchFamily="18" charset="0"/>
                                <a:ea typeface="Cambria Math" panose="02040503050406030204" pitchFamily="18" charset="0"/>
                              </a:rPr>
                              <m:t>+100</m:t>
                            </m:r>
                          </m:e>
                        </m:d>
                      </m:e>
                      <m:sup>
                        <m:r>
                          <a:rPr lang="en-US" sz="1100" b="0" i="1">
                            <a:latin typeface="Cambria Math" panose="02040503050406030204" pitchFamily="18" charset="0"/>
                            <a:ea typeface="Cambria Math" panose="02040503050406030204" pitchFamily="18" charset="0"/>
                          </a:rPr>
                          <m:t>−0,16</m:t>
                        </m:r>
                      </m:sup>
                    </m:sSup>
                    <m:r>
                      <a:rPr lang="en-US" sz="1100" b="0" i="1">
                        <a:latin typeface="Cambria Math" panose="02040503050406030204" pitchFamily="18" charset="0"/>
                        <a:ea typeface="Cambria Math" panose="02040503050406030204" pitchFamily="18" charset="0"/>
                      </a:rPr>
                      <m:t>−0,00205+0,003(</m:t>
                    </m:r>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𝐿</m:t>
                                </m:r>
                              </m:num>
                              <m:den>
                                <m:r>
                                  <a:rPr lang="en-US" sz="1100" b="0" i="1">
                                    <a:latin typeface="Cambria Math" panose="02040503050406030204" pitchFamily="18" charset="0"/>
                                    <a:ea typeface="Cambria Math" panose="02040503050406030204" pitchFamily="18" charset="0"/>
                                  </a:rPr>
                                  <m:t>7,5</m:t>
                                </m:r>
                              </m:den>
                            </m:f>
                          </m:e>
                        </m:d>
                      </m:e>
                      <m:sup>
                        <m:r>
                          <a:rPr lang="en-US" sz="1100" b="0" i="1">
                            <a:latin typeface="Cambria Math" panose="02040503050406030204" pitchFamily="18" charset="0"/>
                            <a:ea typeface="Cambria Math" panose="02040503050406030204" pitchFamily="18" charset="0"/>
                          </a:rPr>
                          <m:t>0,5</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𝑏</m:t>
                        </m:r>
                      </m:e>
                      <m:sup>
                        <m:r>
                          <a:rPr lang="en-US" sz="1100" b="0" i="1">
                            <a:latin typeface="Cambria Math" panose="02040503050406030204" pitchFamily="18" charset="0"/>
                            <a:ea typeface="Cambria Math" panose="02040503050406030204" pitchFamily="18" charset="0"/>
                          </a:rPr>
                          <m:t>4</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2×(0,04−</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4)</m:t>
                    </m:r>
                  </m:oMath>
                </m:oMathPara>
              </a14:m>
              <a:endParaRPr lang="en-US" sz="1100"/>
            </a:p>
          </xdr:txBody>
        </xdr:sp>
      </mc:Choice>
      <mc:Fallback xmlns="">
        <xdr:sp macro="" textlink="">
          <xdr:nvSpPr>
            <xdr:cNvPr id="24" name="TextBox 23">
              <a:extLst>
                <a:ext uri="{FF2B5EF4-FFF2-40B4-BE49-F238E27FC236}">
                  <a16:creationId xmlns:a16="http://schemas.microsoft.com/office/drawing/2014/main" id="{75AEC58F-798E-44B3-B6A8-AE371ECCDD25}"/>
                </a:ext>
              </a:extLst>
            </xdr:cNvPr>
            <xdr:cNvSpPr txBox="1"/>
          </xdr:nvSpPr>
          <xdr:spPr>
            <a:xfrm>
              <a:off x="0" y="50330100"/>
              <a:ext cx="5203371" cy="416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𝐶_𝐴=0,006</a:t>
              </a:r>
              <a:r>
                <a:rPr lang="en-US" sz="1100" b="0" i="0">
                  <a:latin typeface="Cambria Math" panose="02040503050406030204" pitchFamily="18" charset="0"/>
                  <a:ea typeface="Cambria Math" panose="02040503050406030204" pitchFamily="18" charset="0"/>
                </a:rPr>
                <a:t>×((𝐿+100)^(−0,16)−0,00205+0,003((𝐿/7,5)^0,5×𝐶𝑏^4×𝐶2×(0,04−𝐶4)</a:t>
              </a:r>
              <a:endParaRPr lang="en-US" sz="1100"/>
            </a:p>
          </xdr:txBody>
        </xdr:sp>
      </mc:Fallback>
    </mc:AlternateContent>
    <xdr:clientData/>
  </xdr:oneCellAnchor>
  <xdr:oneCellAnchor>
    <xdr:from>
      <xdr:col>0</xdr:col>
      <xdr:colOff>0</xdr:colOff>
      <xdr:row>253</xdr:row>
      <xdr:rowOff>0</xdr:rowOff>
    </xdr:from>
    <xdr:ext cx="1546860" cy="316882"/>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00000000-0008-0000-0600-000019000000}"/>
                </a:ext>
              </a:extLst>
            </xdr:cNvPr>
            <xdr:cNvSpPr txBox="1"/>
          </xdr:nvSpPr>
          <xdr:spPr>
            <a:xfrm>
              <a:off x="0" y="51330225"/>
              <a:ext cx="1546860"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𝐴</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ea typeface="Cambria Math" panose="02040503050406030204" pitchFamily="18" charset="0"/>
                      </a:rPr>
                      <m:t>𝜌</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𝑉</m:t>
                        </m:r>
                      </m:e>
                      <m:sup>
                        <m:r>
                          <a:rPr lang="en-US" sz="1100" b="0" i="1">
                            <a:latin typeface="Cambria Math" panose="02040503050406030204" pitchFamily="18" charset="0"/>
                            <a:ea typeface="Cambria Math" panose="02040503050406030204" pitchFamily="18" charset="0"/>
                          </a:rPr>
                          <m:t>2</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𝑆</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𝐶𝐴</m:t>
                    </m:r>
                  </m:oMath>
                </m:oMathPara>
              </a14:m>
              <a:endParaRPr lang="en-US" sz="1100"/>
            </a:p>
          </xdr:txBody>
        </xdr:sp>
      </mc:Choice>
      <mc:Fallback xmlns="">
        <xdr:sp macro="" textlink="">
          <xdr:nvSpPr>
            <xdr:cNvPr id="25" name="TextBox 24">
              <a:extLst>
                <a:ext uri="{FF2B5EF4-FFF2-40B4-BE49-F238E27FC236}">
                  <a16:creationId xmlns:a16="http://schemas.microsoft.com/office/drawing/2014/main" id="{50840844-B431-46E8-B977-0C2650BAECCB}"/>
                </a:ext>
              </a:extLst>
            </xdr:cNvPr>
            <xdr:cNvSpPr txBox="1"/>
          </xdr:nvSpPr>
          <xdr:spPr>
            <a:xfrm>
              <a:off x="0" y="51330225"/>
              <a:ext cx="1546860"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𝑅_𝐴=1/2</a:t>
              </a:r>
              <a:r>
                <a:rPr lang="en-US" sz="1100" b="0" i="0">
                  <a:latin typeface="Cambria Math" panose="02040503050406030204" pitchFamily="18" charset="0"/>
                  <a:ea typeface="Cambria Math" panose="02040503050406030204" pitchFamily="18" charset="0"/>
                </a:rPr>
                <a:t> 𝜌〖×𝑉〗^2×𝑆×𝐶𝐴</a:t>
              </a:r>
              <a:endParaRPr lang="en-US" sz="1100"/>
            </a:p>
          </xdr:txBody>
        </xdr:sp>
      </mc:Fallback>
    </mc:AlternateContent>
    <xdr:clientData/>
  </xdr:oneCellAnchor>
  <xdr:oneCellAnchor>
    <xdr:from>
      <xdr:col>0</xdr:col>
      <xdr:colOff>82550</xdr:colOff>
      <xdr:row>267</xdr:row>
      <xdr:rowOff>12700</xdr:rowOff>
    </xdr:from>
    <xdr:ext cx="1455719" cy="351506"/>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00000000-0008-0000-0600-00001A000000}"/>
                </a:ext>
              </a:extLst>
            </xdr:cNvPr>
            <xdr:cNvSpPr txBox="1"/>
          </xdr:nvSpPr>
          <xdr:spPr>
            <a:xfrm>
              <a:off x="82550" y="54143275"/>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𝐶𝑓</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0,075</m:t>
                        </m:r>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𝑙𝑜𝑔</m:t>
                                </m:r>
                              </m:e>
                              <m:sub>
                                <m:r>
                                  <a:rPr lang="en-US" sz="1100" b="0" i="1">
                                    <a:latin typeface="Cambria Math" panose="02040503050406030204" pitchFamily="18" charset="0"/>
                                    <a:ea typeface="Cambria Math" panose="02040503050406030204" pitchFamily="18" charset="0"/>
                                  </a:rPr>
                                  <m:t>10</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𝑅𝑛</m:t>
                            </m:r>
                            <m:r>
                              <a:rPr lang="en-US" sz="1100" b="0" i="1">
                                <a:latin typeface="Cambria Math" panose="02040503050406030204" pitchFamily="18" charset="0"/>
                                <a:ea typeface="Cambria Math" panose="02040503050406030204" pitchFamily="18" charset="0"/>
                              </a:rPr>
                              <m:t>−2)</m:t>
                            </m:r>
                          </m:e>
                          <m:sup>
                            <m:r>
                              <a:rPr lang="en-US" sz="1100" b="0" i="1">
                                <a:latin typeface="Cambria Math" panose="02040503050406030204" pitchFamily="18" charset="0"/>
                                <a:ea typeface="Cambria Math" panose="02040503050406030204" pitchFamily="18" charset="0"/>
                              </a:rPr>
                              <m:t>2</m:t>
                            </m:r>
                          </m:sup>
                        </m:sSup>
                      </m:den>
                    </m:f>
                  </m:oMath>
                </m:oMathPara>
              </a14:m>
              <a:endParaRPr lang="en-US" sz="1100"/>
            </a:p>
          </xdr:txBody>
        </xdr:sp>
      </mc:Choice>
      <mc:Fallback xmlns="">
        <xdr:sp macro="" textlink="">
          <xdr:nvSpPr>
            <xdr:cNvPr id="26" name="TextBox 25">
              <a:extLst>
                <a:ext uri="{FF2B5EF4-FFF2-40B4-BE49-F238E27FC236}">
                  <a16:creationId xmlns:a16="http://schemas.microsoft.com/office/drawing/2014/main" id="{199C89D9-1D91-4760-A615-97085EFC1F8E}"/>
                </a:ext>
              </a:extLst>
            </xdr:cNvPr>
            <xdr:cNvSpPr txBox="1"/>
          </xdr:nvSpPr>
          <xdr:spPr>
            <a:xfrm>
              <a:off x="82550" y="54143275"/>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𝐶𝑓=0,075/</a:t>
              </a:r>
              <a:r>
                <a:rPr lang="en-US" sz="1100" b="0" i="0">
                  <a:latin typeface="Cambria Math" panose="02040503050406030204" pitchFamily="18" charset="0"/>
                  <a:ea typeface="Cambria Math" panose="02040503050406030204" pitchFamily="18" charset="0"/>
                </a:rPr>
                <a:t>〖(〖𝑙𝑜𝑔〗_10×𝑅𝑛−2)〗^2 </a:t>
              </a:r>
              <a:endParaRPr lang="en-US" sz="1100"/>
            </a:p>
          </xdr:txBody>
        </xdr:sp>
      </mc:Fallback>
    </mc:AlternateContent>
    <xdr:clientData/>
  </xdr:oneCellAnchor>
  <xdr:oneCellAnchor>
    <xdr:from>
      <xdr:col>3</xdr:col>
      <xdr:colOff>188441</xdr:colOff>
      <xdr:row>267</xdr:row>
      <xdr:rowOff>30654</xdr:rowOff>
    </xdr:from>
    <xdr:ext cx="1712867" cy="316882"/>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00000000-0008-0000-0600-00001B000000}"/>
                </a:ext>
              </a:extLst>
            </xdr:cNvPr>
            <xdr:cNvSpPr txBox="1"/>
          </xdr:nvSpPr>
          <xdr:spPr>
            <a:xfrm>
              <a:off x="3712691" y="54161229"/>
              <a:ext cx="171286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𝑅𝑓</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𝐶𝑓</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𝑆</m:t>
                    </m:r>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𝑉</m:t>
                        </m:r>
                      </m:e>
                      <m:sup>
                        <m:r>
                          <a:rPr lang="en-US" sz="1100" b="0" i="1">
                            <a:latin typeface="Cambria Math" panose="02040503050406030204" pitchFamily="18" charset="0"/>
                            <a:ea typeface="Cambria Math" panose="02040503050406030204" pitchFamily="18" charset="0"/>
                          </a:rPr>
                          <m:t>2</m:t>
                        </m:r>
                      </m:sup>
                    </m:sSup>
                  </m:oMath>
                </m:oMathPara>
              </a14:m>
              <a:endParaRPr lang="en-US" sz="1100"/>
            </a:p>
          </xdr:txBody>
        </xdr:sp>
      </mc:Choice>
      <mc:Fallback xmlns="">
        <xdr:sp macro="" textlink="">
          <xdr:nvSpPr>
            <xdr:cNvPr id="27" name="TextBox 26">
              <a:extLst>
                <a:ext uri="{FF2B5EF4-FFF2-40B4-BE49-F238E27FC236}">
                  <a16:creationId xmlns:a16="http://schemas.microsoft.com/office/drawing/2014/main" id="{84437720-A93D-4750-A6DE-56EFA343AEAD}"/>
                </a:ext>
              </a:extLst>
            </xdr:cNvPr>
            <xdr:cNvSpPr txBox="1"/>
          </xdr:nvSpPr>
          <xdr:spPr>
            <a:xfrm>
              <a:off x="3712691" y="54161229"/>
              <a:ext cx="171286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𝑅𝑓=1/2</a:t>
              </a:r>
              <a:r>
                <a:rPr lang="en-US" sz="1100" b="0" i="0">
                  <a:latin typeface="Cambria Math" panose="02040503050406030204" pitchFamily="18" charset="0"/>
                  <a:ea typeface="Cambria Math" panose="02040503050406030204" pitchFamily="18" charset="0"/>
                </a:rPr>
                <a:t>×𝜌×𝐶𝑓×𝑆×𝑉^2</a:t>
              </a:r>
              <a:endParaRPr lang="en-US" sz="1100"/>
            </a:p>
          </xdr:txBody>
        </xdr:sp>
      </mc:Fallback>
    </mc:AlternateContent>
    <xdr:clientData/>
  </xdr:oneCellAnchor>
  <xdr:oneCellAnchor>
    <xdr:from>
      <xdr:col>0</xdr:col>
      <xdr:colOff>0</xdr:colOff>
      <xdr:row>282</xdr:row>
      <xdr:rowOff>0</xdr:rowOff>
    </xdr:from>
    <xdr:ext cx="3060518" cy="172227"/>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00000000-0008-0000-0600-00001C000000}"/>
                </a:ext>
              </a:extLst>
            </xdr:cNvPr>
            <xdr:cNvSpPr txBox="1"/>
          </xdr:nvSpPr>
          <xdr:spPr>
            <a:xfrm>
              <a:off x="0" y="57130950"/>
              <a:ext cx="30605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𝑇</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𝐹</m:t>
                        </m:r>
                      </m:sub>
                    </m:sSub>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𝑘</m:t>
                        </m:r>
                        <m:r>
                          <a:rPr lang="en-US" sz="1100" b="0" i="1">
                            <a:latin typeface="Cambria Math" panose="02040503050406030204" pitchFamily="18" charset="0"/>
                          </a:rPr>
                          <m:t>1</m:t>
                        </m:r>
                      </m:e>
                    </m:d>
                    <m:r>
                      <a:rPr lang="en-US" sz="1100" b="0" i="1">
                        <a:latin typeface="Cambria Math" panose="02040503050406030204" pitchFamily="18" charset="0"/>
                      </a:rPr>
                      <m:t>+</m:t>
                    </m:r>
                    <m:r>
                      <a:rPr lang="en-US" sz="1100" b="0" i="1">
                        <a:latin typeface="Cambria Math" panose="02040503050406030204" pitchFamily="18" charset="0"/>
                      </a:rPr>
                      <m:t>𝑅𝑎𝑝𝑝</m:t>
                    </m:r>
                    <m:r>
                      <a:rPr lang="en-US" sz="1100" b="0" i="1">
                        <a:latin typeface="Cambria Math" panose="02040503050406030204" pitchFamily="18" charset="0"/>
                      </a:rPr>
                      <m:t>+</m:t>
                    </m:r>
                    <m:r>
                      <a:rPr lang="en-US" sz="1100" b="0" i="1">
                        <a:latin typeface="Cambria Math" panose="02040503050406030204" pitchFamily="18" charset="0"/>
                      </a:rPr>
                      <m:t>𝑅𝑤</m:t>
                    </m:r>
                    <m:r>
                      <a:rPr lang="en-US" sz="1100" b="0" i="1">
                        <a:latin typeface="Cambria Math" panose="02040503050406030204" pitchFamily="18" charset="0"/>
                      </a:rPr>
                      <m:t>+</m:t>
                    </m:r>
                    <m:r>
                      <a:rPr lang="en-US" sz="1100" b="0" i="1">
                        <a:latin typeface="Cambria Math" panose="02040503050406030204" pitchFamily="18" charset="0"/>
                      </a:rPr>
                      <m:t>𝑅𝐵</m:t>
                    </m:r>
                    <m:r>
                      <a:rPr lang="en-US" sz="1100" b="0" i="1">
                        <a:latin typeface="Cambria Math" panose="02040503050406030204" pitchFamily="18" charset="0"/>
                      </a:rPr>
                      <m:t>+</m:t>
                    </m:r>
                    <m:r>
                      <a:rPr lang="en-US" sz="1100" b="0" i="1">
                        <a:latin typeface="Cambria Math" panose="02040503050406030204" pitchFamily="18" charset="0"/>
                      </a:rPr>
                      <m:t>𝑅𝑇𝑅</m:t>
                    </m:r>
                    <m:r>
                      <a:rPr lang="en-US" sz="1100" b="0" i="1">
                        <a:latin typeface="Cambria Math" panose="02040503050406030204" pitchFamily="18" charset="0"/>
                      </a:rPr>
                      <m:t>+</m:t>
                    </m:r>
                    <m:r>
                      <a:rPr lang="en-US" sz="1100" b="0" i="1">
                        <a:latin typeface="Cambria Math" panose="02040503050406030204" pitchFamily="18" charset="0"/>
                      </a:rPr>
                      <m:t>𝑅𝐴</m:t>
                    </m:r>
                  </m:oMath>
                </m:oMathPara>
              </a14:m>
              <a:endParaRPr lang="en-US" sz="1100"/>
            </a:p>
          </xdr:txBody>
        </xdr:sp>
      </mc:Choice>
      <mc:Fallback xmlns="">
        <xdr:sp macro="" textlink="">
          <xdr:nvSpPr>
            <xdr:cNvPr id="28" name="TextBox 27">
              <a:extLst>
                <a:ext uri="{FF2B5EF4-FFF2-40B4-BE49-F238E27FC236}">
                  <a16:creationId xmlns:a16="http://schemas.microsoft.com/office/drawing/2014/main" id="{D5F5C13A-D15A-43E4-AF25-7390E6602733}"/>
                </a:ext>
              </a:extLst>
            </xdr:cNvPr>
            <xdr:cNvSpPr txBox="1"/>
          </xdr:nvSpPr>
          <xdr:spPr>
            <a:xfrm>
              <a:off x="0" y="57130950"/>
              <a:ext cx="30605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𝑅_𝑇=𝑅_𝐹 (1+𝑘1)+𝑅𝑎𝑝𝑝+𝑅𝑤+𝑅𝐵+𝑅𝑇𝑅+𝑅𝐴</a:t>
              </a:r>
              <a:endParaRPr lang="en-US" sz="1100"/>
            </a:p>
          </xdr:txBody>
        </xdr:sp>
      </mc:Fallback>
    </mc:AlternateContent>
    <xdr:clientData/>
  </xdr:oneCellAnchor>
  <xdr:oneCellAnchor>
    <xdr:from>
      <xdr:col>2</xdr:col>
      <xdr:colOff>512268</xdr:colOff>
      <xdr:row>135</xdr:row>
      <xdr:rowOff>70437</xdr:rowOff>
    </xdr:from>
    <xdr:ext cx="1455719" cy="35150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3131643" y="27731037"/>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𝐶𝑓</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0,075</m:t>
                        </m:r>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𝑙𝑜𝑔</m:t>
                                </m:r>
                              </m:e>
                              <m:sub>
                                <m:r>
                                  <a:rPr lang="en-US" sz="1100" b="0" i="1">
                                    <a:latin typeface="Cambria Math" panose="02040503050406030204" pitchFamily="18" charset="0"/>
                                    <a:ea typeface="Cambria Math" panose="02040503050406030204" pitchFamily="18" charset="0"/>
                                  </a:rPr>
                                  <m:t>10</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𝑅𝑛</m:t>
                            </m:r>
                            <m:r>
                              <a:rPr lang="en-US" sz="1100" b="0" i="1">
                                <a:latin typeface="Cambria Math" panose="02040503050406030204" pitchFamily="18" charset="0"/>
                                <a:ea typeface="Cambria Math" panose="02040503050406030204" pitchFamily="18" charset="0"/>
                              </a:rPr>
                              <m:t>−2)</m:t>
                            </m:r>
                          </m:e>
                          <m:sup>
                            <m:r>
                              <a:rPr lang="en-US" sz="1100" b="0" i="1">
                                <a:latin typeface="Cambria Math" panose="02040503050406030204" pitchFamily="18" charset="0"/>
                                <a:ea typeface="Cambria Math" panose="02040503050406030204" pitchFamily="18" charset="0"/>
                              </a:rPr>
                              <m:t>2</m:t>
                            </m:r>
                          </m:sup>
                        </m:sSup>
                      </m:den>
                    </m:f>
                  </m:oMath>
                </m:oMathPara>
              </a14:m>
              <a:endParaRPr lang="en-US" sz="1100"/>
            </a:p>
          </xdr:txBody>
        </xdr:sp>
      </mc:Choice>
      <mc:Fallback xmlns="">
        <xdr:sp macro="" textlink="">
          <xdr:nvSpPr>
            <xdr:cNvPr id="30" name="TextBox 29">
              <a:extLst>
                <a:ext uri="{FF2B5EF4-FFF2-40B4-BE49-F238E27FC236}">
                  <a16:creationId xmlns:a16="http://schemas.microsoft.com/office/drawing/2014/main" id="{CE171022-D0D2-4F3B-BF1D-7BE8B8873BE2}"/>
                </a:ext>
              </a:extLst>
            </xdr:cNvPr>
            <xdr:cNvSpPr txBox="1"/>
          </xdr:nvSpPr>
          <xdr:spPr>
            <a:xfrm>
              <a:off x="3131643" y="27731037"/>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𝐶𝑓=0,075/</a:t>
              </a:r>
              <a:r>
                <a:rPr lang="en-US" sz="1100" b="0" i="0">
                  <a:latin typeface="Cambria Math" panose="02040503050406030204" pitchFamily="18" charset="0"/>
                  <a:ea typeface="Cambria Math" panose="02040503050406030204" pitchFamily="18" charset="0"/>
                </a:rPr>
                <a:t>〖(〖𝑙𝑜𝑔〗_10×𝑅𝑛−2)〗^2 </a:t>
              </a:r>
              <a:endParaRPr lang="en-US" sz="1100"/>
            </a:p>
          </xdr:txBody>
        </xdr:sp>
      </mc:Fallback>
    </mc:AlternateContent>
    <xdr:clientData/>
  </xdr:oneCellAnchor>
  <mc:AlternateContent xmlns:mc="http://schemas.openxmlformats.org/markup-compatibility/2006">
    <mc:Choice xmlns:a14="http://schemas.microsoft.com/office/drawing/2010/main" Requires="a14">
      <xdr:twoCellAnchor>
        <xdr:from>
          <xdr:col>0</xdr:col>
          <xdr:colOff>1394460</xdr:colOff>
          <xdr:row>57</xdr:row>
          <xdr:rowOff>99060</xdr:rowOff>
        </xdr:from>
        <xdr:to>
          <xdr:col>1</xdr:col>
          <xdr:colOff>670560</xdr:colOff>
          <xdr:row>60</xdr:row>
          <xdr:rowOff>175260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0</xdr:col>
      <xdr:colOff>1035050</xdr:colOff>
      <xdr:row>75</xdr:row>
      <xdr:rowOff>0</xdr:rowOff>
    </xdr:from>
    <xdr:ext cx="911514" cy="320280"/>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00000000-0008-0000-0600-000020000000}"/>
                </a:ext>
              </a:extLst>
            </xdr:cNvPr>
            <xdr:cNvSpPr txBox="1"/>
          </xdr:nvSpPr>
          <xdr:spPr>
            <a:xfrm>
              <a:off x="1035050" y="15440025"/>
              <a:ext cx="911514"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𝑅𝑛</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𝑣</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𝐿𝑤𝑙</m:t>
                        </m:r>
                      </m:num>
                      <m:den>
                        <m:r>
                          <a:rPr lang="en-US" sz="1100" b="0" i="1">
                            <a:latin typeface="Cambria Math" panose="02040503050406030204" pitchFamily="18" charset="0"/>
                          </a:rPr>
                          <m:t>𝑣𝑘</m:t>
                        </m:r>
                      </m:den>
                    </m:f>
                  </m:oMath>
                </m:oMathPara>
              </a14:m>
              <a:endParaRPr lang="en-US" sz="1100"/>
            </a:p>
          </xdr:txBody>
        </xdr:sp>
      </mc:Choice>
      <mc:Fallback xmlns="">
        <xdr:sp macro="" textlink="">
          <xdr:nvSpPr>
            <xdr:cNvPr id="32" name="TextBox 31">
              <a:extLst>
                <a:ext uri="{FF2B5EF4-FFF2-40B4-BE49-F238E27FC236}">
                  <a16:creationId xmlns:a16="http://schemas.microsoft.com/office/drawing/2014/main" id="{11972BCC-6B0A-4319-98E8-DFF2914A6843}"/>
                </a:ext>
              </a:extLst>
            </xdr:cNvPr>
            <xdr:cNvSpPr txBox="1"/>
          </xdr:nvSpPr>
          <xdr:spPr>
            <a:xfrm>
              <a:off x="1035050" y="15440025"/>
              <a:ext cx="911514"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𝑅𝑛=(𝑣</a:t>
              </a:r>
              <a:r>
                <a:rPr lang="en-US" sz="1100" b="0" i="0">
                  <a:latin typeface="Cambria Math" panose="02040503050406030204" pitchFamily="18" charset="0"/>
                  <a:ea typeface="Cambria Math" panose="02040503050406030204" pitchFamily="18" charset="0"/>
                </a:rPr>
                <a:t>×𝐿𝑤𝑙)/</a:t>
              </a:r>
              <a:r>
                <a:rPr lang="en-US" sz="1100" b="0" i="0">
                  <a:latin typeface="Cambria Math" panose="02040503050406030204" pitchFamily="18" charset="0"/>
                </a:rPr>
                <a:t>𝑣𝑘</a:t>
              </a:r>
              <a:endParaRPr lang="en-US" sz="1100"/>
            </a:p>
          </xdr:txBody>
        </xdr:sp>
      </mc:Fallback>
    </mc:AlternateContent>
    <xdr:clientData/>
  </xdr:oneCellAnchor>
  <xdr:twoCellAnchor editAs="oneCell">
    <xdr:from>
      <xdr:col>4</xdr:col>
      <xdr:colOff>642847</xdr:colOff>
      <xdr:row>222</xdr:row>
      <xdr:rowOff>127573</xdr:rowOff>
    </xdr:from>
    <xdr:to>
      <xdr:col>7</xdr:col>
      <xdr:colOff>459</xdr:colOff>
      <xdr:row>230</xdr:row>
      <xdr:rowOff>133354</xdr:rowOff>
    </xdr:to>
    <xdr:pic>
      <xdr:nvPicPr>
        <xdr:cNvPr id="33" name="Picture 32">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3302" y="45674391"/>
          <a:ext cx="2531119" cy="1622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377355</xdr:colOff>
      <xdr:row>216</xdr:row>
      <xdr:rowOff>73248</xdr:rowOff>
    </xdr:from>
    <xdr:to>
      <xdr:col>7</xdr:col>
      <xdr:colOff>503343</xdr:colOff>
      <xdr:row>218</xdr:row>
      <xdr:rowOff>76848</xdr:rowOff>
    </xdr:to>
    <xdr:pic>
      <xdr:nvPicPr>
        <xdr:cNvPr id="34" name="Picture 33">
          <a:extLst>
            <a:ext uri="{FF2B5EF4-FFF2-40B4-BE49-F238E27FC236}">
              <a16:creationId xmlns:a16="http://schemas.microsoft.com/office/drawing/2014/main" id="{00000000-0008-0000-0600-00002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7810" y="44407793"/>
          <a:ext cx="3387578" cy="40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116</xdr:row>
      <xdr:rowOff>23814</xdr:rowOff>
    </xdr:from>
    <xdr:ext cx="1743075" cy="297656"/>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00000000-0008-0000-0600-000023000000}"/>
                </a:ext>
              </a:extLst>
            </xdr:cNvPr>
            <xdr:cNvSpPr txBox="1"/>
          </xdr:nvSpPr>
          <xdr:spPr>
            <a:xfrm>
              <a:off x="3524250" y="23864889"/>
              <a:ext cx="1743075" cy="2976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14:m>
                <m:oMathPara xmlns:m="http://schemas.openxmlformats.org/officeDocument/2006/math">
                  <m:oMathParaPr>
                    <m:jc m:val="center"/>
                  </m:oMathParaPr>
                  <m:oMath xmlns:m="http://schemas.openxmlformats.org/officeDocument/2006/math">
                    <m:sSub>
                      <m:sSubPr>
                        <m:ctrlPr>
                          <a:rPr lang="en-GB" sz="1100" i="1">
                            <a:latin typeface="Cambria Math" panose="02040503050406030204" pitchFamily="18" charset="0"/>
                          </a:rPr>
                        </m:ctrlPr>
                      </m:sSubPr>
                      <m:e>
                        <m:r>
                          <a:rPr lang="en-US" sz="1100" b="0" i="1">
                            <a:latin typeface="Cambria Math"/>
                          </a:rPr>
                          <m:t>𝐶</m:t>
                        </m:r>
                      </m:e>
                      <m:sub>
                        <m:r>
                          <a:rPr lang="en-US" sz="1100" b="0" i="1">
                            <a:latin typeface="Cambria Math"/>
                          </a:rPr>
                          <m:t>𝑊𝑃</m:t>
                        </m:r>
                      </m:sub>
                    </m:sSub>
                    <m:r>
                      <a:rPr lang="en-GB" sz="1100" i="1">
                        <a:latin typeface="Cambria Math"/>
                      </a:rPr>
                      <m:t>=</m:t>
                    </m:r>
                    <m:r>
                      <a:rPr lang="en-US" sz="1100" b="0" i="1">
                        <a:latin typeface="Cambria Math"/>
                      </a:rPr>
                      <m:t>0.248+0.778</m:t>
                    </m:r>
                    <m:sSub>
                      <m:sSubPr>
                        <m:ctrlPr>
                          <a:rPr lang="en-US" sz="1100" b="0" i="1">
                            <a:latin typeface="Cambria Math" panose="02040503050406030204" pitchFamily="18" charset="0"/>
                          </a:rPr>
                        </m:ctrlPr>
                      </m:sSubPr>
                      <m:e>
                        <m:r>
                          <a:rPr lang="en-US" sz="1100" b="0" i="1">
                            <a:latin typeface="Cambria Math"/>
                            <a:ea typeface="Cambria Math"/>
                          </a:rPr>
                          <m:t>𝛿</m:t>
                        </m:r>
                      </m:e>
                      <m:sub>
                        <m:r>
                          <a:rPr lang="en-US" sz="1100" b="0" i="1">
                            <a:latin typeface="Cambria Math"/>
                          </a:rPr>
                          <m:t>𝐿𝑤𝑙</m:t>
                        </m:r>
                      </m:sub>
                    </m:sSub>
                  </m:oMath>
                </m:oMathPara>
              </a14:m>
              <a:endParaRPr lang="en-GB" sz="1100"/>
            </a:p>
          </xdr:txBody>
        </xdr:sp>
      </mc:Choice>
      <mc:Fallback xmlns="">
        <xdr:sp macro="" textlink="">
          <xdr:nvSpPr>
            <xdr:cNvPr id="35" name="TextBox 34">
              <a:extLst>
                <a:ext uri="{FF2B5EF4-FFF2-40B4-BE49-F238E27FC236}">
                  <a16:creationId xmlns:a16="http://schemas.microsoft.com/office/drawing/2014/main" id="{846995CE-C909-4589-BDB3-7C495799E4E1}"/>
                </a:ext>
              </a:extLst>
            </xdr:cNvPr>
            <xdr:cNvSpPr txBox="1"/>
          </xdr:nvSpPr>
          <xdr:spPr>
            <a:xfrm>
              <a:off x="3524250" y="23864889"/>
              <a:ext cx="1743075" cy="2976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r>
                <a:rPr lang="en-US" sz="1100" b="0" i="0">
                  <a:latin typeface="Cambria Math"/>
                </a:rPr>
                <a:t>𝐶</a:t>
              </a:r>
              <a:r>
                <a:rPr lang="en-GB" sz="1100" b="0" i="0">
                  <a:latin typeface="Cambria Math" panose="02040503050406030204" pitchFamily="18" charset="0"/>
                </a:rPr>
                <a:t>_</a:t>
              </a:r>
              <a:r>
                <a:rPr lang="en-US" sz="1100" b="0" i="0">
                  <a:latin typeface="Cambria Math"/>
                </a:rPr>
                <a:t>𝑊𝑃</a:t>
              </a:r>
              <a:r>
                <a:rPr lang="en-GB" sz="1100" i="0">
                  <a:latin typeface="Cambria Math"/>
                </a:rPr>
                <a:t>=</a:t>
              </a:r>
              <a:r>
                <a:rPr lang="en-US" sz="1100" b="0" i="0">
                  <a:latin typeface="Cambria Math"/>
                </a:rPr>
                <a:t>0.248+0.778</a:t>
              </a:r>
              <a:r>
                <a:rPr lang="en-US" sz="1100" b="0" i="0">
                  <a:latin typeface="Cambria Math"/>
                  <a:ea typeface="Cambria Math"/>
                </a:rPr>
                <a:t>𝛿</a:t>
              </a:r>
              <a:r>
                <a:rPr lang="en-US" sz="1100" b="0" i="0">
                  <a:latin typeface="Cambria Math" panose="02040503050406030204" pitchFamily="18" charset="0"/>
                  <a:ea typeface="Cambria Math"/>
                </a:rPr>
                <a:t>_</a:t>
              </a:r>
              <a:r>
                <a:rPr lang="en-US" sz="1100" b="0" i="0">
                  <a:latin typeface="Cambria Math"/>
                </a:rPr>
                <a:t>𝐿𝑤𝑙</a:t>
              </a:r>
              <a:endParaRPr lang="en-GB" sz="1100"/>
            </a:p>
          </xdr:txBody>
        </xdr:sp>
      </mc:Fallback>
    </mc:AlternateContent>
    <xdr:clientData/>
  </xdr:oneCellAnchor>
  <xdr:oneCellAnchor>
    <xdr:from>
      <xdr:col>6</xdr:col>
      <xdr:colOff>22226</xdr:colOff>
      <xdr:row>116</xdr:row>
      <xdr:rowOff>0</xdr:rowOff>
    </xdr:from>
    <xdr:ext cx="1635919" cy="396939"/>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00000000-0008-0000-0600-000024000000}"/>
                </a:ext>
              </a:extLst>
            </xdr:cNvPr>
            <xdr:cNvSpPr txBox="1"/>
          </xdr:nvSpPr>
          <xdr:spPr>
            <a:xfrm>
              <a:off x="6594476" y="23841075"/>
              <a:ext cx="1635919" cy="396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14:m>
                <m:oMathPara xmlns:m="http://schemas.openxmlformats.org/officeDocument/2006/math">
                  <m:oMathParaPr>
                    <m:jc m:val="center"/>
                  </m:oMathParaPr>
                  <m:oMath xmlns:m="http://schemas.openxmlformats.org/officeDocument/2006/math">
                    <m:sSub>
                      <m:sSubPr>
                        <m:ctrlPr>
                          <a:rPr lang="en-GB" sz="1100" i="1">
                            <a:latin typeface="Cambria Math" panose="02040503050406030204" pitchFamily="18" charset="0"/>
                          </a:rPr>
                        </m:ctrlPr>
                      </m:sSubPr>
                      <m:e>
                        <m:r>
                          <a:rPr lang="en-GB" sz="1100" i="1">
                            <a:latin typeface="Cambria Math"/>
                            <a:ea typeface="Cambria Math"/>
                          </a:rPr>
                          <m:t>𝛿</m:t>
                        </m:r>
                      </m:e>
                      <m:sub>
                        <m:r>
                          <a:rPr lang="en-US" sz="1100" b="0" i="1">
                            <a:latin typeface="Cambria Math"/>
                          </a:rPr>
                          <m:t>𝐿𝑤𝑙</m:t>
                        </m:r>
                      </m:sub>
                    </m:sSub>
                    <m:r>
                      <a:rPr lang="en-GB" sz="1100" i="1">
                        <a:latin typeface="Cambria Math"/>
                      </a:rPr>
                      <m:t>=</m:t>
                    </m:r>
                    <m:box>
                      <m:boxPr>
                        <m:ctrlPr>
                          <a:rPr lang="en-GB" sz="1100" i="1">
                            <a:latin typeface="Cambria Math" panose="02040503050406030204" pitchFamily="18" charset="0"/>
                          </a:rPr>
                        </m:ctrlPr>
                      </m:boxPr>
                      <m:e>
                        <m:argPr>
                          <m:argSz m:val="-1"/>
                        </m:argPr>
                        <m:f>
                          <m:fPr>
                            <m:ctrlPr>
                              <a:rPr lang="en-GB" sz="1100" i="1">
                                <a:latin typeface="Cambria Math" panose="02040503050406030204" pitchFamily="18" charset="0"/>
                              </a:rPr>
                            </m:ctrlPr>
                          </m:fPr>
                          <m:num>
                            <m:sSub>
                              <m:sSubPr>
                                <m:ctrlPr>
                                  <a:rPr lang="en-GB" sz="1100" i="1">
                                    <a:latin typeface="Cambria Math" panose="02040503050406030204" pitchFamily="18" charset="0"/>
                                  </a:rPr>
                                </m:ctrlPr>
                              </m:sSubPr>
                              <m:e>
                                <m:r>
                                  <a:rPr lang="en-GB" sz="1100" i="1">
                                    <a:latin typeface="Cambria Math"/>
                                    <a:ea typeface="Cambria Math"/>
                                  </a:rPr>
                                  <m:t>𝛿</m:t>
                                </m:r>
                              </m:e>
                              <m:sub>
                                <m:r>
                                  <a:rPr lang="en-US" sz="1100" b="0" i="1">
                                    <a:latin typeface="Cambria Math"/>
                                  </a:rPr>
                                  <m:t>𝐿𝑑𝑖𝑠𝑝𝑙</m:t>
                                </m:r>
                                <m:r>
                                  <a:rPr lang="en-US" sz="1100" b="0" i="1">
                                    <a:latin typeface="Cambria Math"/>
                                    <a:ea typeface="Cambria Math"/>
                                  </a:rPr>
                                  <m:t>×</m:t>
                                </m:r>
                                <m:r>
                                  <a:rPr lang="en-US" sz="1100" b="0" i="1">
                                    <a:latin typeface="Cambria Math"/>
                                    <a:ea typeface="Cambria Math"/>
                                  </a:rPr>
                                  <m:t>𝐿𝑑𝑖𝑠𝑝𝑙</m:t>
                                </m:r>
                              </m:sub>
                            </m:sSub>
                          </m:num>
                          <m:den>
                            <m:r>
                              <a:rPr lang="en-US" sz="1100" b="0" i="1">
                                <a:latin typeface="Cambria Math"/>
                              </a:rPr>
                              <m:t>𝐿𝑤𝑙</m:t>
                            </m:r>
                          </m:den>
                        </m:f>
                      </m:e>
                    </m:box>
                  </m:oMath>
                </m:oMathPara>
              </a14:m>
              <a:endParaRPr lang="en-GB" sz="1100"/>
            </a:p>
          </xdr:txBody>
        </xdr:sp>
      </mc:Choice>
      <mc:Fallback xmlns="">
        <xdr:sp macro="" textlink="">
          <xdr:nvSpPr>
            <xdr:cNvPr id="36" name="TextBox 35">
              <a:extLst>
                <a:ext uri="{FF2B5EF4-FFF2-40B4-BE49-F238E27FC236}">
                  <a16:creationId xmlns:a16="http://schemas.microsoft.com/office/drawing/2014/main" id="{B4E82E46-8CD0-453F-A19D-8D132039EE4D}"/>
                </a:ext>
              </a:extLst>
            </xdr:cNvPr>
            <xdr:cNvSpPr txBox="1"/>
          </xdr:nvSpPr>
          <xdr:spPr>
            <a:xfrm>
              <a:off x="6594476" y="23841075"/>
              <a:ext cx="1635919" cy="396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r>
                <a:rPr lang="en-GB" sz="1100" i="0">
                  <a:latin typeface="Cambria Math"/>
                  <a:ea typeface="Cambria Math"/>
                </a:rPr>
                <a:t>𝛿</a:t>
              </a:r>
              <a:r>
                <a:rPr lang="en-GB" sz="1100" i="0">
                  <a:latin typeface="Cambria Math" panose="02040503050406030204" pitchFamily="18" charset="0"/>
                  <a:ea typeface="Cambria Math"/>
                </a:rPr>
                <a:t>_</a:t>
              </a:r>
              <a:r>
                <a:rPr lang="en-US" sz="1100" b="0" i="0">
                  <a:latin typeface="Cambria Math"/>
                </a:rPr>
                <a:t>𝐿𝑤𝑙</a:t>
              </a:r>
              <a:r>
                <a:rPr lang="en-GB" sz="1100" i="0">
                  <a:latin typeface="Cambria Math"/>
                </a:rPr>
                <a:t>=</a:t>
              </a:r>
              <a:r>
                <a:rPr lang="en-GB" sz="1100" i="0">
                  <a:latin typeface="Cambria Math" panose="02040503050406030204" pitchFamily="18" charset="0"/>
                </a:rPr>
                <a:t>□(64&amp;</a:t>
              </a:r>
              <a:r>
                <a:rPr lang="en-GB" sz="1100" i="0">
                  <a:latin typeface="Cambria Math"/>
                  <a:ea typeface="Cambria Math"/>
                </a:rPr>
                <a:t>𝛿</a:t>
              </a:r>
              <a:r>
                <a:rPr lang="en-GB" sz="1100" i="0">
                  <a:latin typeface="Cambria Math" panose="02040503050406030204" pitchFamily="18" charset="0"/>
                  <a:ea typeface="Cambria Math"/>
                </a:rPr>
                <a:t>_(</a:t>
              </a:r>
              <a:r>
                <a:rPr lang="en-US" sz="1100" b="0" i="0">
                  <a:latin typeface="Cambria Math"/>
                </a:rPr>
                <a:t>𝐿𝑑𝑖𝑠𝑝𝑙</a:t>
              </a:r>
              <a:r>
                <a:rPr lang="en-US" sz="1100" b="0" i="0">
                  <a:latin typeface="Cambria Math"/>
                  <a:ea typeface="Cambria Math"/>
                </a:rPr>
                <a:t>×𝐿𝑑𝑖𝑠𝑝𝑙</a:t>
              </a:r>
              <a:r>
                <a:rPr lang="en-GB" sz="1100" b="0" i="0">
                  <a:latin typeface="Cambria Math" panose="02040503050406030204" pitchFamily="18" charset="0"/>
                  <a:ea typeface="Cambria Math"/>
                </a:rPr>
                <a:t>)/</a:t>
              </a:r>
              <a:r>
                <a:rPr lang="en-US" sz="1100" b="0" i="0">
                  <a:latin typeface="Cambria Math"/>
                </a:rPr>
                <a:t>𝐿𝑤𝑙</a:t>
              </a:r>
              <a:r>
                <a:rPr lang="en-US" sz="1100" b="0" i="0">
                  <a:latin typeface="Cambria Math" panose="02040503050406030204" pitchFamily="18" charset="0"/>
                </a:rPr>
                <a:t>)</a:t>
              </a:r>
              <a:endParaRPr lang="en-GB" sz="1100"/>
            </a:p>
          </xdr:txBody>
        </xdr:sp>
      </mc:Fallback>
    </mc:AlternateContent>
    <xdr:clientData/>
  </xdr:oneCellAnchor>
  <xdr:twoCellAnchor editAs="oneCell">
    <xdr:from>
      <xdr:col>0</xdr:col>
      <xdr:colOff>68579</xdr:colOff>
      <xdr:row>155</xdr:row>
      <xdr:rowOff>160020</xdr:rowOff>
    </xdr:from>
    <xdr:to>
      <xdr:col>2</xdr:col>
      <xdr:colOff>560070</xdr:colOff>
      <xdr:row>163</xdr:row>
      <xdr:rowOff>34290</xdr:rowOff>
    </xdr:to>
    <xdr:pic>
      <xdr:nvPicPr>
        <xdr:cNvPr id="37" name="Picture 36">
          <a:extLst>
            <a:ext uri="{FF2B5EF4-FFF2-40B4-BE49-F238E27FC236}">
              <a16:creationId xmlns:a16="http://schemas.microsoft.com/office/drawing/2014/main" id="{00000000-0008-0000-0600-000025000000}"/>
            </a:ext>
          </a:extLst>
        </xdr:cNvPr>
        <xdr:cNvPicPr>
          <a:picLocks noChangeAspect="1"/>
        </xdr:cNvPicPr>
      </xdr:nvPicPr>
      <xdr:blipFill rotWithShape="1">
        <a:blip xmlns:r="http://schemas.openxmlformats.org/officeDocument/2006/relationships" r:embed="rId3"/>
        <a:srcRect l="49432" t="48299" r="29381" b="32938"/>
        <a:stretch/>
      </xdr:blipFill>
      <xdr:spPr>
        <a:xfrm>
          <a:off x="68579" y="31821120"/>
          <a:ext cx="3110866" cy="1474471"/>
        </a:xfrm>
        <a:prstGeom prst="rect">
          <a:avLst/>
        </a:prstGeom>
      </xdr:spPr>
    </xdr:pic>
    <xdr:clientData/>
  </xdr:twoCellAnchor>
  <xdr:twoCellAnchor editAs="oneCell">
    <xdr:from>
      <xdr:col>3</xdr:col>
      <xdr:colOff>594181</xdr:colOff>
      <xdr:row>49</xdr:row>
      <xdr:rowOff>190417</xdr:rowOff>
    </xdr:from>
    <xdr:to>
      <xdr:col>6</xdr:col>
      <xdr:colOff>784651</xdr:colOff>
      <xdr:row>59</xdr:row>
      <xdr:rowOff>67955</xdr:rowOff>
    </xdr:to>
    <xdr:pic>
      <xdr:nvPicPr>
        <xdr:cNvPr id="38" name="Picture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4"/>
        <a:stretch>
          <a:fillRect/>
        </a:stretch>
      </xdr:blipFill>
      <xdr:spPr>
        <a:xfrm>
          <a:off x="4132038" y="8967024"/>
          <a:ext cx="3252077" cy="1918609"/>
        </a:xfrm>
        <a:prstGeom prst="rect">
          <a:avLst/>
        </a:prstGeom>
      </xdr:spPr>
    </xdr:pic>
    <xdr:clientData/>
  </xdr:twoCellAnchor>
  <xdr:twoCellAnchor editAs="oneCell">
    <xdr:from>
      <xdr:col>3</xdr:col>
      <xdr:colOff>88735</xdr:colOff>
      <xdr:row>47</xdr:row>
      <xdr:rowOff>246</xdr:rowOff>
    </xdr:from>
    <xdr:to>
      <xdr:col>7</xdr:col>
      <xdr:colOff>6428</xdr:colOff>
      <xdr:row>49</xdr:row>
      <xdr:rowOff>12383</xdr:rowOff>
    </xdr:to>
    <xdr:pic>
      <xdr:nvPicPr>
        <xdr:cNvPr id="39" name="Picture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5"/>
        <a:stretch>
          <a:fillRect/>
        </a:stretch>
      </xdr:blipFill>
      <xdr:spPr>
        <a:xfrm>
          <a:off x="3626592" y="8368639"/>
          <a:ext cx="4165546" cy="420351"/>
        </a:xfrm>
        <a:prstGeom prst="rect">
          <a:avLst/>
        </a:prstGeom>
      </xdr:spPr>
    </xdr:pic>
    <xdr:clientData/>
  </xdr:twoCellAnchor>
  <xdr:twoCellAnchor editAs="oneCell">
    <xdr:from>
      <xdr:col>1</xdr:col>
      <xdr:colOff>790677</xdr:colOff>
      <xdr:row>177</xdr:row>
      <xdr:rowOff>175818</xdr:rowOff>
    </xdr:from>
    <xdr:to>
      <xdr:col>3</xdr:col>
      <xdr:colOff>305540</xdr:colOff>
      <xdr:row>179</xdr:row>
      <xdr:rowOff>10541</xdr:rowOff>
    </xdr:to>
    <xdr:pic>
      <xdr:nvPicPr>
        <xdr:cNvPr id="40" name="Pictur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6"/>
        <a:stretch>
          <a:fillRect/>
        </a:stretch>
      </xdr:blipFill>
      <xdr:spPr>
        <a:xfrm>
          <a:off x="2305152" y="36237468"/>
          <a:ext cx="1524638" cy="216176"/>
        </a:xfrm>
        <a:prstGeom prst="rect">
          <a:avLst/>
        </a:prstGeom>
      </xdr:spPr>
    </xdr:pic>
    <xdr:clientData/>
  </xdr:twoCellAnchor>
  <xdr:twoCellAnchor editAs="oneCell">
    <xdr:from>
      <xdr:col>4</xdr:col>
      <xdr:colOff>204107</xdr:colOff>
      <xdr:row>183</xdr:row>
      <xdr:rowOff>68036</xdr:rowOff>
    </xdr:from>
    <xdr:to>
      <xdr:col>5</xdr:col>
      <xdr:colOff>714140</xdr:colOff>
      <xdr:row>184</xdr:row>
      <xdr:rowOff>83035</xdr:rowOff>
    </xdr:to>
    <xdr:pic>
      <xdr:nvPicPr>
        <xdr:cNvPr id="41" name="Picture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7"/>
        <a:stretch>
          <a:fillRect/>
        </a:stretch>
      </xdr:blipFill>
      <xdr:spPr>
        <a:xfrm>
          <a:off x="4747532" y="37329836"/>
          <a:ext cx="1633983" cy="215024"/>
        </a:xfrm>
        <a:prstGeom prst="rect">
          <a:avLst/>
        </a:prstGeom>
      </xdr:spPr>
    </xdr:pic>
    <xdr:clientData/>
  </xdr:twoCellAnchor>
  <xdr:twoCellAnchor editAs="oneCell">
    <xdr:from>
      <xdr:col>4</xdr:col>
      <xdr:colOff>132787</xdr:colOff>
      <xdr:row>186</xdr:row>
      <xdr:rowOff>51457</xdr:rowOff>
    </xdr:from>
    <xdr:to>
      <xdr:col>6</xdr:col>
      <xdr:colOff>978574</xdr:colOff>
      <xdr:row>190</xdr:row>
      <xdr:rowOff>54293</xdr:rowOff>
    </xdr:to>
    <xdr:pic>
      <xdr:nvPicPr>
        <xdr:cNvPr id="42" name="Picture 41">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8"/>
        <a:stretch>
          <a:fillRect/>
        </a:stretch>
      </xdr:blipFill>
      <xdr:spPr>
        <a:xfrm>
          <a:off x="4676212" y="37913332"/>
          <a:ext cx="2874612" cy="802936"/>
        </a:xfrm>
        <a:prstGeom prst="rect">
          <a:avLst/>
        </a:prstGeom>
      </xdr:spPr>
    </xdr:pic>
    <xdr:clientData/>
  </xdr:twoCellAnchor>
  <xdr:twoCellAnchor editAs="oneCell">
    <xdr:from>
      <xdr:col>3</xdr:col>
      <xdr:colOff>921063</xdr:colOff>
      <xdr:row>169</xdr:row>
      <xdr:rowOff>81956</xdr:rowOff>
    </xdr:from>
    <xdr:to>
      <xdr:col>6</xdr:col>
      <xdr:colOff>1061390</xdr:colOff>
      <xdr:row>170</xdr:row>
      <xdr:rowOff>135059</xdr:rowOff>
    </xdr:to>
    <xdr:pic>
      <xdr:nvPicPr>
        <xdr:cNvPr id="43" name="Picture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9"/>
        <a:stretch>
          <a:fillRect/>
        </a:stretch>
      </xdr:blipFill>
      <xdr:spPr>
        <a:xfrm>
          <a:off x="4445313" y="34543406"/>
          <a:ext cx="3188327" cy="253129"/>
        </a:xfrm>
        <a:prstGeom prst="rect">
          <a:avLst/>
        </a:prstGeom>
      </xdr:spPr>
    </xdr:pic>
    <xdr:clientData/>
  </xdr:twoCellAnchor>
  <xdr:twoCellAnchor editAs="oneCell">
    <xdr:from>
      <xdr:col>2</xdr:col>
      <xdr:colOff>639536</xdr:colOff>
      <xdr:row>149</xdr:row>
      <xdr:rowOff>149679</xdr:rowOff>
    </xdr:from>
    <xdr:to>
      <xdr:col>4</xdr:col>
      <xdr:colOff>767712</xdr:colOff>
      <xdr:row>154</xdr:row>
      <xdr:rowOff>148460</xdr:rowOff>
    </xdr:to>
    <xdr:pic>
      <xdr:nvPicPr>
        <xdr:cNvPr id="44" name="Picture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10"/>
        <a:stretch>
          <a:fillRect/>
        </a:stretch>
      </xdr:blipFill>
      <xdr:spPr>
        <a:xfrm>
          <a:off x="3258911" y="30610629"/>
          <a:ext cx="2052226" cy="998906"/>
        </a:xfrm>
        <a:prstGeom prst="rect">
          <a:avLst/>
        </a:prstGeom>
      </xdr:spPr>
    </xdr:pic>
    <xdr:clientData/>
  </xdr:twoCellAnchor>
  <xdr:twoCellAnchor editAs="oneCell">
    <xdr:from>
      <xdr:col>4</xdr:col>
      <xdr:colOff>244928</xdr:colOff>
      <xdr:row>194</xdr:row>
      <xdr:rowOff>163285</xdr:rowOff>
    </xdr:from>
    <xdr:to>
      <xdr:col>6</xdr:col>
      <xdr:colOff>757293</xdr:colOff>
      <xdr:row>200</xdr:row>
      <xdr:rowOff>15116</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11"/>
        <a:stretch>
          <a:fillRect/>
        </a:stretch>
      </xdr:blipFill>
      <xdr:spPr>
        <a:xfrm>
          <a:off x="4788353" y="39625360"/>
          <a:ext cx="2541190" cy="1051981"/>
        </a:xfrm>
        <a:prstGeom prst="rect">
          <a:avLst/>
        </a:prstGeom>
      </xdr:spPr>
    </xdr:pic>
    <xdr:clientData/>
  </xdr:twoCellAnchor>
  <xdr:twoCellAnchor editAs="oneCell">
    <xdr:from>
      <xdr:col>3</xdr:col>
      <xdr:colOff>687895</xdr:colOff>
      <xdr:row>241</xdr:row>
      <xdr:rowOff>113928</xdr:rowOff>
    </xdr:from>
    <xdr:to>
      <xdr:col>6</xdr:col>
      <xdr:colOff>280662</xdr:colOff>
      <xdr:row>247</xdr:row>
      <xdr:rowOff>36410</xdr:rowOff>
    </xdr:to>
    <xdr:pic>
      <xdr:nvPicPr>
        <xdr:cNvPr id="46" name="Picture 45">
          <a:extLst>
            <a:ext uri="{FF2B5EF4-FFF2-40B4-BE49-F238E27FC236}">
              <a16:creationId xmlns:a16="http://schemas.microsoft.com/office/drawing/2014/main" id="{00000000-0008-0000-0600-00002E000000}"/>
            </a:ext>
          </a:extLst>
        </xdr:cNvPr>
        <xdr:cNvPicPr>
          <a:picLocks noChangeAspect="1"/>
        </xdr:cNvPicPr>
      </xdr:nvPicPr>
      <xdr:blipFill>
        <a:blip xmlns:r="http://schemas.openxmlformats.org/officeDocument/2006/relationships" r:embed="rId12"/>
        <a:stretch>
          <a:fillRect/>
        </a:stretch>
      </xdr:blipFill>
      <xdr:spPr>
        <a:xfrm>
          <a:off x="4212145" y="49043853"/>
          <a:ext cx="2640767" cy="1122632"/>
        </a:xfrm>
        <a:prstGeom prst="rect">
          <a:avLst/>
        </a:prstGeom>
      </xdr:spPr>
    </xdr:pic>
    <xdr:clientData/>
  </xdr:twoCellAnchor>
  <xdr:twoCellAnchor>
    <xdr:from>
      <xdr:col>5</xdr:col>
      <xdr:colOff>577477</xdr:colOff>
      <xdr:row>100</xdr:row>
      <xdr:rowOff>191918</xdr:rowOff>
    </xdr:from>
    <xdr:to>
      <xdr:col>7</xdr:col>
      <xdr:colOff>1154547</xdr:colOff>
      <xdr:row>112</xdr:row>
      <xdr:rowOff>158751</xdr:rowOff>
    </xdr:to>
    <xdr:grpSp>
      <xdr:nvGrpSpPr>
        <xdr:cNvPr id="48" name="Group 47">
          <a:extLst>
            <a:ext uri="{FF2B5EF4-FFF2-40B4-BE49-F238E27FC236}">
              <a16:creationId xmlns:a16="http://schemas.microsoft.com/office/drawing/2014/main" id="{00000000-0008-0000-0600-000030000000}"/>
            </a:ext>
          </a:extLst>
        </xdr:cNvPr>
        <xdr:cNvGrpSpPr/>
      </xdr:nvGrpSpPr>
      <xdr:grpSpPr>
        <a:xfrm>
          <a:off x="6234206" y="18955047"/>
          <a:ext cx="2701706" cy="2333516"/>
          <a:chOff x="0" y="0"/>
          <a:chExt cx="3457397" cy="3581760"/>
        </a:xfrm>
      </xdr:grpSpPr>
      <xdr:pic>
        <xdr:nvPicPr>
          <xdr:cNvPr id="49" name="Picture 48">
            <a:extLst>
              <a:ext uri="{FF2B5EF4-FFF2-40B4-BE49-F238E27FC236}">
                <a16:creationId xmlns:a16="http://schemas.microsoft.com/office/drawing/2014/main" id="{00000000-0008-0000-0600-000031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0" y="0"/>
            <a:ext cx="1736426" cy="1782433"/>
          </a:xfrm>
          <a:prstGeom prst="rect">
            <a:avLst/>
          </a:prstGeom>
          <a:noFill/>
        </xdr:spPr>
      </xdr:pic>
      <xdr:pic>
        <xdr:nvPicPr>
          <xdr:cNvPr id="50" name="Picture 49">
            <a:extLst>
              <a:ext uri="{FF2B5EF4-FFF2-40B4-BE49-F238E27FC236}">
                <a16:creationId xmlns:a16="http://schemas.microsoft.com/office/drawing/2014/main" id="{00000000-0008-0000-0600-000032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35944" y="1761227"/>
            <a:ext cx="1717376" cy="1820533"/>
          </a:xfrm>
          <a:prstGeom prst="rect">
            <a:avLst/>
          </a:prstGeom>
          <a:noFill/>
        </xdr:spPr>
      </xdr:pic>
      <xdr:pic>
        <xdr:nvPicPr>
          <xdr:cNvPr id="51" name="Picture 50">
            <a:extLst>
              <a:ext uri="{FF2B5EF4-FFF2-40B4-BE49-F238E27FC236}">
                <a16:creationId xmlns:a16="http://schemas.microsoft.com/office/drawing/2014/main" id="{00000000-0008-0000-0600-000033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1725283" y="26959"/>
            <a:ext cx="1688801" cy="1782433"/>
          </a:xfrm>
          <a:prstGeom prst="rect">
            <a:avLst/>
          </a:prstGeom>
          <a:noFill/>
        </xdr:spPr>
      </xdr:pic>
      <xdr:pic>
        <xdr:nvPicPr>
          <xdr:cNvPr id="52" name="Picture 51">
            <a:extLst>
              <a:ext uri="{FF2B5EF4-FFF2-40B4-BE49-F238E27FC236}">
                <a16:creationId xmlns:a16="http://schemas.microsoft.com/office/drawing/2014/main" id="{00000000-0008-0000-0600-000034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1797171" y="1752242"/>
            <a:ext cx="1660226" cy="1801483"/>
          </a:xfrm>
          <a:prstGeom prst="rect">
            <a:avLst/>
          </a:prstGeom>
          <a:noFill/>
        </xdr:spPr>
      </xdr:pic>
    </xdr:grpSp>
    <xdr:clientData/>
  </xdr:twoCellAnchor>
  <xdr:twoCellAnchor editAs="oneCell">
    <xdr:from>
      <xdr:col>5</xdr:col>
      <xdr:colOff>257694</xdr:colOff>
      <xdr:row>127</xdr:row>
      <xdr:rowOff>139371</xdr:rowOff>
    </xdr:from>
    <xdr:to>
      <xdr:col>7</xdr:col>
      <xdr:colOff>1160198</xdr:colOff>
      <xdr:row>141</xdr:row>
      <xdr:rowOff>173533</xdr:rowOff>
    </xdr:to>
    <xdr:pic>
      <xdr:nvPicPr>
        <xdr:cNvPr id="53" name="Picture 52">
          <a:extLst>
            <a:ext uri="{FF2B5EF4-FFF2-40B4-BE49-F238E27FC236}">
              <a16:creationId xmlns:a16="http://schemas.microsoft.com/office/drawing/2014/main" id="{00000000-0008-0000-0600-000035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5943830" y="26405280"/>
          <a:ext cx="3038413" cy="28916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514569</xdr:colOff>
      <xdr:row>97</xdr:row>
      <xdr:rowOff>10950</xdr:rowOff>
    </xdr:from>
    <xdr:to>
      <xdr:col>5</xdr:col>
      <xdr:colOff>466618</xdr:colOff>
      <xdr:row>104</xdr:row>
      <xdr:rowOff>131380</xdr:rowOff>
    </xdr:to>
    <xdr:pic>
      <xdr:nvPicPr>
        <xdr:cNvPr id="54" name="Picture 53">
          <a:extLst>
            <a:ext uri="{FF2B5EF4-FFF2-40B4-BE49-F238E27FC236}">
              <a16:creationId xmlns:a16="http://schemas.microsoft.com/office/drawing/2014/main" id="{00000000-0008-0000-0600-000036000000}"/>
            </a:ext>
          </a:extLst>
        </xdr:cNvPr>
        <xdr:cNvPicPr>
          <a:picLocks noChangeAspect="1"/>
        </xdr:cNvPicPr>
      </xdr:nvPicPr>
      <xdr:blipFill>
        <a:blip xmlns:r="http://schemas.openxmlformats.org/officeDocument/2006/relationships" r:embed="rId18"/>
        <a:stretch>
          <a:fillRect/>
        </a:stretch>
      </xdr:blipFill>
      <xdr:spPr>
        <a:xfrm>
          <a:off x="4038819" y="20051550"/>
          <a:ext cx="2095174" cy="1520605"/>
        </a:xfrm>
        <a:prstGeom prst="rect">
          <a:avLst/>
        </a:prstGeom>
      </xdr:spPr>
    </xdr:pic>
    <xdr:clientData/>
  </xdr:twoCellAnchor>
  <xdr:twoCellAnchor editAs="oneCell">
    <xdr:from>
      <xdr:col>1</xdr:col>
      <xdr:colOff>223786</xdr:colOff>
      <xdr:row>413</xdr:row>
      <xdr:rowOff>175137</xdr:rowOff>
    </xdr:from>
    <xdr:to>
      <xdr:col>6</xdr:col>
      <xdr:colOff>244790</xdr:colOff>
      <xdr:row>421</xdr:row>
      <xdr:rowOff>184354</xdr:rowOff>
    </xdr:to>
    <xdr:pic>
      <xdr:nvPicPr>
        <xdr:cNvPr id="31" name="Picture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19"/>
        <a:stretch>
          <a:fillRect/>
        </a:stretch>
      </xdr:blipFill>
      <xdr:spPr>
        <a:xfrm>
          <a:off x="1744713" y="81951871"/>
          <a:ext cx="5075400" cy="1606959"/>
        </a:xfrm>
        <a:prstGeom prst="rect">
          <a:avLst/>
        </a:prstGeom>
      </xdr:spPr>
    </xdr:pic>
    <xdr:clientData/>
  </xdr:twoCellAnchor>
  <xdr:twoCellAnchor editAs="oneCell">
    <xdr:from>
      <xdr:col>1</xdr:col>
      <xdr:colOff>112662</xdr:colOff>
      <xdr:row>425</xdr:row>
      <xdr:rowOff>171041</xdr:rowOff>
    </xdr:from>
    <xdr:to>
      <xdr:col>6</xdr:col>
      <xdr:colOff>462326</xdr:colOff>
      <xdr:row>442</xdr:row>
      <xdr:rowOff>168992</xdr:rowOff>
    </xdr:to>
    <xdr:pic>
      <xdr:nvPicPr>
        <xdr:cNvPr id="55" name="Picture 54">
          <a:extLst>
            <a:ext uri="{FF2B5EF4-FFF2-40B4-BE49-F238E27FC236}">
              <a16:creationId xmlns:a16="http://schemas.microsoft.com/office/drawing/2014/main" id="{00000000-0008-0000-0600-000037000000}"/>
            </a:ext>
          </a:extLst>
        </xdr:cNvPr>
        <xdr:cNvPicPr>
          <a:picLocks noChangeAspect="1"/>
        </xdr:cNvPicPr>
      </xdr:nvPicPr>
      <xdr:blipFill>
        <a:blip xmlns:r="http://schemas.openxmlformats.org/officeDocument/2006/relationships" r:embed="rId20"/>
        <a:stretch>
          <a:fillRect/>
        </a:stretch>
      </xdr:blipFill>
      <xdr:spPr>
        <a:xfrm>
          <a:off x="1633589" y="84144670"/>
          <a:ext cx="5404060" cy="33931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126</xdr:row>
      <xdr:rowOff>0</xdr:rowOff>
    </xdr:from>
    <xdr:to>
      <xdr:col>12</xdr:col>
      <xdr:colOff>158750</xdr:colOff>
      <xdr:row>126</xdr:row>
      <xdr:rowOff>158750</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04900" y="23964900"/>
          <a:ext cx="2368550"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139</xdr:row>
      <xdr:rowOff>0</xdr:rowOff>
    </xdr:from>
    <xdr:to>
      <xdr:col>4</xdr:col>
      <xdr:colOff>25400</xdr:colOff>
      <xdr:row>139</xdr:row>
      <xdr:rowOff>158750</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04900" y="26260425"/>
          <a:ext cx="25400"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160354</xdr:colOff>
      <xdr:row>145</xdr:row>
      <xdr:rowOff>38485</xdr:rowOff>
    </xdr:from>
    <xdr:to>
      <xdr:col>6</xdr:col>
      <xdr:colOff>166704</xdr:colOff>
      <xdr:row>145</xdr:row>
      <xdr:rowOff>197235</xdr:rowOff>
    </xdr:to>
    <xdr:pic>
      <xdr:nvPicPr>
        <xdr:cNvPr id="4" name="Picture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41479" y="27451435"/>
          <a:ext cx="282575"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25657</xdr:colOff>
      <xdr:row>71</xdr:row>
      <xdr:rowOff>38485</xdr:rowOff>
    </xdr:from>
    <xdr:to>
      <xdr:col>11</xdr:col>
      <xdr:colOff>352097</xdr:colOff>
      <xdr:row>85</xdr:row>
      <xdr:rowOff>499</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11773" t="16410" r="26315" b="13770"/>
        <a:stretch/>
      </xdr:blipFill>
      <xdr:spPr>
        <a:xfrm>
          <a:off x="293671" y="12519519"/>
          <a:ext cx="3963019" cy="2537048"/>
        </a:xfrm>
        <a:prstGeom prst="rect">
          <a:avLst/>
        </a:prstGeom>
      </xdr:spPr>
    </xdr:pic>
    <xdr:clientData/>
  </xdr:twoCellAnchor>
  <xdr:twoCellAnchor>
    <xdr:from>
      <xdr:col>6</xdr:col>
      <xdr:colOff>89799</xdr:colOff>
      <xdr:row>73</xdr:row>
      <xdr:rowOff>83384</xdr:rowOff>
    </xdr:from>
    <xdr:to>
      <xdr:col>9</xdr:col>
      <xdr:colOff>128283</xdr:colOff>
      <xdr:row>77</xdr:row>
      <xdr:rowOff>173183</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1747149" y="13942259"/>
          <a:ext cx="867159" cy="851799"/>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109041</xdr:colOff>
      <xdr:row>77</xdr:row>
      <xdr:rowOff>173181</xdr:rowOff>
    </xdr:from>
    <xdr:to>
      <xdr:col>9</xdr:col>
      <xdr:colOff>134696</xdr:colOff>
      <xdr:row>81</xdr:row>
      <xdr:rowOff>186009</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1766391" y="14794056"/>
          <a:ext cx="854330" cy="774828"/>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203715</xdr:colOff>
      <xdr:row>130</xdr:row>
      <xdr:rowOff>17703</xdr:rowOff>
    </xdr:from>
    <xdr:to>
      <xdr:col>6</xdr:col>
      <xdr:colOff>210065</xdr:colOff>
      <xdr:row>130</xdr:row>
      <xdr:rowOff>176453</xdr:rowOff>
    </xdr:to>
    <xdr:pic>
      <xdr:nvPicPr>
        <xdr:cNvPr id="8" name="Picture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84840" y="24563628"/>
          <a:ext cx="282575"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141605</xdr:colOff>
      <xdr:row>135</xdr:row>
      <xdr:rowOff>50165</xdr:rowOff>
    </xdr:from>
    <xdr:to>
      <xdr:col>14</xdr:col>
      <xdr:colOff>565812</xdr:colOff>
      <xdr:row>146</xdr:row>
      <xdr:rowOff>150858</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41605" y="24653240"/>
          <a:ext cx="4606925" cy="2196192"/>
        </a:xfrm>
        <a:prstGeom prst="rect">
          <a:avLst/>
        </a:prstGeom>
        <a:noFill/>
        <a:ln w="1">
          <a:noFill/>
          <a:miter lim="800000"/>
          <a:headEnd/>
          <a:tailEnd type="none" w="med" len="med"/>
        </a:ln>
        <a:effectLst/>
      </xdr:spPr>
    </xdr:pic>
    <xdr:clientData/>
  </xdr:twoCellAnchor>
  <xdr:twoCellAnchor editAs="oneCell">
    <xdr:from>
      <xdr:col>2</xdr:col>
      <xdr:colOff>22860</xdr:colOff>
      <xdr:row>173</xdr:row>
      <xdr:rowOff>15240</xdr:rowOff>
    </xdr:from>
    <xdr:to>
      <xdr:col>13</xdr:col>
      <xdr:colOff>95885</xdr:colOff>
      <xdr:row>195</xdr:row>
      <xdr:rowOff>95886</xdr:rowOff>
    </xdr:to>
    <xdr:pic>
      <xdr:nvPicPr>
        <xdr:cNvPr id="3" name="Picture 2">
          <a:extLst>
            <a:ext uri="{FF2B5EF4-FFF2-40B4-BE49-F238E27FC236}">
              <a16:creationId xmlns:a16="http://schemas.microsoft.com/office/drawing/2014/main" id="{00000000-0008-0000-0800-000003000000}"/>
            </a:ext>
          </a:extLst>
        </xdr:cNvPr>
        <xdr:cNvPicPr/>
      </xdr:nvPicPr>
      <xdr:blipFill rotWithShape="1">
        <a:blip xmlns:r="http://schemas.openxmlformats.org/officeDocument/2006/relationships" r:embed="rId2"/>
        <a:srcRect t="2302" b="2080"/>
        <a:stretch/>
      </xdr:blipFill>
      <xdr:spPr>
        <a:xfrm>
          <a:off x="537210" y="32800290"/>
          <a:ext cx="3502025" cy="4271645"/>
        </a:xfrm>
        <a:prstGeom prst="rect">
          <a:avLst/>
        </a:prstGeom>
      </xdr:spPr>
    </xdr:pic>
    <xdr:clientData/>
  </xdr:twoCellAnchor>
  <xdr:twoCellAnchor editAs="oneCell">
    <xdr:from>
      <xdr:col>0</xdr:col>
      <xdr:colOff>0</xdr:colOff>
      <xdr:row>220</xdr:row>
      <xdr:rowOff>177300</xdr:rowOff>
    </xdr:from>
    <xdr:to>
      <xdr:col>14</xdr:col>
      <xdr:colOff>332054</xdr:colOff>
      <xdr:row>232</xdr:row>
      <xdr:rowOff>85617</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brightnessContrast contrast="20000"/>
                  </a14:imgEffect>
                </a14:imgLayer>
              </a14:imgProps>
            </a:ext>
          </a:extLst>
        </a:blip>
        <a:srcRect l="14623" t="30357" r="2678" b="5210"/>
        <a:stretch/>
      </xdr:blipFill>
      <xdr:spPr>
        <a:xfrm>
          <a:off x="0" y="57263087"/>
          <a:ext cx="4519146" cy="2209301"/>
        </a:xfrm>
        <a:prstGeom prst="rect">
          <a:avLst/>
        </a:prstGeom>
      </xdr:spPr>
    </xdr:pic>
    <xdr:clientData/>
  </xdr:twoCellAnchor>
  <xdr:twoCellAnchor editAs="oneCell">
    <xdr:from>
      <xdr:col>1</xdr:col>
      <xdr:colOff>22898</xdr:colOff>
      <xdr:row>37</xdr:row>
      <xdr:rowOff>107950</xdr:rowOff>
    </xdr:from>
    <xdr:to>
      <xdr:col>14</xdr:col>
      <xdr:colOff>142875</xdr:colOff>
      <xdr:row>49</xdr:row>
      <xdr:rowOff>152878</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rotWithShape="1">
        <a:blip xmlns:r="http://schemas.openxmlformats.org/officeDocument/2006/relationships" r:embed="rId5"/>
        <a:srcRect l="25100" t="28245" r="24434" b="19697"/>
        <a:stretch/>
      </xdr:blipFill>
      <xdr:spPr>
        <a:xfrm>
          <a:off x="280073" y="7023100"/>
          <a:ext cx="4063327" cy="2330927"/>
        </a:xfrm>
        <a:prstGeom prst="rect">
          <a:avLst/>
        </a:prstGeom>
      </xdr:spPr>
    </xdr:pic>
    <xdr:clientData/>
  </xdr:twoCellAnchor>
  <xdr:twoCellAnchor editAs="oneCell">
    <xdr:from>
      <xdr:col>1</xdr:col>
      <xdr:colOff>38100</xdr:colOff>
      <xdr:row>87</xdr:row>
      <xdr:rowOff>131642</xdr:rowOff>
    </xdr:from>
    <xdr:to>
      <xdr:col>14</xdr:col>
      <xdr:colOff>0</xdr:colOff>
      <xdr:row>95</xdr:row>
      <xdr:rowOff>152256</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6"/>
        <a:stretch>
          <a:fillRect/>
        </a:stretch>
      </xdr:blipFill>
      <xdr:spPr>
        <a:xfrm>
          <a:off x="295275" y="16171742"/>
          <a:ext cx="3905250" cy="1544614"/>
        </a:xfrm>
        <a:prstGeom prst="rect">
          <a:avLst/>
        </a:prstGeom>
      </xdr:spPr>
    </xdr:pic>
    <xdr:clientData/>
  </xdr:twoCellAnchor>
  <xdr:twoCellAnchor editAs="oneCell">
    <xdr:from>
      <xdr:col>1</xdr:col>
      <xdr:colOff>104775</xdr:colOff>
      <xdr:row>112</xdr:row>
      <xdr:rowOff>57150</xdr:rowOff>
    </xdr:from>
    <xdr:to>
      <xdr:col>11</xdr:col>
      <xdr:colOff>11831</xdr:colOff>
      <xdr:row>120</xdr:row>
      <xdr:rowOff>36999</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7"/>
        <a:stretch>
          <a:fillRect/>
        </a:stretch>
      </xdr:blipFill>
      <xdr:spPr>
        <a:xfrm>
          <a:off x="361950" y="20669250"/>
          <a:ext cx="3020074" cy="150384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4</xdr:col>
      <xdr:colOff>47625</xdr:colOff>
      <xdr:row>261</xdr:row>
      <xdr:rowOff>9525</xdr:rowOff>
    </xdr:from>
    <xdr:ext cx="1447639" cy="35246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2752725" y="51663600"/>
              <a:ext cx="144763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id-ID" sz="1100" b="0" i="1">
                            <a:latin typeface="Cambria Math" panose="02040503050406030204" pitchFamily="18" charset="0"/>
                          </a:rPr>
                          <m:t>(</m:t>
                        </m:r>
                        <m:r>
                          <a:rPr lang="id-ID" sz="1100" b="0" i="1">
                            <a:latin typeface="Cambria Math" panose="02040503050406030204" pitchFamily="18" charset="0"/>
                          </a:rPr>
                          <m:t>𝑇𝑥</m:t>
                        </m:r>
                        <m:r>
                          <a:rPr lang="id-ID" sz="1100" b="0" i="1">
                            <a:latin typeface="Cambria Math" panose="02040503050406030204" pitchFamily="18" charset="0"/>
                          </a:rPr>
                          <m:t> −</m:t>
                        </m:r>
                        <m:r>
                          <a:rPr lang="id-ID" sz="1100" b="0" i="1">
                            <a:latin typeface="Cambria Math" panose="02040503050406030204" pitchFamily="18" charset="0"/>
                          </a:rPr>
                          <m:t>𝑥</m:t>
                        </m:r>
                        <m:r>
                          <a:rPr lang="id-ID" sz="1100" b="0" i="1">
                            <a:latin typeface="Cambria Math" panose="02040503050406030204" pitchFamily="18" charset="0"/>
                          </a:rPr>
                          <m:t>1)</m:t>
                        </m:r>
                      </m:num>
                      <m:den>
                        <m:r>
                          <a:rPr lang="id-ID" sz="1100" b="0" i="1">
                            <a:latin typeface="Cambria Math" panose="02040503050406030204" pitchFamily="18" charset="0"/>
                          </a:rPr>
                          <m:t>(</m:t>
                        </m:r>
                        <m:r>
                          <a:rPr lang="id-ID" sz="1100" b="0" i="1">
                            <a:latin typeface="Cambria Math" panose="02040503050406030204" pitchFamily="18" charset="0"/>
                          </a:rPr>
                          <m:t>𝑥</m:t>
                        </m:r>
                        <m:r>
                          <a:rPr lang="id-ID" sz="1100" b="0" i="1">
                            <a:latin typeface="Cambria Math" panose="02040503050406030204" pitchFamily="18" charset="0"/>
                          </a:rPr>
                          <m:t>3−</m:t>
                        </m:r>
                        <m:r>
                          <a:rPr lang="id-ID" sz="1100" b="0" i="1">
                            <a:latin typeface="Cambria Math" panose="02040503050406030204" pitchFamily="18" charset="0"/>
                          </a:rPr>
                          <m:t>𝑥</m:t>
                        </m:r>
                        <m:r>
                          <a:rPr lang="id-ID" sz="1100" b="0" i="1">
                            <a:latin typeface="Cambria Math" panose="02040503050406030204" pitchFamily="18" charset="0"/>
                          </a:rPr>
                          <m:t>1)</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m:t>
                        </m:r>
                        <m:r>
                          <a:rPr lang="id-ID" sz="1100" b="0" i="1">
                            <a:latin typeface="Cambria Math" panose="02040503050406030204" pitchFamily="18" charset="0"/>
                          </a:rPr>
                          <m:t>𝑦</m:t>
                        </m:r>
                        <m:r>
                          <a:rPr lang="id-ID" sz="1100" b="0" i="1">
                            <a:latin typeface="Cambria Math" panose="02040503050406030204" pitchFamily="18" charset="0"/>
                          </a:rPr>
                          <m:t>2−</m:t>
                        </m:r>
                        <m:r>
                          <a:rPr lang="id-ID" sz="1100" b="0" i="1">
                            <a:latin typeface="Cambria Math" panose="02040503050406030204" pitchFamily="18" charset="0"/>
                          </a:rPr>
                          <m:t>𝑦</m:t>
                        </m:r>
                        <m:r>
                          <a:rPr lang="id-ID" sz="1100" b="0" i="1">
                            <a:latin typeface="Cambria Math" panose="02040503050406030204" pitchFamily="18" charset="0"/>
                          </a:rPr>
                          <m:t>1)</m:t>
                        </m:r>
                      </m:num>
                      <m:den>
                        <m:r>
                          <a:rPr lang="en-US" sz="1100" b="0" i="1">
                            <a:latin typeface="Cambria Math" panose="02040503050406030204" pitchFamily="18" charset="0"/>
                          </a:rPr>
                          <m:t>(</m:t>
                        </m:r>
                        <m:r>
                          <a:rPr lang="id-ID" sz="1100" b="0" i="1">
                            <a:latin typeface="Cambria Math" panose="02040503050406030204" pitchFamily="18" charset="0"/>
                          </a:rPr>
                          <m:t>𝑦</m:t>
                        </m:r>
                        <m:r>
                          <a:rPr lang="id-ID" sz="1100" b="0" i="1">
                            <a:latin typeface="Cambria Math" panose="02040503050406030204" pitchFamily="18" charset="0"/>
                          </a:rPr>
                          <m:t>3−</m:t>
                        </m:r>
                        <m:r>
                          <a:rPr lang="id-ID" sz="1100" b="0" i="1">
                            <a:latin typeface="Cambria Math" panose="02040503050406030204" pitchFamily="18" charset="0"/>
                          </a:rPr>
                          <m:t>𝑦</m:t>
                        </m:r>
                        <m:r>
                          <a:rPr lang="id-ID" sz="1100" b="0" i="1">
                            <a:latin typeface="Cambria Math" panose="02040503050406030204" pitchFamily="18" charset="0"/>
                          </a:rPr>
                          <m:t>1)</m:t>
                        </m:r>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47F18599-7818-463C-BF2B-125DC9905522}"/>
                </a:ext>
              </a:extLst>
            </xdr:cNvPr>
            <xdr:cNvSpPr txBox="1"/>
          </xdr:nvSpPr>
          <xdr:spPr>
            <a:xfrm>
              <a:off x="2752725" y="51663600"/>
              <a:ext cx="144763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id-ID" sz="1100" b="0" i="0">
                  <a:latin typeface="Cambria Math" panose="02040503050406030204" pitchFamily="18" charset="0"/>
                </a:rPr>
                <a:t>(𝑇𝑥 −𝑥1)</a:t>
              </a:r>
              <a:r>
                <a:rPr lang="en-US" sz="1100" b="0" i="0">
                  <a:latin typeface="Cambria Math" panose="02040503050406030204" pitchFamily="18" charset="0"/>
                </a:rPr>
                <a:t>)/(</a:t>
              </a:r>
              <a:r>
                <a:rPr lang="id-ID" sz="1100" b="0" i="0">
                  <a:latin typeface="Cambria Math" panose="02040503050406030204" pitchFamily="18" charset="0"/>
                </a:rPr>
                <a:t>(𝑥3−𝑥1)</a:t>
              </a:r>
              <a:r>
                <a:rPr lang="en-US" sz="1100" b="0" i="0">
                  <a:latin typeface="Cambria Math" panose="02040503050406030204" pitchFamily="18" charset="0"/>
                </a:rPr>
                <a:t>)=((</a:t>
              </a:r>
              <a:r>
                <a:rPr lang="id-ID" sz="1100" b="0" i="0">
                  <a:latin typeface="Cambria Math" panose="02040503050406030204" pitchFamily="18" charset="0"/>
                </a:rPr>
                <a:t>𝑦2−𝑦1)</a:t>
              </a:r>
              <a:r>
                <a:rPr lang="en-US" sz="1100" b="0" i="0">
                  <a:latin typeface="Cambria Math" panose="02040503050406030204" pitchFamily="18" charset="0"/>
                </a:rPr>
                <a:t>)/((</a:t>
              </a:r>
              <a:r>
                <a:rPr lang="id-ID" sz="1100" b="0" i="0">
                  <a:latin typeface="Cambria Math" panose="02040503050406030204" pitchFamily="18" charset="0"/>
                </a:rPr>
                <a:t>𝑦3−𝑦1)</a:t>
              </a:r>
              <a:r>
                <a:rPr lang="en-US" sz="1100" b="0" i="0">
                  <a:latin typeface="Cambria Math" panose="02040503050406030204" pitchFamily="18" charset="0"/>
                </a:rPr>
                <a:t>)</a:t>
              </a:r>
              <a:endParaRPr lang="en-US" sz="1100"/>
            </a:p>
          </xdr:txBody>
        </xdr:sp>
      </mc:Fallback>
    </mc:AlternateContent>
    <xdr:clientData/>
  </xdr:oneCellAnchor>
  <xdr:oneCellAnchor>
    <xdr:from>
      <xdr:col>81</xdr:col>
      <xdr:colOff>47626</xdr:colOff>
      <xdr:row>179</xdr:row>
      <xdr:rowOff>47624</xdr:rowOff>
    </xdr:from>
    <xdr:ext cx="3928948" cy="2981325"/>
    <xdr:pic>
      <xdr:nvPicPr>
        <xdr:cNvPr id="3" name="Picture 1108">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r="12732"/>
        <a:stretch>
          <a:fillRect/>
        </a:stretch>
      </xdr:blipFill>
      <xdr:spPr bwMode="auto">
        <a:xfrm>
          <a:off x="55902226" y="35823524"/>
          <a:ext cx="3928948" cy="2981325"/>
        </a:xfrm>
        <a:prstGeom prst="rect">
          <a:avLst/>
        </a:prstGeom>
        <a:noFill/>
        <a:ln w="9525">
          <a:noFill/>
          <a:miter lim="800000"/>
          <a:headEnd/>
          <a:tailEnd/>
        </a:ln>
      </xdr:spPr>
    </xdr:pic>
    <xdr:clientData/>
  </xdr:oneCellAnchor>
  <xdr:oneCellAnchor>
    <xdr:from>
      <xdr:col>101</xdr:col>
      <xdr:colOff>47626</xdr:colOff>
      <xdr:row>179</xdr:row>
      <xdr:rowOff>47624</xdr:rowOff>
    </xdr:from>
    <xdr:ext cx="3928948" cy="2981325"/>
    <xdr:pic>
      <xdr:nvPicPr>
        <xdr:cNvPr id="4" name="Picture 1108">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r="12732"/>
        <a:stretch>
          <a:fillRect/>
        </a:stretch>
      </xdr:blipFill>
      <xdr:spPr bwMode="auto">
        <a:xfrm>
          <a:off x="69618226" y="35823524"/>
          <a:ext cx="3928948" cy="2981325"/>
        </a:xfrm>
        <a:prstGeom prst="rect">
          <a:avLst/>
        </a:prstGeom>
        <a:noFill/>
        <a:ln w="9525">
          <a:noFill/>
          <a:miter lim="800000"/>
          <a:headEnd/>
          <a:tailEnd/>
        </a:ln>
      </xdr:spPr>
    </xdr:pic>
    <xdr:clientData/>
  </xdr:oneCellAnchor>
  <xdr:oneCellAnchor>
    <xdr:from>
      <xdr:col>101</xdr:col>
      <xdr:colOff>47626</xdr:colOff>
      <xdr:row>179</xdr:row>
      <xdr:rowOff>47624</xdr:rowOff>
    </xdr:from>
    <xdr:ext cx="3928948" cy="2981325"/>
    <xdr:pic>
      <xdr:nvPicPr>
        <xdr:cNvPr id="5" name="Picture 1108">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cstate="print"/>
        <a:srcRect r="12732"/>
        <a:stretch>
          <a:fillRect/>
        </a:stretch>
      </xdr:blipFill>
      <xdr:spPr bwMode="auto">
        <a:xfrm>
          <a:off x="69618226" y="35823524"/>
          <a:ext cx="3928948" cy="2981325"/>
        </a:xfrm>
        <a:prstGeom prst="rect">
          <a:avLst/>
        </a:prstGeom>
        <a:noFill/>
        <a:ln w="9525">
          <a:noFill/>
          <a:miter lim="800000"/>
          <a:headEnd/>
          <a:tailEnd/>
        </a:ln>
      </xdr:spPr>
    </xdr:pic>
    <xdr:clientData/>
  </xdr:oneCellAnchor>
  <xdr:oneCellAnchor>
    <xdr:from>
      <xdr:col>122</xdr:col>
      <xdr:colOff>47626</xdr:colOff>
      <xdr:row>179</xdr:row>
      <xdr:rowOff>47624</xdr:rowOff>
    </xdr:from>
    <xdr:ext cx="3928948" cy="2981325"/>
    <xdr:pic>
      <xdr:nvPicPr>
        <xdr:cNvPr id="6" name="Picture 1108">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cstate="print"/>
        <a:srcRect r="12732"/>
        <a:stretch>
          <a:fillRect/>
        </a:stretch>
      </xdr:blipFill>
      <xdr:spPr bwMode="auto">
        <a:xfrm>
          <a:off x="84020026" y="35823524"/>
          <a:ext cx="3928948" cy="2981325"/>
        </a:xfrm>
        <a:prstGeom prst="rect">
          <a:avLst/>
        </a:prstGeom>
        <a:noFill/>
        <a:ln w="9525">
          <a:noFill/>
          <a:miter lim="800000"/>
          <a:headEnd/>
          <a:tailEnd/>
        </a:ln>
      </xdr:spPr>
    </xdr:pic>
    <xdr:clientData/>
  </xdr:oneCellAnchor>
  <xdr:oneCellAnchor>
    <xdr:from>
      <xdr:col>122</xdr:col>
      <xdr:colOff>47626</xdr:colOff>
      <xdr:row>179</xdr:row>
      <xdr:rowOff>47624</xdr:rowOff>
    </xdr:from>
    <xdr:ext cx="3928948" cy="2981325"/>
    <xdr:pic>
      <xdr:nvPicPr>
        <xdr:cNvPr id="7" name="Picture 1108">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srcRect r="12732"/>
        <a:stretch>
          <a:fillRect/>
        </a:stretch>
      </xdr:blipFill>
      <xdr:spPr bwMode="auto">
        <a:xfrm>
          <a:off x="84020026" y="35823524"/>
          <a:ext cx="3928948" cy="2981325"/>
        </a:xfrm>
        <a:prstGeom prst="rect">
          <a:avLst/>
        </a:prstGeom>
        <a:noFill/>
        <a:ln w="9525">
          <a:noFill/>
          <a:miter lim="800000"/>
          <a:headEnd/>
          <a:tailEnd/>
        </a:ln>
      </xdr:spPr>
    </xdr:pic>
    <xdr:clientData/>
  </xdr:oneCellAnchor>
  <xdr:twoCellAnchor>
    <xdr:from>
      <xdr:col>0</xdr:col>
      <xdr:colOff>11205</xdr:colOff>
      <xdr:row>178</xdr:row>
      <xdr:rowOff>89647</xdr:rowOff>
    </xdr:from>
    <xdr:to>
      <xdr:col>6</xdr:col>
      <xdr:colOff>367477</xdr:colOff>
      <xdr:row>193</xdr:row>
      <xdr:rowOff>117587</xdr:rowOff>
    </xdr:to>
    <xdr:pic>
      <xdr:nvPicPr>
        <xdr:cNvPr id="8" name="Pictur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2"/>
        <a:stretch>
          <a:fillRect/>
        </a:stretch>
      </xdr:blipFill>
      <xdr:spPr>
        <a:xfrm>
          <a:off x="11205" y="35675047"/>
          <a:ext cx="4537747" cy="2885440"/>
        </a:xfrm>
        <a:prstGeom prst="rect">
          <a:avLst/>
        </a:prstGeom>
        <a:noFill/>
        <a:ln w="9525">
          <a:noFill/>
        </a:ln>
      </xdr:spPr>
    </xdr:pic>
    <xdr:clientData/>
  </xdr:twoCellAnchor>
  <xdr:twoCellAnchor>
    <xdr:from>
      <xdr:col>81</xdr:col>
      <xdr:colOff>11205</xdr:colOff>
      <xdr:row>178</xdr:row>
      <xdr:rowOff>89647</xdr:rowOff>
    </xdr:from>
    <xdr:to>
      <xdr:col>87</xdr:col>
      <xdr:colOff>367477</xdr:colOff>
      <xdr:row>193</xdr:row>
      <xdr:rowOff>117587</xdr:rowOff>
    </xdr:to>
    <xdr:pic>
      <xdr:nvPicPr>
        <xdr:cNvPr id="9" name="Pictur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2"/>
        <a:stretch>
          <a:fillRect/>
        </a:stretch>
      </xdr:blipFill>
      <xdr:spPr>
        <a:xfrm>
          <a:off x="55865805" y="35675047"/>
          <a:ext cx="4471072" cy="2885440"/>
        </a:xfrm>
        <a:prstGeom prst="rect">
          <a:avLst/>
        </a:prstGeom>
        <a:noFill/>
        <a:ln w="9525">
          <a:noFill/>
        </a:ln>
      </xdr:spPr>
    </xdr:pic>
    <xdr:clientData/>
  </xdr:twoCellAnchor>
  <xdr:twoCellAnchor>
    <xdr:from>
      <xdr:col>101</xdr:col>
      <xdr:colOff>11205</xdr:colOff>
      <xdr:row>178</xdr:row>
      <xdr:rowOff>89647</xdr:rowOff>
    </xdr:from>
    <xdr:to>
      <xdr:col>107</xdr:col>
      <xdr:colOff>367477</xdr:colOff>
      <xdr:row>193</xdr:row>
      <xdr:rowOff>117587</xdr:rowOff>
    </xdr:to>
    <xdr:pic>
      <xdr:nvPicPr>
        <xdr:cNvPr id="10" name="Pictur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2"/>
        <a:stretch>
          <a:fillRect/>
        </a:stretch>
      </xdr:blipFill>
      <xdr:spPr>
        <a:xfrm>
          <a:off x="69581805" y="35675047"/>
          <a:ext cx="4471072" cy="2885440"/>
        </a:xfrm>
        <a:prstGeom prst="rect">
          <a:avLst/>
        </a:prstGeom>
        <a:noFill/>
        <a:ln w="9525">
          <a:noFill/>
        </a:ln>
      </xdr:spPr>
    </xdr:pic>
    <xdr:clientData/>
  </xdr:twoCellAnchor>
  <xdr:oneCellAnchor>
    <xdr:from>
      <xdr:col>101</xdr:col>
      <xdr:colOff>47626</xdr:colOff>
      <xdr:row>179</xdr:row>
      <xdr:rowOff>47624</xdr:rowOff>
    </xdr:from>
    <xdr:ext cx="3928948" cy="2981325"/>
    <xdr:pic>
      <xdr:nvPicPr>
        <xdr:cNvPr id="11" name="Picture 1108">
          <a:extLst>
            <a:ext uri="{FF2B5EF4-FFF2-40B4-BE49-F238E27FC236}">
              <a16:creationId xmlns:a16="http://schemas.microsoft.com/office/drawing/2014/main" id="{00000000-0008-0000-0900-00000B000000}"/>
            </a:ext>
          </a:extLst>
        </xdr:cNvPr>
        <xdr:cNvPicPr>
          <a:picLocks noChangeAspect="1" noChangeArrowheads="1"/>
        </xdr:cNvPicPr>
      </xdr:nvPicPr>
      <xdr:blipFill>
        <a:blip xmlns:r="http://schemas.openxmlformats.org/officeDocument/2006/relationships" r:embed="rId1" cstate="print"/>
        <a:srcRect r="12732"/>
        <a:stretch>
          <a:fillRect/>
        </a:stretch>
      </xdr:blipFill>
      <xdr:spPr bwMode="auto">
        <a:xfrm>
          <a:off x="69618226" y="35823524"/>
          <a:ext cx="3928948" cy="2981325"/>
        </a:xfrm>
        <a:prstGeom prst="rect">
          <a:avLst/>
        </a:prstGeom>
        <a:noFill/>
        <a:ln w="9525">
          <a:noFill/>
          <a:miter lim="800000"/>
          <a:headEnd/>
          <a:tailEnd/>
        </a:ln>
      </xdr:spPr>
    </xdr:pic>
    <xdr:clientData/>
  </xdr:oneCellAnchor>
  <xdr:twoCellAnchor>
    <xdr:from>
      <xdr:col>101</xdr:col>
      <xdr:colOff>11205</xdr:colOff>
      <xdr:row>178</xdr:row>
      <xdr:rowOff>89647</xdr:rowOff>
    </xdr:from>
    <xdr:to>
      <xdr:col>107</xdr:col>
      <xdr:colOff>367477</xdr:colOff>
      <xdr:row>193</xdr:row>
      <xdr:rowOff>117587</xdr:rowOff>
    </xdr:to>
    <xdr:pic>
      <xdr:nvPicPr>
        <xdr:cNvPr id="12" name="Picture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2"/>
        <a:stretch>
          <a:fillRect/>
        </a:stretch>
      </xdr:blipFill>
      <xdr:spPr>
        <a:xfrm>
          <a:off x="69581805" y="35675047"/>
          <a:ext cx="4471072" cy="2885440"/>
        </a:xfrm>
        <a:prstGeom prst="rect">
          <a:avLst/>
        </a:prstGeom>
        <a:noFill/>
        <a:ln w="9525">
          <a:noFill/>
        </a:ln>
      </xdr:spPr>
    </xdr:pic>
    <xdr:clientData/>
  </xdr:twoCellAnchor>
  <xdr:twoCellAnchor editAs="oneCell">
    <xdr:from>
      <xdr:col>8</xdr:col>
      <xdr:colOff>62802</xdr:colOff>
      <xdr:row>47</xdr:row>
      <xdr:rowOff>31401</xdr:rowOff>
    </xdr:from>
    <xdr:to>
      <xdr:col>11</xdr:col>
      <xdr:colOff>234477</xdr:colOff>
      <xdr:row>50</xdr:row>
      <xdr:rowOff>157006</xdr:rowOff>
    </xdr:to>
    <xdr:pic>
      <xdr:nvPicPr>
        <xdr:cNvPr id="13" name="Pictur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3"/>
        <a:stretch>
          <a:fillRect/>
        </a:stretch>
      </xdr:blipFill>
      <xdr:spPr>
        <a:xfrm>
          <a:off x="5615877" y="9489726"/>
          <a:ext cx="2229075" cy="735205"/>
        </a:xfrm>
        <a:prstGeom prst="rect">
          <a:avLst/>
        </a:prstGeom>
      </xdr:spPr>
    </xdr:pic>
    <xdr:clientData/>
  </xdr:twoCellAnchor>
  <xdr:oneCellAnchor>
    <xdr:from>
      <xdr:col>1</xdr:col>
      <xdr:colOff>31750</xdr:colOff>
      <xdr:row>21</xdr:row>
      <xdr:rowOff>25400</xdr:rowOff>
    </xdr:from>
    <xdr:ext cx="880754" cy="316882"/>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717550" y="4264025"/>
              <a:ext cx="880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rPr>
                      <m:t>(</m:t>
                    </m:r>
                    <m:r>
                      <a:rPr lang="en-US" sz="1100" b="0" i="1">
                        <a:latin typeface="Cambria Math" panose="02040503050406030204" pitchFamily="18" charset="0"/>
                      </a:rPr>
                      <m:t>𝐿𝑝𝑝</m:t>
                    </m:r>
                    <m:r>
                      <a:rPr lang="en-US" sz="1100" b="0" i="1">
                        <a:latin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𝐿𝑤𝑙</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4" name="TextBox 13">
              <a:extLst>
                <a:ext uri="{FF2B5EF4-FFF2-40B4-BE49-F238E27FC236}">
                  <a16:creationId xmlns:a16="http://schemas.microsoft.com/office/drawing/2014/main" id="{AA66E695-6FCF-49F3-BF6A-AF07F44FC961}"/>
                </a:ext>
              </a:extLst>
            </xdr:cNvPr>
            <xdr:cNvSpPr txBox="1"/>
          </xdr:nvSpPr>
          <xdr:spPr>
            <a:xfrm>
              <a:off x="717550" y="4264025"/>
              <a:ext cx="880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1/2(𝐿𝑝𝑝+</a:t>
              </a:r>
              <a:r>
                <a:rPr lang="en-US" sz="1100" b="0" i="0">
                  <a:latin typeface="Cambria Math" panose="02040503050406030204" pitchFamily="18" charset="0"/>
                  <a:ea typeface="Cambria Math" panose="02040503050406030204" pitchFamily="18" charset="0"/>
                </a:rPr>
                <a:t>𝐿𝑤𝑙)</a:t>
              </a:r>
              <a:endParaRPr lang="en-US" sz="1100"/>
            </a:p>
          </xdr:txBody>
        </xdr:sp>
      </mc:Fallback>
    </mc:AlternateContent>
    <xdr:clientData/>
  </xdr:oneCellAnchor>
  <xdr:oneCellAnchor>
    <xdr:from>
      <xdr:col>1</xdr:col>
      <xdr:colOff>69850</xdr:colOff>
      <xdr:row>23</xdr:row>
      <xdr:rowOff>25400</xdr:rowOff>
    </xdr:from>
    <xdr:ext cx="542649" cy="36644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755650" y="4664075"/>
              <a:ext cx="542649" cy="366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𝑉𝑠</m:t>
                        </m:r>
                      </m:num>
                      <m:den>
                        <m:rad>
                          <m:radPr>
                            <m:degHide m:val="on"/>
                            <m:ctrlPr>
                              <a:rPr lang="en-US" sz="1100" b="0" i="1">
                                <a:latin typeface="Cambria Math" panose="02040503050406030204" pitchFamily="18" charset="0"/>
                                <a:ea typeface="Cambria Math" panose="02040503050406030204" pitchFamily="18" charset="0"/>
                              </a:rPr>
                            </m:ctrlPr>
                          </m:radPr>
                          <m:deg/>
                          <m:e>
                            <m:r>
                              <a:rPr lang="en-US" sz="1100" b="0" i="1">
                                <a:latin typeface="Cambria Math" panose="02040503050406030204" pitchFamily="18" charset="0"/>
                                <a:ea typeface="Cambria Math" panose="02040503050406030204" pitchFamily="18" charset="0"/>
                              </a:rPr>
                              <m:t>𝐿</m:t>
                            </m:r>
                          </m:e>
                        </m:ra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𝐷𝑖𝑠𝑝</m:t>
                        </m:r>
                      </m:den>
                    </m:f>
                  </m:oMath>
                </m:oMathPara>
              </a14:m>
              <a:endParaRPr lang="en-US" sz="1100"/>
            </a:p>
          </xdr:txBody>
        </xdr:sp>
      </mc:Choice>
      <mc:Fallback xmlns="">
        <xdr:sp macro="" textlink="">
          <xdr:nvSpPr>
            <xdr:cNvPr id="15" name="TextBox 14">
              <a:extLst>
                <a:ext uri="{FF2B5EF4-FFF2-40B4-BE49-F238E27FC236}">
                  <a16:creationId xmlns:a16="http://schemas.microsoft.com/office/drawing/2014/main" id="{0232D76C-2FE1-42DB-81A5-EED8C2E1CAB0}"/>
                </a:ext>
              </a:extLst>
            </xdr:cNvPr>
            <xdr:cNvSpPr txBox="1"/>
          </xdr:nvSpPr>
          <xdr:spPr>
            <a:xfrm>
              <a:off x="755650" y="4664075"/>
              <a:ext cx="542649" cy="366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𝑉𝑠/(</a:t>
              </a:r>
              <a:r>
                <a:rPr lang="en-US" sz="1100" b="0" i="0">
                  <a:latin typeface="Cambria Math" panose="02040503050406030204" pitchFamily="18" charset="0"/>
                  <a:ea typeface="Cambria Math" panose="02040503050406030204" pitchFamily="18" charset="0"/>
                </a:rPr>
                <a:t>√𝐿.𝐷𝑖𝑠𝑝)</a:t>
              </a:r>
              <a:endParaRPr lang="en-US" sz="1100"/>
            </a:p>
          </xdr:txBody>
        </xdr:sp>
      </mc:Fallback>
    </mc:AlternateContent>
    <xdr:clientData/>
  </xdr:oneCellAnchor>
  <xdr:oneCellAnchor>
    <xdr:from>
      <xdr:col>1</xdr:col>
      <xdr:colOff>907</xdr:colOff>
      <xdr:row>25</xdr:row>
      <xdr:rowOff>26307</xdr:rowOff>
    </xdr:from>
    <xdr:ext cx="829128" cy="172227"/>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686707" y="5045982"/>
              <a:ext cx="82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𝐶𝑚</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E0AED43A-3908-41ED-BC07-DFA4FD754844}"/>
                </a:ext>
              </a:extLst>
            </xdr:cNvPr>
            <xdr:cNvSpPr txBox="1"/>
          </xdr:nvSpPr>
          <xdr:spPr>
            <a:xfrm>
              <a:off x="686707" y="5045982"/>
              <a:ext cx="82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𝐶𝑚</a:t>
              </a:r>
              <a:r>
                <a:rPr lang="en-US" sz="1100" b="0" i="0">
                  <a:latin typeface="Cambria Math" panose="02040503050406030204" pitchFamily="18" charset="0"/>
                  <a:ea typeface="Cambria Math" panose="02040503050406030204" pitchFamily="18" charset="0"/>
                </a:rPr>
                <a:t>×𝐵×𝑇</a:t>
              </a:r>
              <a:endParaRPr lang="en-US" sz="1100"/>
            </a:p>
          </xdr:txBody>
        </xdr:sp>
      </mc:Fallback>
    </mc:AlternateContent>
    <xdr:clientData/>
  </xdr:oneCellAnchor>
  <xdr:oneCellAnchor>
    <xdr:from>
      <xdr:col>1</xdr:col>
      <xdr:colOff>44450</xdr:colOff>
      <xdr:row>26</xdr:row>
      <xdr:rowOff>30480</xdr:rowOff>
    </xdr:from>
    <xdr:ext cx="1197610" cy="17222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0000000-0008-0000-0900-000011000000}"/>
                </a:ext>
              </a:extLst>
            </xdr:cNvPr>
            <xdr:cNvSpPr txBox="1"/>
          </xdr:nvSpPr>
          <xdr:spPr>
            <a:xfrm>
              <a:off x="730250" y="5250180"/>
              <a:ext cx="11976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𝐶𝑏</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𝐿𝑑𝑖𝑠𝑝</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m:t>
                    </m:r>
                  </m:oMath>
                </m:oMathPara>
              </a14:m>
              <a:endParaRPr lang="en-US" sz="1100"/>
            </a:p>
          </xdr:txBody>
        </xdr:sp>
      </mc:Choice>
      <mc:Fallback xmlns="">
        <xdr:sp macro="" textlink="">
          <xdr:nvSpPr>
            <xdr:cNvPr id="17" name="TextBox 16">
              <a:extLst>
                <a:ext uri="{FF2B5EF4-FFF2-40B4-BE49-F238E27FC236}">
                  <a16:creationId xmlns:a16="http://schemas.microsoft.com/office/drawing/2014/main" id="{5E920A55-2C65-480C-A323-46759E083871}"/>
                </a:ext>
              </a:extLst>
            </xdr:cNvPr>
            <xdr:cNvSpPr txBox="1"/>
          </xdr:nvSpPr>
          <xdr:spPr>
            <a:xfrm>
              <a:off x="730250" y="5250180"/>
              <a:ext cx="11976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𝐶𝑏</a:t>
              </a:r>
              <a:r>
                <a:rPr lang="en-US" sz="1100" b="0" i="0">
                  <a:latin typeface="Cambria Math" panose="02040503050406030204" pitchFamily="18" charset="0"/>
                  <a:ea typeface="Cambria Math" panose="02040503050406030204" pitchFamily="18" charset="0"/>
                </a:rPr>
                <a:t>×𝐿𝑑𝑖𝑠𝑝×𝐵×𝑇</a:t>
              </a:r>
              <a:endParaRPr lang="en-US" sz="1100"/>
            </a:p>
          </xdr:txBody>
        </xdr:sp>
      </mc:Fallback>
    </mc:AlternateContent>
    <xdr:clientData/>
  </xdr:oneCellAnchor>
  <xdr:oneCellAnchor>
    <xdr:from>
      <xdr:col>1</xdr:col>
      <xdr:colOff>69850</xdr:colOff>
      <xdr:row>27</xdr:row>
      <xdr:rowOff>25400</xdr:rowOff>
    </xdr:from>
    <xdr:ext cx="1149545" cy="172227"/>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755650" y="5464175"/>
              <a:ext cx="11495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r>
                      <a:rPr lang="en-US" sz="1100" b="0" i="1">
                        <a:latin typeface="Cambria Math" panose="02040503050406030204" pitchFamily="18" charset="0"/>
                      </a:rPr>
                      <m:t>.</m:t>
                    </m:r>
                    <m:r>
                      <a:rPr lang="en-US" sz="1100" b="0" i="1">
                        <a:latin typeface="Cambria Math" panose="02040503050406030204" pitchFamily="18" charset="0"/>
                      </a:rPr>
                      <m:t>𝑑𝑖𝑠𝑝</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𝑎𝑖𝑟</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𝑙𝑎𝑢𝑡</m:t>
                    </m:r>
                  </m:oMath>
                </m:oMathPara>
              </a14:m>
              <a:endParaRPr lang="en-US" sz="1100"/>
            </a:p>
          </xdr:txBody>
        </xdr:sp>
      </mc:Choice>
      <mc:Fallback xmlns="">
        <xdr:sp macro="" textlink="">
          <xdr:nvSpPr>
            <xdr:cNvPr id="18" name="TextBox 17">
              <a:extLst>
                <a:ext uri="{FF2B5EF4-FFF2-40B4-BE49-F238E27FC236}">
                  <a16:creationId xmlns:a16="http://schemas.microsoft.com/office/drawing/2014/main" id="{06B758B4-2C38-423E-8CAF-9B54483AA7B0}"/>
                </a:ext>
              </a:extLst>
            </xdr:cNvPr>
            <xdr:cNvSpPr txBox="1"/>
          </xdr:nvSpPr>
          <xdr:spPr>
            <a:xfrm>
              <a:off x="755650" y="5464175"/>
              <a:ext cx="11495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𝑉.𝑑𝑖𝑠𝑝</a:t>
              </a:r>
              <a:r>
                <a:rPr lang="en-US" sz="1100" b="0" i="0">
                  <a:latin typeface="Cambria Math" panose="02040503050406030204" pitchFamily="18" charset="0"/>
                  <a:ea typeface="Cambria Math" panose="02040503050406030204" pitchFamily="18" charset="0"/>
                </a:rPr>
                <a:t>×𝜌 𝑎𝑖𝑟 𝑙𝑎𝑢𝑡</a:t>
              </a:r>
              <a:endParaRPr lang="en-US" sz="1100"/>
            </a:p>
          </xdr:txBody>
        </xdr:sp>
      </mc:Fallback>
    </mc:AlternateContent>
    <xdr:clientData/>
  </xdr:oneCellAnchor>
  <xdr:oneCellAnchor>
    <xdr:from>
      <xdr:col>1</xdr:col>
      <xdr:colOff>44450</xdr:colOff>
      <xdr:row>28</xdr:row>
      <xdr:rowOff>19210</xdr:rowOff>
    </xdr:from>
    <xdr:ext cx="2004626" cy="172227"/>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730250" y="5658010"/>
              <a:ext cx="200462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𝐿𝑝𝑝</m:t>
                    </m:r>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𝐶𝑏</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1,7×</m:t>
                        </m:r>
                        <m:r>
                          <a:rPr lang="en-US" sz="1100" b="0" i="1">
                            <a:latin typeface="Cambria Math" panose="02040503050406030204" pitchFamily="18" charset="0"/>
                            <a:ea typeface="Cambria Math" panose="02040503050406030204" pitchFamily="18" charset="0"/>
                          </a:rPr>
                          <m:t>𝑇</m:t>
                        </m:r>
                      </m:e>
                    </m:d>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9" name="TextBox 18">
              <a:extLst>
                <a:ext uri="{FF2B5EF4-FFF2-40B4-BE49-F238E27FC236}">
                  <a16:creationId xmlns:a16="http://schemas.microsoft.com/office/drawing/2014/main" id="{D5329676-1434-4B3E-A8BC-D51C3E5DDE52}"/>
                </a:ext>
              </a:extLst>
            </xdr:cNvPr>
            <xdr:cNvSpPr txBox="1"/>
          </xdr:nvSpPr>
          <xdr:spPr>
            <a:xfrm>
              <a:off x="730250" y="5658010"/>
              <a:ext cx="200462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ea typeface="Cambria Math" panose="02040503050406030204" pitchFamily="18" charset="0"/>
                </a:rPr>
                <a:t>𝜌×𝐿𝑝𝑝((𝐶𝑏×𝐵)+(1,7×𝑇))</a:t>
              </a:r>
              <a:endParaRPr lang="en-US" sz="1100"/>
            </a:p>
          </xdr:txBody>
        </xdr:sp>
      </mc:Fallback>
    </mc:AlternateContent>
    <xdr:clientData/>
  </xdr:oneCellAnchor>
  <xdr:oneCellAnchor>
    <xdr:from>
      <xdr:col>1</xdr:col>
      <xdr:colOff>57150</xdr:colOff>
      <xdr:row>29</xdr:row>
      <xdr:rowOff>38100</xdr:rowOff>
    </xdr:from>
    <xdr:ext cx="653577" cy="315792"/>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742950" y="5876925"/>
              <a:ext cx="65357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19</m:t>
                    </m:r>
                    <m:sSup>
                      <m:sSupPr>
                        <m:ctrlPr>
                          <a:rPr lang="en-US" sz="1100" b="0" i="1">
                            <a:latin typeface="Cambria Math" panose="02040503050406030204" pitchFamily="18" charset="0"/>
                          </a:rPr>
                        </m:ctrlPr>
                      </m:sSupPr>
                      <m:e>
                        <m:r>
                          <a:rPr lang="en-US" sz="1100" b="0" i="1">
                            <a:latin typeface="Cambria Math" panose="02040503050406030204" pitchFamily="18" charset="0"/>
                          </a:rPr>
                          <m:t>(</m:t>
                        </m:r>
                        <m:r>
                          <a:rPr lang="en-US" sz="1100" b="0" i="1">
                            <a:latin typeface="Cambria Math" panose="02040503050406030204" pitchFamily="18" charset="0"/>
                          </a:rPr>
                          <m:t>𝐶𝑏</m:t>
                        </m:r>
                        <m:f>
                          <m:fPr>
                            <m:ctrlPr>
                              <a:rPr lang="en-US" sz="1100" b="0" i="1">
                                <a:latin typeface="Cambria Math" panose="02040503050406030204" pitchFamily="18" charset="0"/>
                              </a:rPr>
                            </m:ctrlPr>
                          </m:fPr>
                          <m:num>
                            <m:r>
                              <a:rPr lang="en-US" sz="1100" b="0" i="1">
                                <a:latin typeface="Cambria Math" panose="02040503050406030204" pitchFamily="18" charset="0"/>
                              </a:rPr>
                              <m:t>𝐵</m:t>
                            </m:r>
                          </m:num>
                          <m:den>
                            <m:r>
                              <a:rPr lang="en-US" sz="1100" b="0" i="1">
                                <a:latin typeface="Cambria Math" panose="02040503050406030204" pitchFamily="18" charset="0"/>
                              </a:rPr>
                              <m:t>𝐿</m:t>
                            </m:r>
                          </m:den>
                        </m:f>
                        <m:r>
                          <a:rPr lang="en-US" sz="1100" b="0" i="1">
                            <a:latin typeface="Cambria Math" panose="02040503050406030204" pitchFamily="18" charset="0"/>
                          </a:rPr>
                          <m:t>)</m:t>
                        </m:r>
                      </m:e>
                      <m:sup>
                        <m:r>
                          <a:rPr lang="en-US" sz="1100" b="0" i="1">
                            <a:latin typeface="Cambria Math" panose="02040503050406030204" pitchFamily="18" charset="0"/>
                          </a:rPr>
                          <m:t>2</m:t>
                        </m:r>
                      </m:sup>
                    </m:sSup>
                  </m:oMath>
                </m:oMathPara>
              </a14:m>
              <a:endParaRPr lang="en-US" sz="1100"/>
            </a:p>
          </xdr:txBody>
        </xdr:sp>
      </mc:Choice>
      <mc:Fallback xmlns="">
        <xdr:sp macro="" textlink="">
          <xdr:nvSpPr>
            <xdr:cNvPr id="20" name="TextBox 19">
              <a:extLst>
                <a:ext uri="{FF2B5EF4-FFF2-40B4-BE49-F238E27FC236}">
                  <a16:creationId xmlns:a16="http://schemas.microsoft.com/office/drawing/2014/main" id="{749D07D0-D964-4675-AAA4-E73B38C6DD66}"/>
                </a:ext>
              </a:extLst>
            </xdr:cNvPr>
            <xdr:cNvSpPr txBox="1"/>
          </xdr:nvSpPr>
          <xdr:spPr>
            <a:xfrm>
              <a:off x="742950" y="5876925"/>
              <a:ext cx="65357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19〖(𝐶𝑏 𝐵/𝐿)〗^2</a:t>
              </a:r>
              <a:endParaRPr lang="en-US" sz="1100"/>
            </a:p>
          </xdr:txBody>
        </xdr:sp>
      </mc:Fallback>
    </mc:AlternateContent>
    <xdr:clientData/>
  </xdr:oneCellAnchor>
  <xdr:oneCellAnchor>
    <xdr:from>
      <xdr:col>42</xdr:col>
      <xdr:colOff>47625</xdr:colOff>
      <xdr:row>261</xdr:row>
      <xdr:rowOff>9525</xdr:rowOff>
    </xdr:from>
    <xdr:ext cx="1447639" cy="352469"/>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00000000-0008-0000-0900-000018000000}"/>
                </a:ext>
              </a:extLst>
            </xdr:cNvPr>
            <xdr:cNvSpPr txBox="1"/>
          </xdr:nvSpPr>
          <xdr:spPr>
            <a:xfrm>
              <a:off x="29156025" y="51663600"/>
              <a:ext cx="144763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id-ID" sz="1100" b="0" i="1">
                            <a:latin typeface="Cambria Math" panose="02040503050406030204" pitchFamily="18" charset="0"/>
                          </a:rPr>
                          <m:t>(</m:t>
                        </m:r>
                        <m:r>
                          <a:rPr lang="id-ID" sz="1100" b="0" i="1">
                            <a:latin typeface="Cambria Math" panose="02040503050406030204" pitchFamily="18" charset="0"/>
                          </a:rPr>
                          <m:t>𝑇𝑥</m:t>
                        </m:r>
                        <m:r>
                          <a:rPr lang="id-ID" sz="1100" b="0" i="1">
                            <a:latin typeface="Cambria Math" panose="02040503050406030204" pitchFamily="18" charset="0"/>
                          </a:rPr>
                          <m:t> −</m:t>
                        </m:r>
                        <m:r>
                          <a:rPr lang="id-ID" sz="1100" b="0" i="1">
                            <a:latin typeface="Cambria Math" panose="02040503050406030204" pitchFamily="18" charset="0"/>
                          </a:rPr>
                          <m:t>𝑥</m:t>
                        </m:r>
                        <m:r>
                          <a:rPr lang="id-ID" sz="1100" b="0" i="1">
                            <a:latin typeface="Cambria Math" panose="02040503050406030204" pitchFamily="18" charset="0"/>
                          </a:rPr>
                          <m:t>1)</m:t>
                        </m:r>
                      </m:num>
                      <m:den>
                        <m:r>
                          <a:rPr lang="id-ID" sz="1100" b="0" i="1">
                            <a:latin typeface="Cambria Math" panose="02040503050406030204" pitchFamily="18" charset="0"/>
                          </a:rPr>
                          <m:t>(</m:t>
                        </m:r>
                        <m:r>
                          <a:rPr lang="id-ID" sz="1100" b="0" i="1">
                            <a:latin typeface="Cambria Math" panose="02040503050406030204" pitchFamily="18" charset="0"/>
                          </a:rPr>
                          <m:t>𝑥</m:t>
                        </m:r>
                        <m:r>
                          <a:rPr lang="id-ID" sz="1100" b="0" i="1">
                            <a:latin typeface="Cambria Math" panose="02040503050406030204" pitchFamily="18" charset="0"/>
                          </a:rPr>
                          <m:t>3−</m:t>
                        </m:r>
                        <m:r>
                          <a:rPr lang="id-ID" sz="1100" b="0" i="1">
                            <a:latin typeface="Cambria Math" panose="02040503050406030204" pitchFamily="18" charset="0"/>
                          </a:rPr>
                          <m:t>𝑥</m:t>
                        </m:r>
                        <m:r>
                          <a:rPr lang="id-ID" sz="1100" b="0" i="1">
                            <a:latin typeface="Cambria Math" panose="02040503050406030204" pitchFamily="18" charset="0"/>
                          </a:rPr>
                          <m:t>1)</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m:t>
                        </m:r>
                        <m:r>
                          <a:rPr lang="id-ID" sz="1100" b="0" i="1">
                            <a:latin typeface="Cambria Math" panose="02040503050406030204" pitchFamily="18" charset="0"/>
                          </a:rPr>
                          <m:t>𝑦</m:t>
                        </m:r>
                        <m:r>
                          <a:rPr lang="id-ID" sz="1100" b="0" i="1">
                            <a:latin typeface="Cambria Math" panose="02040503050406030204" pitchFamily="18" charset="0"/>
                          </a:rPr>
                          <m:t>2−</m:t>
                        </m:r>
                        <m:r>
                          <a:rPr lang="id-ID" sz="1100" b="0" i="1">
                            <a:latin typeface="Cambria Math" panose="02040503050406030204" pitchFamily="18" charset="0"/>
                          </a:rPr>
                          <m:t>𝑦</m:t>
                        </m:r>
                        <m:r>
                          <a:rPr lang="id-ID" sz="1100" b="0" i="1">
                            <a:latin typeface="Cambria Math" panose="02040503050406030204" pitchFamily="18" charset="0"/>
                          </a:rPr>
                          <m:t>1)</m:t>
                        </m:r>
                      </m:num>
                      <m:den>
                        <m:r>
                          <a:rPr lang="en-US" sz="1100" b="0" i="1">
                            <a:latin typeface="Cambria Math" panose="02040503050406030204" pitchFamily="18" charset="0"/>
                          </a:rPr>
                          <m:t>(</m:t>
                        </m:r>
                        <m:r>
                          <a:rPr lang="id-ID" sz="1100" b="0" i="1">
                            <a:latin typeface="Cambria Math" panose="02040503050406030204" pitchFamily="18" charset="0"/>
                          </a:rPr>
                          <m:t>𝑦</m:t>
                        </m:r>
                        <m:r>
                          <a:rPr lang="id-ID" sz="1100" b="0" i="1">
                            <a:latin typeface="Cambria Math" panose="02040503050406030204" pitchFamily="18" charset="0"/>
                          </a:rPr>
                          <m:t>3−</m:t>
                        </m:r>
                        <m:r>
                          <a:rPr lang="id-ID" sz="1100" b="0" i="1">
                            <a:latin typeface="Cambria Math" panose="02040503050406030204" pitchFamily="18" charset="0"/>
                          </a:rPr>
                          <m:t>𝑦</m:t>
                        </m:r>
                        <m:r>
                          <a:rPr lang="id-ID" sz="1100" b="0" i="1">
                            <a:latin typeface="Cambria Math" panose="02040503050406030204" pitchFamily="18" charset="0"/>
                          </a:rPr>
                          <m:t>1)</m:t>
                        </m:r>
                      </m:den>
                    </m:f>
                  </m:oMath>
                </m:oMathPara>
              </a14:m>
              <a:endParaRPr lang="en-US" sz="1100"/>
            </a:p>
          </xdr:txBody>
        </xdr:sp>
      </mc:Choice>
      <mc:Fallback xmlns="">
        <xdr:sp macro="" textlink="">
          <xdr:nvSpPr>
            <xdr:cNvPr id="24" name="TextBox 23">
              <a:extLst>
                <a:ext uri="{FF2B5EF4-FFF2-40B4-BE49-F238E27FC236}">
                  <a16:creationId xmlns:a16="http://schemas.microsoft.com/office/drawing/2014/main" id="{6126CAEB-6632-4029-91B4-37722A73C97B}"/>
                </a:ext>
              </a:extLst>
            </xdr:cNvPr>
            <xdr:cNvSpPr txBox="1"/>
          </xdr:nvSpPr>
          <xdr:spPr>
            <a:xfrm>
              <a:off x="29156025" y="51663600"/>
              <a:ext cx="144763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id-ID" sz="1100" b="0" i="0">
                  <a:latin typeface="Cambria Math" panose="02040503050406030204" pitchFamily="18" charset="0"/>
                </a:rPr>
                <a:t>(𝑇𝑥 −𝑥1)</a:t>
              </a:r>
              <a:r>
                <a:rPr lang="en-US" sz="1100" b="0" i="0">
                  <a:latin typeface="Cambria Math" panose="02040503050406030204" pitchFamily="18" charset="0"/>
                </a:rPr>
                <a:t>)/(</a:t>
              </a:r>
              <a:r>
                <a:rPr lang="id-ID" sz="1100" b="0" i="0">
                  <a:latin typeface="Cambria Math" panose="02040503050406030204" pitchFamily="18" charset="0"/>
                </a:rPr>
                <a:t>(𝑥3−𝑥1)</a:t>
              </a:r>
              <a:r>
                <a:rPr lang="en-US" sz="1100" b="0" i="0">
                  <a:latin typeface="Cambria Math" panose="02040503050406030204" pitchFamily="18" charset="0"/>
                </a:rPr>
                <a:t>)=((</a:t>
              </a:r>
              <a:r>
                <a:rPr lang="id-ID" sz="1100" b="0" i="0">
                  <a:latin typeface="Cambria Math" panose="02040503050406030204" pitchFamily="18" charset="0"/>
                </a:rPr>
                <a:t>𝑦2−𝑦1)</a:t>
              </a:r>
              <a:r>
                <a:rPr lang="en-US" sz="1100" b="0" i="0">
                  <a:latin typeface="Cambria Math" panose="02040503050406030204" pitchFamily="18" charset="0"/>
                </a:rPr>
                <a:t>)/((</a:t>
              </a:r>
              <a:r>
                <a:rPr lang="id-ID" sz="1100" b="0" i="0">
                  <a:latin typeface="Cambria Math" panose="02040503050406030204" pitchFamily="18" charset="0"/>
                </a:rPr>
                <a:t>𝑦3−𝑦1)</a:t>
              </a:r>
              <a:r>
                <a:rPr lang="en-US" sz="1100" b="0" i="0">
                  <a:latin typeface="Cambria Math" panose="02040503050406030204" pitchFamily="18" charset="0"/>
                </a:rPr>
                <a:t>)</a:t>
              </a:r>
              <a:endParaRPr lang="en-US" sz="1100"/>
            </a:p>
          </xdr:txBody>
        </xdr:sp>
      </mc:Fallback>
    </mc:AlternateContent>
    <xdr:clientData/>
  </xdr:oneCellAnchor>
  <xdr:twoCellAnchor>
    <xdr:from>
      <xdr:col>38</xdr:col>
      <xdr:colOff>11205</xdr:colOff>
      <xdr:row>178</xdr:row>
      <xdr:rowOff>89647</xdr:rowOff>
    </xdr:from>
    <xdr:to>
      <xdr:col>44</xdr:col>
      <xdr:colOff>367477</xdr:colOff>
      <xdr:row>193</xdr:row>
      <xdr:rowOff>117587</xdr:rowOff>
    </xdr:to>
    <xdr:pic>
      <xdr:nvPicPr>
        <xdr:cNvPr id="25" name="Picture 24">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2"/>
        <a:stretch>
          <a:fillRect/>
        </a:stretch>
      </xdr:blipFill>
      <xdr:spPr>
        <a:xfrm>
          <a:off x="26376405" y="35675047"/>
          <a:ext cx="4471072" cy="2885440"/>
        </a:xfrm>
        <a:prstGeom prst="rect">
          <a:avLst/>
        </a:prstGeom>
        <a:noFill/>
        <a:ln w="9525">
          <a:noFill/>
        </a:ln>
      </xdr:spPr>
    </xdr:pic>
    <xdr:clientData/>
  </xdr:twoCellAnchor>
  <xdr:oneCellAnchor>
    <xdr:from>
      <xdr:col>46</xdr:col>
      <xdr:colOff>62802</xdr:colOff>
      <xdr:row>47</xdr:row>
      <xdr:rowOff>31401</xdr:rowOff>
    </xdr:from>
    <xdr:ext cx="2205828" cy="739080"/>
    <xdr:pic>
      <xdr:nvPicPr>
        <xdr:cNvPr id="26" name="Picture 25">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3"/>
        <a:stretch>
          <a:fillRect/>
        </a:stretch>
      </xdr:blipFill>
      <xdr:spPr>
        <a:xfrm>
          <a:off x="31914402" y="9489726"/>
          <a:ext cx="2205828" cy="739080"/>
        </a:xfrm>
        <a:prstGeom prst="rect">
          <a:avLst/>
        </a:prstGeom>
      </xdr:spPr>
    </xdr:pic>
    <xdr:clientData/>
  </xdr:oneCellAnchor>
  <xdr:oneCellAnchor>
    <xdr:from>
      <xdr:col>61</xdr:col>
      <xdr:colOff>47625</xdr:colOff>
      <xdr:row>261</xdr:row>
      <xdr:rowOff>9525</xdr:rowOff>
    </xdr:from>
    <xdr:ext cx="1447639" cy="352469"/>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00000000-0008-0000-0900-00001B000000}"/>
                </a:ext>
              </a:extLst>
            </xdr:cNvPr>
            <xdr:cNvSpPr txBox="1"/>
          </xdr:nvSpPr>
          <xdr:spPr>
            <a:xfrm>
              <a:off x="42186225" y="51663600"/>
              <a:ext cx="144763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id-ID" sz="1100" b="0" i="1">
                            <a:latin typeface="Cambria Math" panose="02040503050406030204" pitchFamily="18" charset="0"/>
                          </a:rPr>
                          <m:t>(</m:t>
                        </m:r>
                        <m:r>
                          <a:rPr lang="id-ID" sz="1100" b="0" i="1">
                            <a:latin typeface="Cambria Math" panose="02040503050406030204" pitchFamily="18" charset="0"/>
                          </a:rPr>
                          <m:t>𝑇𝑥</m:t>
                        </m:r>
                        <m:r>
                          <a:rPr lang="id-ID" sz="1100" b="0" i="1">
                            <a:latin typeface="Cambria Math" panose="02040503050406030204" pitchFamily="18" charset="0"/>
                          </a:rPr>
                          <m:t> −</m:t>
                        </m:r>
                        <m:r>
                          <a:rPr lang="id-ID" sz="1100" b="0" i="1">
                            <a:latin typeface="Cambria Math" panose="02040503050406030204" pitchFamily="18" charset="0"/>
                          </a:rPr>
                          <m:t>𝑥</m:t>
                        </m:r>
                        <m:r>
                          <a:rPr lang="id-ID" sz="1100" b="0" i="1">
                            <a:latin typeface="Cambria Math" panose="02040503050406030204" pitchFamily="18" charset="0"/>
                          </a:rPr>
                          <m:t>1)</m:t>
                        </m:r>
                      </m:num>
                      <m:den>
                        <m:r>
                          <a:rPr lang="id-ID" sz="1100" b="0" i="1">
                            <a:latin typeface="Cambria Math" panose="02040503050406030204" pitchFamily="18" charset="0"/>
                          </a:rPr>
                          <m:t>(</m:t>
                        </m:r>
                        <m:r>
                          <a:rPr lang="id-ID" sz="1100" b="0" i="1">
                            <a:latin typeface="Cambria Math" panose="02040503050406030204" pitchFamily="18" charset="0"/>
                          </a:rPr>
                          <m:t>𝑥</m:t>
                        </m:r>
                        <m:r>
                          <a:rPr lang="id-ID" sz="1100" b="0" i="1">
                            <a:latin typeface="Cambria Math" panose="02040503050406030204" pitchFamily="18" charset="0"/>
                          </a:rPr>
                          <m:t>3−</m:t>
                        </m:r>
                        <m:r>
                          <a:rPr lang="id-ID" sz="1100" b="0" i="1">
                            <a:latin typeface="Cambria Math" panose="02040503050406030204" pitchFamily="18" charset="0"/>
                          </a:rPr>
                          <m:t>𝑥</m:t>
                        </m:r>
                        <m:r>
                          <a:rPr lang="id-ID" sz="1100" b="0" i="1">
                            <a:latin typeface="Cambria Math" panose="02040503050406030204" pitchFamily="18" charset="0"/>
                          </a:rPr>
                          <m:t>1)</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m:t>
                        </m:r>
                        <m:r>
                          <a:rPr lang="id-ID" sz="1100" b="0" i="1">
                            <a:latin typeface="Cambria Math" panose="02040503050406030204" pitchFamily="18" charset="0"/>
                          </a:rPr>
                          <m:t>𝑦</m:t>
                        </m:r>
                        <m:r>
                          <a:rPr lang="id-ID" sz="1100" b="0" i="1">
                            <a:latin typeface="Cambria Math" panose="02040503050406030204" pitchFamily="18" charset="0"/>
                          </a:rPr>
                          <m:t>2−</m:t>
                        </m:r>
                        <m:r>
                          <a:rPr lang="id-ID" sz="1100" b="0" i="1">
                            <a:latin typeface="Cambria Math" panose="02040503050406030204" pitchFamily="18" charset="0"/>
                          </a:rPr>
                          <m:t>𝑦</m:t>
                        </m:r>
                        <m:r>
                          <a:rPr lang="id-ID" sz="1100" b="0" i="1">
                            <a:latin typeface="Cambria Math" panose="02040503050406030204" pitchFamily="18" charset="0"/>
                          </a:rPr>
                          <m:t>1)</m:t>
                        </m:r>
                      </m:num>
                      <m:den>
                        <m:r>
                          <a:rPr lang="en-US" sz="1100" b="0" i="1">
                            <a:latin typeface="Cambria Math" panose="02040503050406030204" pitchFamily="18" charset="0"/>
                          </a:rPr>
                          <m:t>(</m:t>
                        </m:r>
                        <m:r>
                          <a:rPr lang="id-ID" sz="1100" b="0" i="1">
                            <a:latin typeface="Cambria Math" panose="02040503050406030204" pitchFamily="18" charset="0"/>
                          </a:rPr>
                          <m:t>𝑦</m:t>
                        </m:r>
                        <m:r>
                          <a:rPr lang="id-ID" sz="1100" b="0" i="1">
                            <a:latin typeface="Cambria Math" panose="02040503050406030204" pitchFamily="18" charset="0"/>
                          </a:rPr>
                          <m:t>3−</m:t>
                        </m:r>
                        <m:r>
                          <a:rPr lang="id-ID" sz="1100" b="0" i="1">
                            <a:latin typeface="Cambria Math" panose="02040503050406030204" pitchFamily="18" charset="0"/>
                          </a:rPr>
                          <m:t>𝑦</m:t>
                        </m:r>
                        <m:r>
                          <a:rPr lang="id-ID" sz="1100" b="0" i="1">
                            <a:latin typeface="Cambria Math" panose="02040503050406030204" pitchFamily="18" charset="0"/>
                          </a:rPr>
                          <m:t>1)</m:t>
                        </m:r>
                      </m:den>
                    </m:f>
                  </m:oMath>
                </m:oMathPara>
              </a14:m>
              <a:endParaRPr lang="en-US" sz="1100"/>
            </a:p>
          </xdr:txBody>
        </xdr:sp>
      </mc:Choice>
      <mc:Fallback xmlns="">
        <xdr:sp macro="" textlink="">
          <xdr:nvSpPr>
            <xdr:cNvPr id="27" name="TextBox 26">
              <a:extLst>
                <a:ext uri="{FF2B5EF4-FFF2-40B4-BE49-F238E27FC236}">
                  <a16:creationId xmlns:a16="http://schemas.microsoft.com/office/drawing/2014/main" id="{A7C7D358-339B-4609-984E-F17270307B21}"/>
                </a:ext>
              </a:extLst>
            </xdr:cNvPr>
            <xdr:cNvSpPr txBox="1"/>
          </xdr:nvSpPr>
          <xdr:spPr>
            <a:xfrm>
              <a:off x="42186225" y="51663600"/>
              <a:ext cx="144763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id-ID" sz="1100" b="0" i="0">
                  <a:latin typeface="Cambria Math" panose="02040503050406030204" pitchFamily="18" charset="0"/>
                </a:rPr>
                <a:t>(𝑇𝑥 −𝑥1)</a:t>
              </a:r>
              <a:r>
                <a:rPr lang="en-US" sz="1100" b="0" i="0">
                  <a:latin typeface="Cambria Math" panose="02040503050406030204" pitchFamily="18" charset="0"/>
                </a:rPr>
                <a:t>)/(</a:t>
              </a:r>
              <a:r>
                <a:rPr lang="id-ID" sz="1100" b="0" i="0">
                  <a:latin typeface="Cambria Math" panose="02040503050406030204" pitchFamily="18" charset="0"/>
                </a:rPr>
                <a:t>(𝑥3−𝑥1)</a:t>
              </a:r>
              <a:r>
                <a:rPr lang="en-US" sz="1100" b="0" i="0">
                  <a:latin typeface="Cambria Math" panose="02040503050406030204" pitchFamily="18" charset="0"/>
                </a:rPr>
                <a:t>)=((</a:t>
              </a:r>
              <a:r>
                <a:rPr lang="id-ID" sz="1100" b="0" i="0">
                  <a:latin typeface="Cambria Math" panose="02040503050406030204" pitchFamily="18" charset="0"/>
                </a:rPr>
                <a:t>𝑦2−𝑦1)</a:t>
              </a:r>
              <a:r>
                <a:rPr lang="en-US" sz="1100" b="0" i="0">
                  <a:latin typeface="Cambria Math" panose="02040503050406030204" pitchFamily="18" charset="0"/>
                </a:rPr>
                <a:t>)/((</a:t>
              </a:r>
              <a:r>
                <a:rPr lang="id-ID" sz="1100" b="0" i="0">
                  <a:latin typeface="Cambria Math" panose="02040503050406030204" pitchFamily="18" charset="0"/>
                </a:rPr>
                <a:t>𝑦3−𝑦1)</a:t>
              </a:r>
              <a:r>
                <a:rPr lang="en-US" sz="1100" b="0" i="0">
                  <a:latin typeface="Cambria Math" panose="02040503050406030204" pitchFamily="18" charset="0"/>
                </a:rPr>
                <a:t>)</a:t>
              </a:r>
              <a:endParaRPr lang="en-US" sz="1100"/>
            </a:p>
          </xdr:txBody>
        </xdr:sp>
      </mc:Fallback>
    </mc:AlternateContent>
    <xdr:clientData/>
  </xdr:oneCellAnchor>
  <xdr:twoCellAnchor>
    <xdr:from>
      <xdr:col>57</xdr:col>
      <xdr:colOff>11205</xdr:colOff>
      <xdr:row>178</xdr:row>
      <xdr:rowOff>89647</xdr:rowOff>
    </xdr:from>
    <xdr:to>
      <xdr:col>63</xdr:col>
      <xdr:colOff>367477</xdr:colOff>
      <xdr:row>193</xdr:row>
      <xdr:rowOff>117587</xdr:rowOff>
    </xdr:to>
    <xdr:pic>
      <xdr:nvPicPr>
        <xdr:cNvPr id="28" name="Picture 27">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2"/>
        <a:stretch>
          <a:fillRect/>
        </a:stretch>
      </xdr:blipFill>
      <xdr:spPr>
        <a:xfrm>
          <a:off x="39406605" y="35675047"/>
          <a:ext cx="4471072" cy="2885440"/>
        </a:xfrm>
        <a:prstGeom prst="rect">
          <a:avLst/>
        </a:prstGeom>
        <a:noFill/>
        <a:ln w="9525">
          <a:noFill/>
        </a:ln>
      </xdr:spPr>
    </xdr:pic>
    <xdr:clientData/>
  </xdr:twoCellAnchor>
  <xdr:oneCellAnchor>
    <xdr:from>
      <xdr:col>65</xdr:col>
      <xdr:colOff>62802</xdr:colOff>
      <xdr:row>47</xdr:row>
      <xdr:rowOff>31401</xdr:rowOff>
    </xdr:from>
    <xdr:ext cx="2205828" cy="739080"/>
    <xdr:pic>
      <xdr:nvPicPr>
        <xdr:cNvPr id="29" name="Picture 28">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3"/>
        <a:stretch>
          <a:fillRect/>
        </a:stretch>
      </xdr:blipFill>
      <xdr:spPr>
        <a:xfrm>
          <a:off x="44944602" y="9489726"/>
          <a:ext cx="2205828" cy="73908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31750</xdr:colOff>
      <xdr:row>22</xdr:row>
      <xdr:rowOff>25400</xdr:rowOff>
    </xdr:from>
    <xdr:ext cx="880754" cy="31688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441450" y="4454525"/>
              <a:ext cx="880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rPr>
                      <m:t>(</m:t>
                    </m:r>
                    <m:r>
                      <a:rPr lang="en-US" sz="1100" b="0" i="1">
                        <a:latin typeface="Cambria Math" panose="02040503050406030204" pitchFamily="18" charset="0"/>
                      </a:rPr>
                      <m:t>𝐿𝑝𝑝</m:t>
                    </m:r>
                    <m:r>
                      <a:rPr lang="en-US" sz="1100" b="0" i="1">
                        <a:latin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𝐿𝑤𝑙</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C4C624FE-958F-4EC3-8909-0D94B20F1906}"/>
                </a:ext>
              </a:extLst>
            </xdr:cNvPr>
            <xdr:cNvSpPr txBox="1"/>
          </xdr:nvSpPr>
          <xdr:spPr>
            <a:xfrm>
              <a:off x="1441450" y="4454525"/>
              <a:ext cx="880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1/2(𝐿𝑝𝑝+</a:t>
              </a:r>
              <a:r>
                <a:rPr lang="en-US" sz="1100" b="0" i="0">
                  <a:latin typeface="Cambria Math" panose="02040503050406030204" pitchFamily="18" charset="0"/>
                  <a:ea typeface="Cambria Math" panose="02040503050406030204" pitchFamily="18" charset="0"/>
                </a:rPr>
                <a:t>𝐿𝑤𝑙)</a:t>
              </a:r>
              <a:endParaRPr lang="en-US" sz="1100"/>
            </a:p>
          </xdr:txBody>
        </xdr:sp>
      </mc:Fallback>
    </mc:AlternateContent>
    <xdr:clientData/>
  </xdr:oneCellAnchor>
  <xdr:oneCellAnchor>
    <xdr:from>
      <xdr:col>1</xdr:col>
      <xdr:colOff>69850</xdr:colOff>
      <xdr:row>24</xdr:row>
      <xdr:rowOff>25400</xdr:rowOff>
    </xdr:from>
    <xdr:ext cx="542649" cy="36644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1479550" y="4854575"/>
              <a:ext cx="542649" cy="366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𝑉𝑠</m:t>
                        </m:r>
                      </m:num>
                      <m:den>
                        <m:rad>
                          <m:radPr>
                            <m:degHide m:val="on"/>
                            <m:ctrlPr>
                              <a:rPr lang="en-US" sz="1100" b="0" i="1">
                                <a:latin typeface="Cambria Math" panose="02040503050406030204" pitchFamily="18" charset="0"/>
                                <a:ea typeface="Cambria Math" panose="02040503050406030204" pitchFamily="18" charset="0"/>
                              </a:rPr>
                            </m:ctrlPr>
                          </m:radPr>
                          <m:deg/>
                          <m:e>
                            <m:r>
                              <a:rPr lang="en-US" sz="1100" b="0" i="1">
                                <a:latin typeface="Cambria Math" panose="02040503050406030204" pitchFamily="18" charset="0"/>
                                <a:ea typeface="Cambria Math" panose="02040503050406030204" pitchFamily="18" charset="0"/>
                              </a:rPr>
                              <m:t>𝐿</m:t>
                            </m:r>
                          </m:e>
                        </m:ra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𝐷𝑖𝑠𝑝</m:t>
                        </m:r>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D6A0B8CB-C968-45DF-9424-33338E901798}"/>
                </a:ext>
              </a:extLst>
            </xdr:cNvPr>
            <xdr:cNvSpPr txBox="1"/>
          </xdr:nvSpPr>
          <xdr:spPr>
            <a:xfrm>
              <a:off x="1479550" y="4854575"/>
              <a:ext cx="542649" cy="366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𝑉𝑠/(</a:t>
              </a:r>
              <a:r>
                <a:rPr lang="en-US" sz="1100" b="0" i="0">
                  <a:latin typeface="Cambria Math" panose="02040503050406030204" pitchFamily="18" charset="0"/>
                  <a:ea typeface="Cambria Math" panose="02040503050406030204" pitchFamily="18" charset="0"/>
                </a:rPr>
                <a:t>√𝐿.𝐷𝑖𝑠𝑝)</a:t>
              </a:r>
              <a:endParaRPr lang="en-US" sz="1100"/>
            </a:p>
          </xdr:txBody>
        </xdr:sp>
      </mc:Fallback>
    </mc:AlternateContent>
    <xdr:clientData/>
  </xdr:oneCellAnchor>
  <xdr:oneCellAnchor>
    <xdr:from>
      <xdr:col>1</xdr:col>
      <xdr:colOff>907</xdr:colOff>
      <xdr:row>26</xdr:row>
      <xdr:rowOff>26307</xdr:rowOff>
    </xdr:from>
    <xdr:ext cx="829128"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410607" y="5255532"/>
              <a:ext cx="82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𝐶𝑚</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m:t>
                    </m:r>
                  </m:oMath>
                </m:oMathPara>
              </a14:m>
              <a:endParaRPr lang="en-US" sz="1100"/>
            </a:p>
          </xdr:txBody>
        </xdr:sp>
      </mc:Choice>
      <mc:Fallback xmlns="">
        <xdr:sp macro="" textlink="">
          <xdr:nvSpPr>
            <xdr:cNvPr id="4" name="TextBox 3">
              <a:extLst>
                <a:ext uri="{FF2B5EF4-FFF2-40B4-BE49-F238E27FC236}">
                  <a16:creationId xmlns:a16="http://schemas.microsoft.com/office/drawing/2014/main" id="{DC8109B8-2434-43E3-9B7C-81A7BE2D67A3}"/>
                </a:ext>
              </a:extLst>
            </xdr:cNvPr>
            <xdr:cNvSpPr txBox="1"/>
          </xdr:nvSpPr>
          <xdr:spPr>
            <a:xfrm>
              <a:off x="1410607" y="5255532"/>
              <a:ext cx="8291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𝐶𝑚</a:t>
              </a:r>
              <a:r>
                <a:rPr lang="en-US" sz="1100" b="0" i="0">
                  <a:latin typeface="Cambria Math" panose="02040503050406030204" pitchFamily="18" charset="0"/>
                  <a:ea typeface="Cambria Math" panose="02040503050406030204" pitchFamily="18" charset="0"/>
                </a:rPr>
                <a:t>×𝐵×𝑇</a:t>
              </a:r>
              <a:endParaRPr lang="en-US" sz="1100"/>
            </a:p>
          </xdr:txBody>
        </xdr:sp>
      </mc:Fallback>
    </mc:AlternateContent>
    <xdr:clientData/>
  </xdr:oneCellAnchor>
  <xdr:oneCellAnchor>
    <xdr:from>
      <xdr:col>1</xdr:col>
      <xdr:colOff>44450</xdr:colOff>
      <xdr:row>27</xdr:row>
      <xdr:rowOff>30480</xdr:rowOff>
    </xdr:from>
    <xdr:ext cx="1197610"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454150" y="5459730"/>
              <a:ext cx="11976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𝐶𝑏</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𝐿𝑑𝑖𝑠𝑝</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m:t>
                    </m:r>
                  </m:oMath>
                </m:oMathPara>
              </a14:m>
              <a:endParaRPr lang="en-US" sz="1100"/>
            </a:p>
          </xdr:txBody>
        </xdr:sp>
      </mc:Choice>
      <mc:Fallback xmlns="">
        <xdr:sp macro="" textlink="">
          <xdr:nvSpPr>
            <xdr:cNvPr id="5" name="TextBox 4">
              <a:extLst>
                <a:ext uri="{FF2B5EF4-FFF2-40B4-BE49-F238E27FC236}">
                  <a16:creationId xmlns:a16="http://schemas.microsoft.com/office/drawing/2014/main" id="{94E9F51F-F0A0-439A-BECB-3CE1A4B23E78}"/>
                </a:ext>
              </a:extLst>
            </xdr:cNvPr>
            <xdr:cNvSpPr txBox="1"/>
          </xdr:nvSpPr>
          <xdr:spPr>
            <a:xfrm>
              <a:off x="1454150" y="5459730"/>
              <a:ext cx="11976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𝐶𝑏</a:t>
              </a:r>
              <a:r>
                <a:rPr lang="en-US" sz="1100" b="0" i="0">
                  <a:latin typeface="Cambria Math" panose="02040503050406030204" pitchFamily="18" charset="0"/>
                  <a:ea typeface="Cambria Math" panose="02040503050406030204" pitchFamily="18" charset="0"/>
                </a:rPr>
                <a:t>×𝐿𝑑𝑖𝑠𝑝×𝐵×𝑇</a:t>
              </a:r>
              <a:endParaRPr lang="en-US" sz="1100"/>
            </a:p>
          </xdr:txBody>
        </xdr:sp>
      </mc:Fallback>
    </mc:AlternateContent>
    <xdr:clientData/>
  </xdr:oneCellAnchor>
  <xdr:oneCellAnchor>
    <xdr:from>
      <xdr:col>1</xdr:col>
      <xdr:colOff>69850</xdr:colOff>
      <xdr:row>28</xdr:row>
      <xdr:rowOff>25400</xdr:rowOff>
    </xdr:from>
    <xdr:ext cx="1149545"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479550" y="5673725"/>
              <a:ext cx="11495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r>
                      <a:rPr lang="en-US" sz="1100" b="0" i="1">
                        <a:latin typeface="Cambria Math" panose="02040503050406030204" pitchFamily="18" charset="0"/>
                      </a:rPr>
                      <m:t>.</m:t>
                    </m:r>
                    <m:r>
                      <a:rPr lang="en-US" sz="1100" b="0" i="1">
                        <a:latin typeface="Cambria Math" panose="02040503050406030204" pitchFamily="18" charset="0"/>
                      </a:rPr>
                      <m:t>𝑑𝑖𝑠𝑝</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𝑎𝑖𝑟</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𝑙𝑎𝑢𝑡</m:t>
                    </m:r>
                  </m:oMath>
                </m:oMathPara>
              </a14:m>
              <a:endParaRPr lang="en-US" sz="1100"/>
            </a:p>
          </xdr:txBody>
        </xdr:sp>
      </mc:Choice>
      <mc:Fallback xmlns="">
        <xdr:sp macro="" textlink="">
          <xdr:nvSpPr>
            <xdr:cNvPr id="6" name="TextBox 5">
              <a:extLst>
                <a:ext uri="{FF2B5EF4-FFF2-40B4-BE49-F238E27FC236}">
                  <a16:creationId xmlns:a16="http://schemas.microsoft.com/office/drawing/2014/main" id="{DEC25D68-06C1-4454-985D-274281BB32A9}"/>
                </a:ext>
              </a:extLst>
            </xdr:cNvPr>
            <xdr:cNvSpPr txBox="1"/>
          </xdr:nvSpPr>
          <xdr:spPr>
            <a:xfrm>
              <a:off x="1479550" y="5673725"/>
              <a:ext cx="11495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𝑉.𝑑𝑖𝑠𝑝</a:t>
              </a:r>
              <a:r>
                <a:rPr lang="en-US" sz="1100" b="0" i="0">
                  <a:latin typeface="Cambria Math" panose="02040503050406030204" pitchFamily="18" charset="0"/>
                  <a:ea typeface="Cambria Math" panose="02040503050406030204" pitchFamily="18" charset="0"/>
                </a:rPr>
                <a:t>×𝜌 𝑎𝑖𝑟 𝑙𝑎𝑢𝑡</a:t>
              </a:r>
              <a:endParaRPr lang="en-US" sz="1100"/>
            </a:p>
          </xdr:txBody>
        </xdr:sp>
      </mc:Fallback>
    </mc:AlternateContent>
    <xdr:clientData/>
  </xdr:oneCellAnchor>
  <xdr:oneCellAnchor>
    <xdr:from>
      <xdr:col>1</xdr:col>
      <xdr:colOff>44450</xdr:colOff>
      <xdr:row>29</xdr:row>
      <xdr:rowOff>19210</xdr:rowOff>
    </xdr:from>
    <xdr:ext cx="2004626"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1454150" y="5867560"/>
              <a:ext cx="200462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𝐿𝑝𝑝</m:t>
                    </m:r>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𝐶𝑏</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𝐵</m:t>
                        </m:r>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1,7×</m:t>
                        </m:r>
                        <m:r>
                          <a:rPr lang="en-US" sz="1100" b="0" i="1">
                            <a:latin typeface="Cambria Math" panose="02040503050406030204" pitchFamily="18" charset="0"/>
                            <a:ea typeface="Cambria Math" panose="02040503050406030204" pitchFamily="18" charset="0"/>
                          </a:rPr>
                          <m:t>𝑇</m:t>
                        </m:r>
                      </m:e>
                    </m:d>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7" name="TextBox 6">
              <a:extLst>
                <a:ext uri="{FF2B5EF4-FFF2-40B4-BE49-F238E27FC236}">
                  <a16:creationId xmlns:a16="http://schemas.microsoft.com/office/drawing/2014/main" id="{BCFE79D8-8419-4CAE-A469-078A91446E23}"/>
                </a:ext>
              </a:extLst>
            </xdr:cNvPr>
            <xdr:cNvSpPr txBox="1"/>
          </xdr:nvSpPr>
          <xdr:spPr>
            <a:xfrm>
              <a:off x="1454150" y="5867560"/>
              <a:ext cx="200462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ea typeface="Cambria Math" panose="02040503050406030204" pitchFamily="18" charset="0"/>
                </a:rPr>
                <a:t>𝜌×𝐿𝑝𝑝((𝐶𝑏×𝐵)+(1,7×𝑇))</a:t>
              </a:r>
              <a:endParaRPr lang="en-US" sz="1100"/>
            </a:p>
          </xdr:txBody>
        </xdr:sp>
      </mc:Fallback>
    </mc:AlternateContent>
    <xdr:clientData/>
  </xdr:oneCellAnchor>
  <xdr:oneCellAnchor>
    <xdr:from>
      <xdr:col>1</xdr:col>
      <xdr:colOff>57150</xdr:colOff>
      <xdr:row>30</xdr:row>
      <xdr:rowOff>38100</xdr:rowOff>
    </xdr:from>
    <xdr:ext cx="653577" cy="315792"/>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1466850" y="6086475"/>
              <a:ext cx="65357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19</m:t>
                    </m:r>
                    <m:sSup>
                      <m:sSupPr>
                        <m:ctrlPr>
                          <a:rPr lang="en-US" sz="1100" b="0" i="1">
                            <a:latin typeface="Cambria Math" panose="02040503050406030204" pitchFamily="18" charset="0"/>
                          </a:rPr>
                        </m:ctrlPr>
                      </m:sSupPr>
                      <m:e>
                        <m:r>
                          <a:rPr lang="en-US" sz="1100" b="0" i="1">
                            <a:latin typeface="Cambria Math" panose="02040503050406030204" pitchFamily="18" charset="0"/>
                          </a:rPr>
                          <m:t>(</m:t>
                        </m:r>
                        <m:r>
                          <a:rPr lang="en-US" sz="1100" b="0" i="1">
                            <a:latin typeface="Cambria Math" panose="02040503050406030204" pitchFamily="18" charset="0"/>
                          </a:rPr>
                          <m:t>𝐶𝑏</m:t>
                        </m:r>
                        <m:f>
                          <m:fPr>
                            <m:ctrlPr>
                              <a:rPr lang="en-US" sz="1100" b="0" i="1">
                                <a:latin typeface="Cambria Math" panose="02040503050406030204" pitchFamily="18" charset="0"/>
                              </a:rPr>
                            </m:ctrlPr>
                          </m:fPr>
                          <m:num>
                            <m:r>
                              <a:rPr lang="en-US" sz="1100" b="0" i="1">
                                <a:latin typeface="Cambria Math" panose="02040503050406030204" pitchFamily="18" charset="0"/>
                              </a:rPr>
                              <m:t>𝐵</m:t>
                            </m:r>
                          </m:num>
                          <m:den>
                            <m:r>
                              <a:rPr lang="en-US" sz="1100" b="0" i="1">
                                <a:latin typeface="Cambria Math" panose="02040503050406030204" pitchFamily="18" charset="0"/>
                              </a:rPr>
                              <m:t>𝐿</m:t>
                            </m:r>
                          </m:den>
                        </m:f>
                        <m:r>
                          <a:rPr lang="en-US" sz="1100" b="0" i="1">
                            <a:latin typeface="Cambria Math" panose="02040503050406030204" pitchFamily="18" charset="0"/>
                          </a:rPr>
                          <m:t>)</m:t>
                        </m:r>
                      </m:e>
                      <m:sup>
                        <m:r>
                          <a:rPr lang="en-US" sz="1100" b="0" i="1">
                            <a:latin typeface="Cambria Math" panose="02040503050406030204" pitchFamily="18" charset="0"/>
                          </a:rPr>
                          <m:t>2</m:t>
                        </m:r>
                      </m:sup>
                    </m:sSup>
                  </m:oMath>
                </m:oMathPara>
              </a14:m>
              <a:endParaRPr lang="en-US" sz="1100"/>
            </a:p>
          </xdr:txBody>
        </xdr:sp>
      </mc:Choice>
      <mc:Fallback xmlns="">
        <xdr:sp macro="" textlink="">
          <xdr:nvSpPr>
            <xdr:cNvPr id="8" name="TextBox 7">
              <a:extLst>
                <a:ext uri="{FF2B5EF4-FFF2-40B4-BE49-F238E27FC236}">
                  <a16:creationId xmlns:a16="http://schemas.microsoft.com/office/drawing/2014/main" id="{FCB16118-88C3-46FE-8DE7-3F68915B41A3}"/>
                </a:ext>
              </a:extLst>
            </xdr:cNvPr>
            <xdr:cNvSpPr txBox="1"/>
          </xdr:nvSpPr>
          <xdr:spPr>
            <a:xfrm>
              <a:off x="1466850" y="6086475"/>
              <a:ext cx="65357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19〖(𝐶𝑏 𝐵/𝐿)〗^2</a:t>
              </a:r>
              <a:endParaRPr lang="en-US" sz="1100"/>
            </a:p>
          </xdr:txBody>
        </xdr:sp>
      </mc:Fallback>
    </mc:AlternateContent>
    <xdr:clientData/>
  </xdr:oneCellAnchor>
  <xdr:oneCellAnchor>
    <xdr:from>
      <xdr:col>0</xdr:col>
      <xdr:colOff>0</xdr:colOff>
      <xdr:row>93</xdr:row>
      <xdr:rowOff>0</xdr:rowOff>
    </xdr:from>
    <xdr:ext cx="5578835" cy="417294"/>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B00-000009000000}"/>
                </a:ext>
              </a:extLst>
            </xdr:cNvPr>
            <xdr:cNvSpPr txBox="1"/>
          </xdr:nvSpPr>
          <xdr:spPr>
            <a:xfrm>
              <a:off x="0" y="19040475"/>
              <a:ext cx="5578835" cy="417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𝑘</m:t>
                        </m:r>
                      </m:e>
                      <m:sub>
                        <m:r>
                          <a:rPr lang="en-US" sz="1100" b="0" i="1">
                            <a:latin typeface="Cambria Math" panose="02040503050406030204" pitchFamily="18" charset="0"/>
                          </a:rPr>
                          <m:t>1</m:t>
                        </m:r>
                      </m:sub>
                    </m:sSub>
                    <m:r>
                      <a:rPr lang="en-US" sz="1100" b="0" i="1">
                        <a:latin typeface="Cambria Math" panose="02040503050406030204" pitchFamily="18" charset="0"/>
                      </a:rPr>
                      <m:t>=0,93+0,487118</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14</m:t>
                        </m:r>
                      </m:sub>
                    </m:sSub>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𝐵</m:t>
                                </m:r>
                              </m:num>
                              <m:den>
                                <m:r>
                                  <a:rPr lang="en-US" sz="1100" b="0" i="1">
                                    <a:latin typeface="Cambria Math" panose="02040503050406030204" pitchFamily="18" charset="0"/>
                                  </a:rPr>
                                  <m:t>𝐿</m:t>
                                </m:r>
                              </m:den>
                            </m:f>
                          </m:e>
                        </m:d>
                      </m:e>
                      <m:sup>
                        <m:r>
                          <a:rPr lang="en-US" sz="1100" b="0" i="1">
                            <a:latin typeface="Cambria Math" panose="02040503050406030204" pitchFamily="18" charset="0"/>
                          </a:rPr>
                          <m:t>1,06806</m:t>
                        </m:r>
                      </m:sup>
                    </m:sSup>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𝑇</m:t>
                                </m:r>
                              </m:num>
                              <m:den>
                                <m:r>
                                  <a:rPr lang="en-US" sz="1100" b="0" i="1">
                                    <a:latin typeface="Cambria Math" panose="02040503050406030204" pitchFamily="18" charset="0"/>
                                  </a:rPr>
                                  <m:t>𝐿</m:t>
                                </m:r>
                              </m:den>
                            </m:f>
                          </m:e>
                        </m:d>
                      </m:e>
                      <m:sup>
                        <m:r>
                          <a:rPr lang="en-US" sz="1100" b="0" i="1">
                            <a:latin typeface="Cambria Math" panose="02040503050406030204" pitchFamily="18" charset="0"/>
                          </a:rPr>
                          <m:t>0,46106</m:t>
                        </m:r>
                      </m:sup>
                    </m:sSup>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𝐿</m:t>
                                </m:r>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𝑅</m:t>
                                    </m:r>
                                  </m:sub>
                                </m:sSub>
                              </m:den>
                            </m:f>
                          </m:e>
                        </m:d>
                      </m:e>
                      <m:sup>
                        <m:r>
                          <a:rPr lang="en-US" sz="1100" b="0" i="1">
                            <a:latin typeface="Cambria Math" panose="02040503050406030204" pitchFamily="18" charset="0"/>
                          </a:rPr>
                          <m:t>0,121563</m:t>
                        </m:r>
                      </m:sup>
                    </m:sSup>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𝐿</m:t>
                                    </m:r>
                                  </m:e>
                                  <m:sup>
                                    <m:r>
                                      <a:rPr lang="en-US" sz="1100" b="0" i="1">
                                        <a:latin typeface="Cambria Math" panose="02040503050406030204" pitchFamily="18" charset="0"/>
                                        <a:ea typeface="Cambria Math" panose="02040503050406030204" pitchFamily="18" charset="0"/>
                                      </a:rPr>
                                      <m:t>3</m:t>
                                    </m:r>
                                  </m:sup>
                                </m:sSup>
                              </m:num>
                              <m:den>
                                <m:r>
                                  <a:rPr lang="en-US" sz="1100" b="0" i="1">
                                    <a:latin typeface="Cambria Math" panose="02040503050406030204" pitchFamily="18" charset="0"/>
                                    <a:ea typeface="Cambria Math" panose="02040503050406030204" pitchFamily="18" charset="0"/>
                                  </a:rPr>
                                  <m:t>𝛻</m:t>
                                </m:r>
                              </m:den>
                            </m:f>
                          </m:e>
                        </m:d>
                      </m:e>
                      <m:sup>
                        <m:r>
                          <a:rPr lang="en-US" sz="1100" b="0" i="1">
                            <a:latin typeface="Cambria Math" panose="02040503050406030204" pitchFamily="18" charset="0"/>
                            <a:ea typeface="Cambria Math" panose="02040503050406030204" pitchFamily="18" charset="0"/>
                          </a:rPr>
                          <m:t>0,36486</m:t>
                        </m:r>
                      </m:sup>
                    </m:sSup>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𝑝</m:t>
                            </m:r>
                          </m:sub>
                        </m:sSub>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ea typeface="Cambria Math" panose="02040503050406030204" pitchFamily="18" charset="0"/>
                          </a:rPr>
                          <m:t>−0,604247</m:t>
                        </m:r>
                      </m:sup>
                    </m:sSup>
                  </m:oMath>
                </m:oMathPara>
              </a14:m>
              <a:endParaRPr lang="en-US" sz="1100"/>
            </a:p>
          </xdr:txBody>
        </xdr:sp>
      </mc:Choice>
      <mc:Fallback xmlns="">
        <xdr:sp macro="" textlink="">
          <xdr:nvSpPr>
            <xdr:cNvPr id="9" name="TextBox 8">
              <a:extLst>
                <a:ext uri="{FF2B5EF4-FFF2-40B4-BE49-F238E27FC236}">
                  <a16:creationId xmlns:a16="http://schemas.microsoft.com/office/drawing/2014/main" id="{44E8F27B-E2BD-4150-B027-5D5758E0C337}"/>
                </a:ext>
              </a:extLst>
            </xdr:cNvPr>
            <xdr:cNvSpPr txBox="1"/>
          </xdr:nvSpPr>
          <xdr:spPr>
            <a:xfrm>
              <a:off x="0" y="19040475"/>
              <a:ext cx="5578835" cy="417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1+𝑘_1=0,93+0,487118𝐶_14 (𝐵/𝐿)^1,06806 (𝑇/𝐿)^0,46106 (𝐿/𝐿_𝑅 )^0,121563</a:t>
              </a:r>
              <a:r>
                <a:rPr lang="en-US" sz="1100" b="0" i="0">
                  <a:latin typeface="Cambria Math" panose="02040503050406030204" pitchFamily="18" charset="0"/>
                  <a:ea typeface="Cambria Math" panose="02040503050406030204" pitchFamily="18" charset="0"/>
                </a:rPr>
                <a:t> (𝐿^3/𝛻)^0,36486 〖(1−𝐶_𝑝)〗^(−0,604247)</a:t>
              </a:r>
              <a:endParaRPr lang="en-US" sz="1100"/>
            </a:p>
          </xdr:txBody>
        </xdr:sp>
      </mc:Fallback>
    </mc:AlternateContent>
    <xdr:clientData/>
  </xdr:oneCellAnchor>
  <xdr:oneCellAnchor>
    <xdr:from>
      <xdr:col>0</xdr:col>
      <xdr:colOff>84301</xdr:colOff>
      <xdr:row>97</xdr:row>
      <xdr:rowOff>52722</xdr:rowOff>
    </xdr:from>
    <xdr:ext cx="1724126" cy="37279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84301" y="19893297"/>
              <a:ext cx="1724126" cy="3727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𝑅</m:t>
                        </m:r>
                      </m:sub>
                    </m:sSub>
                    <m:r>
                      <a:rPr lang="en-US" sz="1100" b="0" i="1">
                        <a:latin typeface="Cambria Math" panose="02040503050406030204" pitchFamily="18" charset="0"/>
                      </a:rPr>
                      <m:t>=</m:t>
                    </m:r>
                    <m:r>
                      <a:rPr lang="en-US" sz="1100" b="0" i="1">
                        <a:latin typeface="Cambria Math" panose="02040503050406030204" pitchFamily="18" charset="0"/>
                      </a:rPr>
                      <m:t>𝐿</m:t>
                    </m:r>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𝑝</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0,06</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𝑝</m:t>
                            </m:r>
                          </m:sub>
                        </m:sSub>
                        <m:r>
                          <a:rPr lang="en-US" sz="1100" b="0" i="1">
                            <a:latin typeface="Cambria Math" panose="02040503050406030204" pitchFamily="18" charset="0"/>
                          </a:rPr>
                          <m:t>𝑙𝑐𝑏</m:t>
                        </m:r>
                      </m:num>
                      <m:den>
                        <m:r>
                          <a:rPr lang="en-US" sz="1100" b="0" i="1">
                            <a:latin typeface="Cambria Math" panose="02040503050406030204" pitchFamily="18" charset="0"/>
                          </a:rPr>
                          <m:t>4</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𝑝</m:t>
                            </m:r>
                          </m:sub>
                        </m:sSub>
                        <m:r>
                          <a:rPr lang="en-US" sz="1100" b="0" i="1">
                            <a:latin typeface="Cambria Math" panose="02040503050406030204" pitchFamily="18" charset="0"/>
                          </a:rPr>
                          <m:t>−1</m:t>
                        </m:r>
                      </m:den>
                    </m:f>
                    <m:r>
                      <a:rPr lang="en-US" sz="1100" b="0" i="1">
                        <a:latin typeface="Cambria Math" panose="02040503050406030204" pitchFamily="18" charset="0"/>
                      </a:rPr>
                      <m:t>)</m:t>
                    </m:r>
                  </m:oMath>
                </m:oMathPara>
              </a14:m>
              <a:endParaRPr lang="en-US" sz="1100"/>
            </a:p>
          </xdr:txBody>
        </xdr:sp>
      </mc:Choice>
      <mc:Fallback xmlns="">
        <xdr:sp macro="" textlink="">
          <xdr:nvSpPr>
            <xdr:cNvPr id="10" name="TextBox 9">
              <a:extLst>
                <a:ext uri="{FF2B5EF4-FFF2-40B4-BE49-F238E27FC236}">
                  <a16:creationId xmlns:a16="http://schemas.microsoft.com/office/drawing/2014/main" id="{A474790F-BC47-419C-A708-DE4118AED675}"/>
                </a:ext>
              </a:extLst>
            </xdr:cNvPr>
            <xdr:cNvSpPr txBox="1"/>
          </xdr:nvSpPr>
          <xdr:spPr>
            <a:xfrm>
              <a:off x="84301" y="19893297"/>
              <a:ext cx="1724126" cy="3727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𝐿_𝑅=𝐿(1−𝐶_𝑝+(0,06𝐶_𝑝 𝑙𝑐𝑏)/(4𝐶_𝑝−1))</a:t>
              </a:r>
              <a:endParaRPr lang="en-US" sz="1100"/>
            </a:p>
          </xdr:txBody>
        </xdr:sp>
      </mc:Fallback>
    </mc:AlternateContent>
    <xdr:clientData/>
  </xdr:oneCellAnchor>
  <xdr:oneCellAnchor>
    <xdr:from>
      <xdr:col>0</xdr:col>
      <xdr:colOff>0</xdr:colOff>
      <xdr:row>109</xdr:row>
      <xdr:rowOff>50800</xdr:rowOff>
    </xdr:from>
    <xdr:ext cx="4440703" cy="55406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0" y="22291675"/>
              <a:ext cx="4440703" cy="55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𝑘</m:t>
                        </m:r>
                      </m:e>
                      <m:sub>
                        <m:r>
                          <a:rPr lang="en-US" sz="1100" b="0" i="1">
                            <a:latin typeface="Cambria Math" panose="02040503050406030204" pitchFamily="18" charset="0"/>
                          </a:rPr>
                          <m:t>1</m:t>
                        </m:r>
                      </m:sub>
                    </m:sSub>
                    <m:r>
                      <a:rPr lang="en-US" sz="1100" b="0" i="1">
                        <a:latin typeface="Cambria Math" panose="02040503050406030204" pitchFamily="18" charset="0"/>
                      </a:rPr>
                      <m:t>=0,93+</m:t>
                    </m:r>
                    <m:f>
                      <m:fPr>
                        <m:ctrlPr>
                          <a:rPr lang="en-US" sz="1100" b="0" i="1">
                            <a:latin typeface="Cambria Math" panose="02040503050406030204" pitchFamily="18" charset="0"/>
                          </a:rPr>
                        </m:ctrlPr>
                      </m:fPr>
                      <m:num>
                        <m:r>
                          <a:rPr lang="en-US" sz="1100" b="0" i="1">
                            <a:latin typeface="Cambria Math" panose="02040503050406030204" pitchFamily="18" charset="0"/>
                          </a:rPr>
                          <m:t>0,487118</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14</m:t>
                            </m:r>
                          </m:sub>
                        </m:sSub>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𝐵</m:t>
                                </m:r>
                              </m:num>
                              <m:den>
                                <m:r>
                                  <a:rPr lang="en-US" sz="1100" b="0" i="1">
                                    <a:latin typeface="Cambria Math" panose="02040503050406030204" pitchFamily="18" charset="0"/>
                                  </a:rPr>
                                  <m:t>𝐿</m:t>
                                </m:r>
                              </m:den>
                            </m:f>
                            <m:r>
                              <a:rPr lang="en-US" sz="1100" b="0" i="1">
                                <a:latin typeface="Cambria Math" panose="02040503050406030204" pitchFamily="18" charset="0"/>
                              </a:rPr>
                              <m:t>)</m:t>
                            </m:r>
                          </m:e>
                          <m:sup>
                            <m:r>
                              <a:rPr lang="en-US" sz="1100" b="0" i="1">
                                <a:latin typeface="Cambria Math" panose="02040503050406030204" pitchFamily="18" charset="0"/>
                              </a:rPr>
                              <m:t>1,06806</m:t>
                            </m:r>
                          </m:sup>
                        </m:sSup>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𝑇</m:t>
                                </m:r>
                              </m:num>
                              <m:den>
                                <m:r>
                                  <a:rPr lang="en-US" sz="1100" b="0" i="1">
                                    <a:latin typeface="Cambria Math" panose="02040503050406030204" pitchFamily="18" charset="0"/>
                                  </a:rPr>
                                  <m:t>𝐿</m:t>
                                </m:r>
                              </m:den>
                            </m:f>
                            <m:r>
                              <a:rPr lang="en-US" sz="1100" b="0" i="1">
                                <a:latin typeface="Cambria Math" panose="02040503050406030204" pitchFamily="18" charset="0"/>
                              </a:rPr>
                              <m:t>)</m:t>
                            </m:r>
                          </m:e>
                          <m:sup>
                            <m:r>
                              <a:rPr lang="en-US" sz="1100" b="0" i="1">
                                <a:latin typeface="Cambria Math" panose="02040503050406030204" pitchFamily="18" charset="0"/>
                              </a:rPr>
                              <m:t>0,46106</m:t>
                            </m:r>
                          </m:sup>
                        </m:sSup>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𝐿</m:t>
                                </m:r>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𝑅</m:t>
                                    </m:r>
                                  </m:sub>
                                </m:sSub>
                              </m:den>
                            </m:f>
                            <m:r>
                              <a:rPr lang="en-US" sz="1100" b="0" i="1">
                                <a:latin typeface="Cambria Math" panose="02040503050406030204" pitchFamily="18" charset="0"/>
                              </a:rPr>
                              <m:t>)</m:t>
                            </m:r>
                          </m:e>
                          <m:sup>
                            <m:r>
                              <a:rPr lang="en-US" sz="1100" b="0" i="1">
                                <a:latin typeface="Cambria Math" panose="02040503050406030204" pitchFamily="18" charset="0"/>
                              </a:rPr>
                              <m:t>0,121563</m:t>
                            </m:r>
                          </m:sup>
                        </m:sSup>
                        <m:sSup>
                          <m:sSupPr>
                            <m:ctrlPr>
                              <a:rPr lang="en-US" sz="1100" b="0" i="1">
                                <a:latin typeface="Cambria Math" panose="02040503050406030204" pitchFamily="18" charset="0"/>
                              </a:rPr>
                            </m:ctrlPr>
                          </m:sSupPr>
                          <m:e>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𝐿</m:t>
                                    </m:r>
                                  </m:e>
                                  <m:sup>
                                    <m:r>
                                      <a:rPr lang="en-US" sz="1100" b="0" i="1">
                                        <a:latin typeface="Cambria Math" panose="02040503050406030204" pitchFamily="18" charset="0"/>
                                      </a:rPr>
                                      <m:t>3</m:t>
                                    </m:r>
                                  </m:sup>
                                </m:sSup>
                              </m:num>
                              <m:den>
                                <m:r>
                                  <a:rPr lang="en-US" sz="1100" b="0" i="1">
                                    <a:latin typeface="Cambria Math" panose="02040503050406030204" pitchFamily="18" charset="0"/>
                                    <a:ea typeface="Cambria Math" panose="02040503050406030204" pitchFamily="18" charset="0"/>
                                  </a:rPr>
                                  <m:t>𝛻</m:t>
                                </m:r>
                              </m:den>
                            </m:f>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rPr>
                              <m:t>0,36486</m:t>
                            </m:r>
                          </m:sup>
                        </m:sSup>
                      </m:num>
                      <m:den>
                        <m:sSup>
                          <m:sSupPr>
                            <m:ctrlPr>
                              <a:rPr lang="en-US" sz="1100" b="0" i="1">
                                <a:latin typeface="Cambria Math" panose="02040503050406030204" pitchFamily="18" charset="0"/>
                              </a:rPr>
                            </m:ctrlPr>
                          </m:sSupPr>
                          <m:e>
                            <m:r>
                              <a:rPr lang="en-US" sz="1100" b="0" i="1">
                                <a:latin typeface="Cambria Math" panose="02040503050406030204" pitchFamily="18" charset="0"/>
                              </a:rPr>
                              <m:t>(1−</m:t>
                            </m:r>
                            <m:sSubSup>
                              <m:sSubSupPr>
                                <m:ctrlPr>
                                  <a:rPr lang="en-US" sz="1100" b="0" i="1">
                                    <a:latin typeface="Cambria Math" panose="02040503050406030204" pitchFamily="18" charset="0"/>
                                  </a:rPr>
                                </m:ctrlPr>
                              </m:sSubSupPr>
                              <m:e>
                                <m:r>
                                  <a:rPr lang="en-US" sz="1100" b="0" i="1">
                                    <a:latin typeface="Cambria Math" panose="02040503050406030204" pitchFamily="18" charset="0"/>
                                  </a:rPr>
                                  <m:t>𝐶</m:t>
                                </m:r>
                              </m:e>
                              <m:sub>
                                <m:r>
                                  <a:rPr lang="en-US" b="0" i="1">
                                    <a:latin typeface="Cambria Math" panose="02040503050406030204" pitchFamily="18" charset="0"/>
                                  </a:rPr>
                                  <m:t>𝑝</m:t>
                                </m:r>
                              </m:sub>
                              <m:sup/>
                            </m:sSubSup>
                            <m:r>
                              <a:rPr lang="en-US" sz="1100" b="0" i="1">
                                <a:latin typeface="Cambria Math" panose="02040503050406030204" pitchFamily="18" charset="0"/>
                              </a:rPr>
                              <m:t>)</m:t>
                            </m:r>
                          </m:e>
                          <m:sup>
                            <m:r>
                              <a:rPr lang="en-US" sz="1100" b="0" i="1">
                                <a:latin typeface="Cambria Math" panose="02040503050406030204" pitchFamily="18" charset="0"/>
                              </a:rPr>
                              <m:t>0,604247</m:t>
                            </m:r>
                          </m:sup>
                        </m:sSup>
                      </m:den>
                    </m:f>
                  </m:oMath>
                </m:oMathPara>
              </a14:m>
              <a:endParaRPr lang="en-US" sz="1100"/>
            </a:p>
          </xdr:txBody>
        </xdr:sp>
      </mc:Choice>
      <mc:Fallback xmlns="">
        <xdr:sp macro="" textlink="">
          <xdr:nvSpPr>
            <xdr:cNvPr id="11" name="TextBox 10">
              <a:extLst>
                <a:ext uri="{FF2B5EF4-FFF2-40B4-BE49-F238E27FC236}">
                  <a16:creationId xmlns:a16="http://schemas.microsoft.com/office/drawing/2014/main" id="{5A34EE7A-9418-442B-9BD8-AA69CDE196F0}"/>
                </a:ext>
              </a:extLst>
            </xdr:cNvPr>
            <xdr:cNvSpPr txBox="1"/>
          </xdr:nvSpPr>
          <xdr:spPr>
            <a:xfrm>
              <a:off x="0" y="22291675"/>
              <a:ext cx="4440703" cy="55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1+𝑘_1=0,93+(0,487118𝐶_14 〖(𝐵/𝐿)〗^1,06806 〖(𝑇/𝐿)〗^0,46106 〖(𝐿/𝐿_𝑅 )〗^0,121563 〖(𝐿^3/</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0,36486)/〖(1−𝐶_</a:t>
              </a:r>
              <a:r>
                <a:rPr lang="en-US" b="0" i="0">
                  <a:latin typeface="Cambria Math" panose="02040503050406030204" pitchFamily="18" charset="0"/>
                </a:rPr>
                <a:t>𝑝^ </a:t>
              </a:r>
              <a:r>
                <a:rPr lang="en-US" sz="1100" b="0" i="0">
                  <a:latin typeface="Cambria Math" panose="02040503050406030204" pitchFamily="18" charset="0"/>
                </a:rPr>
                <a:t>)〗^0,604247 </a:t>
              </a:r>
              <a:endParaRPr lang="en-US" sz="1100"/>
            </a:p>
          </xdr:txBody>
        </xdr:sp>
      </mc:Fallback>
    </mc:AlternateContent>
    <xdr:clientData/>
  </xdr:oneCellAnchor>
  <xdr:twoCellAnchor>
    <xdr:from>
      <xdr:col>0</xdr:col>
      <xdr:colOff>0</xdr:colOff>
      <xdr:row>122</xdr:row>
      <xdr:rowOff>13607</xdr:rowOff>
    </xdr:from>
    <xdr:to>
      <xdr:col>5</xdr:col>
      <xdr:colOff>557106</xdr:colOff>
      <xdr:row>124</xdr:row>
      <xdr:rowOff>0</xdr:rowOff>
    </xdr:to>
    <mc:AlternateContent xmlns:mc="http://schemas.openxmlformats.org/markup-compatibility/2006" xmlns:a14="http://schemas.microsoft.com/office/drawing/2010/main">
      <mc:Choice Requires="a14">
        <xdr:sp macro="" textlink="">
          <xdr:nvSpPr>
            <xdr:cNvPr id="12" name="Text Box 7">
              <a:extLst>
                <a:ext uri="{FF2B5EF4-FFF2-40B4-BE49-F238E27FC236}">
                  <a16:creationId xmlns:a16="http://schemas.microsoft.com/office/drawing/2014/main" id="{00000000-0008-0000-0B00-00000C000000}"/>
                </a:ext>
              </a:extLst>
            </xdr:cNvPr>
            <xdr:cNvSpPr txBox="1"/>
          </xdr:nvSpPr>
          <xdr:spPr>
            <a:xfrm>
              <a:off x="0" y="24845282"/>
              <a:ext cx="5833956" cy="3864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lnSpc>
                  <a:spcPct val="107000"/>
                </a:lnSpc>
                <a:spcAft>
                  <a:spcPts val="800"/>
                </a:spcAft>
              </a:pPr>
              <a14:m>
                <m:oMathPara xmlns:m="http://schemas.openxmlformats.org/officeDocument/2006/math">
                  <m:oMathParaPr>
                    <m:jc m:val="centerGroup"/>
                  </m:oMathParaPr>
                  <m:oMath xmlns:m="http://schemas.openxmlformats.org/officeDocument/2006/math">
                    <m:r>
                      <a:rPr lang="en-US" sz="1000" i="1">
                        <a:effectLst/>
                        <a:latin typeface="Cambria Math" panose="02040503050406030204" pitchFamily="18" charset="0"/>
                        <a:ea typeface="Calibri" panose="020F0502020204030204" pitchFamily="34" charset="0"/>
                        <a:cs typeface="Times New Roman" panose="02020603050405020304" pitchFamily="18" charset="0"/>
                      </a:rPr>
                      <m:t>𝑆</m:t>
                    </m:r>
                    <m:r>
                      <a:rPr lang="en-US" sz="1000" i="1">
                        <a:effectLst/>
                        <a:latin typeface="Cambria Math" panose="02040503050406030204" pitchFamily="18" charset="0"/>
                        <a:ea typeface="Calibri" panose="020F0502020204030204" pitchFamily="34" charset="0"/>
                        <a:cs typeface="Times New Roman" panose="02020603050405020304" pitchFamily="18" charset="0"/>
                      </a:rPr>
                      <m:t>=</m:t>
                    </m:r>
                    <m:r>
                      <a:rPr lang="en-US" sz="1000" i="1">
                        <a:effectLst/>
                        <a:latin typeface="Cambria Math" panose="02040503050406030204" pitchFamily="18" charset="0"/>
                        <a:ea typeface="Calibri" panose="020F0502020204030204" pitchFamily="34" charset="0"/>
                        <a:cs typeface="Times New Roman" panose="02020603050405020304" pitchFamily="18" charset="0"/>
                      </a:rPr>
                      <m:t>𝐿</m:t>
                    </m:r>
                    <m:d>
                      <m:d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dPr>
                      <m:e>
                        <m:r>
                          <a:rPr lang="en-US" sz="1000" i="1">
                            <a:effectLst/>
                            <a:latin typeface="Cambria Math" panose="02040503050406030204" pitchFamily="18" charset="0"/>
                            <a:ea typeface="Calibri" panose="020F0502020204030204" pitchFamily="34" charset="0"/>
                            <a:cs typeface="Times New Roman" panose="02020603050405020304" pitchFamily="18" charset="0"/>
                          </a:rPr>
                          <m:t>2</m:t>
                        </m:r>
                        <m:r>
                          <a:rPr lang="en-US" sz="1000" i="1">
                            <a:effectLst/>
                            <a:latin typeface="Cambria Math" panose="02040503050406030204" pitchFamily="18" charset="0"/>
                            <a:ea typeface="Calibri" panose="020F0502020204030204" pitchFamily="34" charset="0"/>
                            <a:cs typeface="Times New Roman" panose="02020603050405020304" pitchFamily="18" charset="0"/>
                          </a:rPr>
                          <m:t>𝑇</m:t>
                        </m:r>
                        <m:r>
                          <a:rPr lang="en-US" sz="1000" i="1">
                            <a:effectLst/>
                            <a:latin typeface="Cambria Math" panose="02040503050406030204" pitchFamily="18" charset="0"/>
                            <a:ea typeface="Calibri" panose="020F0502020204030204" pitchFamily="34" charset="0"/>
                            <a:cs typeface="Times New Roman" panose="02020603050405020304" pitchFamily="18" charset="0"/>
                          </a:rPr>
                          <m:t>+</m:t>
                        </m:r>
                        <m:r>
                          <a:rPr lang="en-US" sz="1000" i="1">
                            <a:effectLst/>
                            <a:latin typeface="Cambria Math" panose="02040503050406030204" pitchFamily="18" charset="0"/>
                            <a:ea typeface="Calibri" panose="020F0502020204030204" pitchFamily="34" charset="0"/>
                            <a:cs typeface="Times New Roman" panose="02020603050405020304" pitchFamily="18" charset="0"/>
                          </a:rPr>
                          <m:t>𝐵</m:t>
                        </m:r>
                      </m:e>
                    </m:d>
                    <m:rad>
                      <m:radPr>
                        <m:degHide m:val="on"/>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radPr>
                      <m:deg/>
                      <m:e>
                        <m:sSub>
                          <m:sSub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sSubPr>
                          <m:e>
                            <m:r>
                              <a:rPr lang="en-US" sz="1000" i="1">
                                <a:effectLst/>
                                <a:latin typeface="Cambria Math" panose="02040503050406030204" pitchFamily="18" charset="0"/>
                                <a:ea typeface="Calibri" panose="020F0502020204030204" pitchFamily="34" charset="0"/>
                                <a:cs typeface="Times New Roman" panose="02020603050405020304" pitchFamily="18" charset="0"/>
                              </a:rPr>
                              <m:t>𝐶</m:t>
                            </m:r>
                          </m:e>
                          <m:sub>
                            <m:r>
                              <a:rPr lang="en-US" sz="1000" i="1">
                                <a:effectLst/>
                                <a:latin typeface="Cambria Math" panose="02040503050406030204" pitchFamily="18" charset="0"/>
                                <a:ea typeface="Calibri" panose="020F0502020204030204" pitchFamily="34" charset="0"/>
                                <a:cs typeface="Times New Roman" panose="02020603050405020304" pitchFamily="18" charset="0"/>
                              </a:rPr>
                              <m:t>𝑀</m:t>
                            </m:r>
                          </m:sub>
                        </m:sSub>
                      </m:e>
                    </m:rad>
                    <m:d>
                      <m:d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dPr>
                      <m:e>
                        <m:r>
                          <a:rPr lang="en-US" sz="1000" i="1">
                            <a:effectLst/>
                            <a:latin typeface="Cambria Math" panose="02040503050406030204" pitchFamily="18" charset="0"/>
                            <a:ea typeface="Calibri" panose="020F0502020204030204" pitchFamily="34" charset="0"/>
                            <a:cs typeface="Times New Roman" panose="02020603050405020304" pitchFamily="18" charset="0"/>
                          </a:rPr>
                          <m:t>0,453+0,4425</m:t>
                        </m:r>
                        <m:sSub>
                          <m:sSub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sSubPr>
                          <m:e>
                            <m:r>
                              <a:rPr lang="en-US" sz="1000" i="1">
                                <a:effectLst/>
                                <a:latin typeface="Cambria Math" panose="02040503050406030204" pitchFamily="18" charset="0"/>
                                <a:ea typeface="Calibri" panose="020F0502020204030204" pitchFamily="34" charset="0"/>
                                <a:cs typeface="Times New Roman" panose="02020603050405020304" pitchFamily="18" charset="0"/>
                              </a:rPr>
                              <m:t>𝐶</m:t>
                            </m:r>
                          </m:e>
                          <m:sub>
                            <m:r>
                              <a:rPr lang="en-US" sz="1000" i="1">
                                <a:effectLst/>
                                <a:latin typeface="Cambria Math" panose="02040503050406030204" pitchFamily="18" charset="0"/>
                                <a:ea typeface="Calibri" panose="020F0502020204030204" pitchFamily="34" charset="0"/>
                                <a:cs typeface="Times New Roman" panose="02020603050405020304" pitchFamily="18" charset="0"/>
                              </a:rPr>
                              <m:t>𝐵</m:t>
                            </m:r>
                          </m:sub>
                        </m:sSub>
                        <m:r>
                          <a:rPr lang="en-US" sz="1000" i="1">
                            <a:effectLst/>
                            <a:latin typeface="Cambria Math" panose="02040503050406030204" pitchFamily="18" charset="0"/>
                            <a:ea typeface="Calibri" panose="020F0502020204030204" pitchFamily="34" charset="0"/>
                            <a:cs typeface="Times New Roman" panose="02020603050405020304" pitchFamily="18" charset="0"/>
                          </a:rPr>
                          <m:t>−0,2862</m:t>
                        </m:r>
                        <m:sSub>
                          <m:sSubPr>
                            <m:ctrlPr>
                              <a:rPr lang="en-US" sz="1000" i="1">
                                <a:effectLst/>
                                <a:latin typeface="Cambria Math" panose="02040503050406030204" pitchFamily="18" charset="0"/>
                                <a:ea typeface="Calibri" panose="020F0502020204030204" pitchFamily="34" charset="0"/>
                                <a:cs typeface="Times New Roman" panose="02020603050405020304" pitchFamily="18" charset="0"/>
                              </a:rPr>
                            </m:ctrlPr>
                          </m:sSubPr>
                          <m:e>
                            <m:r>
                              <a:rPr lang="en-US" sz="1000" i="1">
                                <a:effectLst/>
                                <a:latin typeface="Cambria Math" panose="02040503050406030204" pitchFamily="18" charset="0"/>
                                <a:ea typeface="Calibri" panose="020F0502020204030204" pitchFamily="34" charset="0"/>
                                <a:cs typeface="Times New Roman" panose="02020603050405020304" pitchFamily="18" charset="0"/>
                              </a:rPr>
                              <m:t>𝐶</m:t>
                            </m:r>
                          </m:e>
                          <m:sub>
                            <m:r>
                              <a:rPr lang="en-US" sz="1000" i="1">
                                <a:effectLst/>
                                <a:latin typeface="Cambria Math" panose="02040503050406030204" pitchFamily="18" charset="0"/>
                                <a:ea typeface="Calibri" panose="020F0502020204030204" pitchFamily="34" charset="0"/>
                                <a:cs typeface="Times New Roman" panose="02020603050405020304" pitchFamily="18" charset="0"/>
                              </a:rPr>
                              <m:t>𝑀</m:t>
                            </m:r>
                          </m:sub>
                        </m:sSub>
                        <m:r>
                          <a:rPr lang="en-US" sz="1000" i="1">
                            <a:effectLst/>
                            <a:latin typeface="Cambria Math" panose="02040503050406030204" pitchFamily="18" charset="0"/>
                            <a:ea typeface="Calibri" panose="020F0502020204030204" pitchFamily="34" charset="0"/>
                            <a:cs typeface="Times New Roman" panose="02020603050405020304" pitchFamily="18" charset="0"/>
                          </a:rPr>
                          <m:t>−0,003467</m:t>
                        </m:r>
                        <m:f>
                          <m:f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fPr>
                          <m:num>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𝐵</m:t>
                            </m:r>
                          </m:num>
                          <m:den>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𝑇</m:t>
                            </m:r>
                          </m:den>
                        </m:f>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+0,3696</m:t>
                        </m:r>
                        <m:sSub>
                          <m:sSub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𝐶</m:t>
                            </m:r>
                          </m:e>
                          <m:sub>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𝑊𝑃</m:t>
                            </m:r>
                          </m:sub>
                        </m:sSub>
                      </m:e>
                    </m:d>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+2,38</m:t>
                    </m:r>
                    <m:f>
                      <m:f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fPr>
                      <m:num>
                        <m:sSub>
                          <m:sSub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𝐴</m:t>
                            </m:r>
                          </m:e>
                          <m:sub>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𝐵𝑇</m:t>
                            </m:r>
                          </m:sub>
                        </m:sSub>
                      </m:num>
                      <m:den>
                        <m:sSub>
                          <m:sSubPr>
                            <m:ctrlPr>
                              <a:rPr lang="en-US" sz="10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𝐶</m:t>
                            </m:r>
                          </m:e>
                          <m:sub>
                            <m:r>
                              <a:rPr lang="en-US" sz="1000" i="1">
                                <a:effectLst/>
                                <a:latin typeface="Cambria Math" panose="02040503050406030204" pitchFamily="18" charset="0"/>
                                <a:ea typeface="Times New Roman" panose="02020603050405020304" pitchFamily="18" charset="0"/>
                                <a:cs typeface="Times New Roman" panose="02020603050405020304" pitchFamily="18" charset="0"/>
                              </a:rPr>
                              <m:t>𝐵</m:t>
                            </m:r>
                          </m:sub>
                        </m:sSub>
                      </m:den>
                    </m:f>
                  </m:oMath>
                </m:oMathPara>
              </a14:m>
              <a:endParaRPr lang="en-US" sz="1000">
                <a:effectLst/>
                <a:ea typeface="Calibri" panose="020F0502020204030204" pitchFamily="34" charset="0"/>
                <a:cs typeface="Times New Roman" panose="02020603050405020304" pitchFamily="18" charset="0"/>
              </a:endParaRPr>
            </a:p>
          </xdr:txBody>
        </xdr:sp>
      </mc:Choice>
      <mc:Fallback xmlns="">
        <xdr:sp macro="" textlink="">
          <xdr:nvSpPr>
            <xdr:cNvPr id="12" name="Text Box 7">
              <a:extLst>
                <a:ext uri="{FF2B5EF4-FFF2-40B4-BE49-F238E27FC236}">
                  <a16:creationId xmlns:a16="http://schemas.microsoft.com/office/drawing/2014/main" id="{64F0523E-0C4D-4874-AF66-68A2493FF698}"/>
                </a:ext>
              </a:extLst>
            </xdr:cNvPr>
            <xdr:cNvSpPr txBox="1"/>
          </xdr:nvSpPr>
          <xdr:spPr>
            <a:xfrm>
              <a:off x="0" y="24845282"/>
              <a:ext cx="5833956" cy="3864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lnSpc>
                  <a:spcPct val="107000"/>
                </a:lnSpc>
                <a:spcAft>
                  <a:spcPts val="800"/>
                </a:spcAft>
              </a:pPr>
              <a:r>
                <a:rPr lang="en-US" sz="1000" i="0">
                  <a:effectLst/>
                  <a:latin typeface="Cambria Math" panose="02040503050406030204" pitchFamily="18" charset="0"/>
                  <a:ea typeface="Calibri" panose="020F0502020204030204" pitchFamily="34" charset="0"/>
                  <a:cs typeface="Times New Roman" panose="02020603050405020304" pitchFamily="18" charset="0"/>
                </a:rPr>
                <a:t>𝑆=𝐿</a:t>
              </a:r>
              <a:r>
                <a:rPr lang="en-US" sz="1000" i="0">
                  <a:effectLst/>
                  <a:latin typeface="Cambria Math" panose="02040503050406030204" pitchFamily="18" charset="0"/>
                  <a:cs typeface="Times New Roman" panose="02020603050405020304" pitchFamily="18" charset="0"/>
                </a:rPr>
                <a:t>(</a:t>
              </a:r>
              <a:r>
                <a:rPr lang="en-US" sz="1000" i="0">
                  <a:effectLst/>
                  <a:latin typeface="Cambria Math" panose="02040503050406030204" pitchFamily="18" charset="0"/>
                  <a:ea typeface="Calibri" panose="020F0502020204030204" pitchFamily="34" charset="0"/>
                  <a:cs typeface="Times New Roman" panose="02020603050405020304" pitchFamily="18" charset="0"/>
                </a:rPr>
                <a:t>2𝑇+𝐵) </a:t>
              </a:r>
              <a:r>
                <a:rPr lang="en-US" sz="1000" i="0">
                  <a:effectLst/>
                  <a:latin typeface="Cambria Math" panose="02040503050406030204" pitchFamily="18" charset="0"/>
                  <a:cs typeface="Times New Roman" panose="02020603050405020304" pitchFamily="18" charset="0"/>
                </a:rPr>
                <a:t>√(</a:t>
              </a:r>
              <a:r>
                <a:rPr lang="en-US" sz="1000" i="0">
                  <a:effectLst/>
                  <a:latin typeface="Cambria Math" panose="02040503050406030204" pitchFamily="18" charset="0"/>
                  <a:ea typeface="Calibri" panose="020F0502020204030204" pitchFamily="34" charset="0"/>
                  <a:cs typeface="Times New Roman" panose="02020603050405020304" pitchFamily="18" charset="0"/>
                </a:rPr>
                <a:t>𝐶_𝑀 ) </a:t>
              </a:r>
              <a:r>
                <a:rPr lang="en-US" sz="1000" i="0">
                  <a:effectLst/>
                  <a:latin typeface="Cambria Math" panose="02040503050406030204" pitchFamily="18" charset="0"/>
                  <a:cs typeface="Times New Roman" panose="02020603050405020304" pitchFamily="18" charset="0"/>
                </a:rPr>
                <a:t>(</a:t>
              </a:r>
              <a:r>
                <a:rPr lang="en-US" sz="1000" i="0">
                  <a:effectLst/>
                  <a:latin typeface="Cambria Math" panose="02040503050406030204" pitchFamily="18" charset="0"/>
                  <a:ea typeface="Calibri" panose="020F0502020204030204" pitchFamily="34" charset="0"/>
                  <a:cs typeface="Times New Roman" panose="02020603050405020304" pitchFamily="18" charset="0"/>
                </a:rPr>
                <a:t>0,453+0,4425𝐶_𝐵−0,2862𝐶_𝑀−0,003467 </a:t>
              </a:r>
              <a:r>
                <a:rPr lang="en-US" sz="1000" i="0">
                  <a:effectLst/>
                  <a:latin typeface="Cambria Math" panose="02040503050406030204" pitchFamily="18" charset="0"/>
                  <a:ea typeface="Times New Roman" panose="02020603050405020304" pitchFamily="18" charset="0"/>
                  <a:cs typeface="Times New Roman" panose="02020603050405020304" pitchFamily="18" charset="0"/>
                </a:rPr>
                <a:t>𝐵/𝑇+0,3696𝐶_𝑊𝑃 )+2,38</a:t>
              </a:r>
              <a:r>
                <a:rPr lang="en-US" sz="1000" i="0">
                  <a:effectLst/>
                  <a:latin typeface="Cambria Math" panose="02040503050406030204" pitchFamily="18" charset="0"/>
                  <a:cs typeface="Times New Roman" panose="02020603050405020304" pitchFamily="18" charset="0"/>
                </a:rPr>
                <a:t> </a:t>
              </a:r>
              <a:r>
                <a:rPr lang="en-US" sz="1000" i="0">
                  <a:effectLst/>
                  <a:latin typeface="Cambria Math" panose="02040503050406030204" pitchFamily="18" charset="0"/>
                  <a:ea typeface="Times New Roman" panose="02020603050405020304" pitchFamily="18" charset="0"/>
                  <a:cs typeface="Times New Roman" panose="02020603050405020304" pitchFamily="18" charset="0"/>
                </a:rPr>
                <a:t>𝐴_𝐵𝑇/𝐶_𝐵 </a:t>
              </a:r>
              <a:endParaRPr lang="en-US" sz="1000">
                <a:effectLst/>
                <a:ea typeface="Calibri" panose="020F0502020204030204" pitchFamily="34" charset="0"/>
                <a:cs typeface="Times New Roman" panose="02020603050405020304" pitchFamily="18" charset="0"/>
              </a:endParaRPr>
            </a:p>
          </xdr:txBody>
        </xdr:sp>
      </mc:Fallback>
    </mc:AlternateContent>
    <xdr:clientData/>
  </xdr:twoCellAnchor>
  <xdr:twoCellAnchor>
    <xdr:from>
      <xdr:col>0</xdr:col>
      <xdr:colOff>0</xdr:colOff>
      <xdr:row>128</xdr:row>
      <xdr:rowOff>37565</xdr:rowOff>
    </xdr:from>
    <xdr:to>
      <xdr:col>3</xdr:col>
      <xdr:colOff>473848</xdr:colOff>
      <xdr:row>130</xdr:row>
      <xdr:rowOff>144630</xdr:rowOff>
    </xdr:to>
    <mc:AlternateContent xmlns:mc="http://schemas.openxmlformats.org/markup-compatibility/2006" xmlns:a14="http://schemas.microsoft.com/office/drawing/2010/main">
      <mc:Choice Requires="a14">
        <xdr:sp macro="" textlink="">
          <xdr:nvSpPr>
            <xdr:cNvPr id="13" name="Text Box 8">
              <a:extLst>
                <a:ext uri="{FF2B5EF4-FFF2-40B4-BE49-F238E27FC236}">
                  <a16:creationId xmlns:a16="http://schemas.microsoft.com/office/drawing/2014/main" id="{00000000-0008-0000-0B00-00000D000000}"/>
                </a:ext>
              </a:extLst>
            </xdr:cNvPr>
            <xdr:cNvSpPr txBox="1"/>
          </xdr:nvSpPr>
          <xdr:spPr>
            <a:xfrm>
              <a:off x="0" y="26069390"/>
              <a:ext cx="3750448" cy="50711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457200" lvl="0" algn="l">
                <a:lnSpc>
                  <a:spcPct val="115000"/>
                </a:lnSpc>
                <a:spcAft>
                  <a:spcPts val="0"/>
                </a:spcAft>
              </a:pPr>
              <a14:m>
                <m:oMathPara xmlns:m="http://schemas.openxmlformats.org/officeDocument/2006/math">
                  <m:oMathParaPr>
                    <m:jc m:val="left"/>
                  </m:oMathParaPr>
                  <m:oMath xmlns:m="http://schemas.openxmlformats.org/officeDocument/2006/math">
                    <m:sSub>
                      <m:sSub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sSubPr>
                      <m:e>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𝑆</m:t>
                        </m:r>
                      </m:e>
                      <m:sub>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𝑎𝑝𝑝</m:t>
                        </m:r>
                      </m:sub>
                    </m:sSub>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m:t>
                    </m:r>
                    <m:d>
                      <m:d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dPr>
                      <m:e>
                        <m:f>
                          <m:f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fPr>
                          <m:num>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2 </m:t>
                            </m:r>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𝐿𝑤𝑙</m:t>
                            </m:r>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 </m:t>
                            </m:r>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𝑇</m:t>
                            </m:r>
                          </m:num>
                          <m:den>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100</m:t>
                            </m:r>
                          </m:den>
                        </m:f>
                      </m:e>
                    </m:d>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m:t>
                    </m:r>
                    <m:d>
                      <m:d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dPr>
                      <m:e>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1+25</m:t>
                        </m:r>
                        <m:sSup>
                          <m:sSup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sSupPr>
                          <m:e>
                            <m:d>
                              <m:d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dPr>
                              <m:e>
                                <m:f>
                                  <m:fPr>
                                    <m:ctrlPr>
                                      <a:rPr lang="en-US" sz="1200" i="1">
                                        <a:effectLst/>
                                        <a:latin typeface="Cambria Math" panose="02040503050406030204" pitchFamily="18" charset="0"/>
                                        <a:ea typeface="Times New Roman" panose="02020603050405020304" pitchFamily="18" charset="0"/>
                                        <a:cs typeface="Times New Roman" panose="02020603050405020304" pitchFamily="18" charset="0"/>
                                      </a:rPr>
                                    </m:ctrlPr>
                                  </m:fPr>
                                  <m:num>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𝐵</m:t>
                                    </m:r>
                                  </m:num>
                                  <m:den>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𝐿𝑤𝑙</m:t>
                                    </m:r>
                                  </m:den>
                                </m:f>
                              </m:e>
                            </m:d>
                          </m:e>
                          <m:sup>
                            <m:r>
                              <a:rPr lang="en-US" sz="1200" i="1">
                                <a:effectLst/>
                                <a:latin typeface="Cambria Math" panose="02040503050406030204" pitchFamily="18" charset="0"/>
                                <a:ea typeface="Times New Roman" panose="02020603050405020304" pitchFamily="18" charset="0"/>
                                <a:cs typeface="Times New Roman" panose="02020603050405020304" pitchFamily="18" charset="0"/>
                              </a:rPr>
                              <m:t>2</m:t>
                            </m:r>
                          </m:sup>
                        </m:sSup>
                      </m:e>
                    </m:d>
                  </m:oMath>
                </m:oMathPara>
              </a14:m>
              <a:endParaRPr lang="en-US" sz="1100">
                <a:effectLst/>
                <a:ea typeface="Calibri" panose="020F0502020204030204" pitchFamily="34" charset="0"/>
                <a:cs typeface="Times New Roman" panose="02020603050405020304" pitchFamily="18" charset="0"/>
              </a:endParaRPr>
            </a:p>
          </xdr:txBody>
        </xdr:sp>
      </mc:Choice>
      <mc:Fallback xmlns="">
        <xdr:sp macro="" textlink="">
          <xdr:nvSpPr>
            <xdr:cNvPr id="13" name="Text Box 8">
              <a:extLst>
                <a:ext uri="{FF2B5EF4-FFF2-40B4-BE49-F238E27FC236}">
                  <a16:creationId xmlns:a16="http://schemas.microsoft.com/office/drawing/2014/main" id="{B2B7D712-A899-4B08-B0DE-AB697F37A4EE}"/>
                </a:ext>
              </a:extLst>
            </xdr:cNvPr>
            <xdr:cNvSpPr txBox="1"/>
          </xdr:nvSpPr>
          <xdr:spPr>
            <a:xfrm>
              <a:off x="0" y="26069390"/>
              <a:ext cx="3750448" cy="50711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457200" lvl="0" algn="l">
                <a:lnSpc>
                  <a:spcPct val="115000"/>
                </a:lnSpc>
                <a:spcAft>
                  <a:spcPts val="0"/>
                </a:spcAft>
              </a:pPr>
              <a:r>
                <a:rPr lang="en-US" sz="1200" i="0">
                  <a:effectLst/>
                  <a:latin typeface="Cambria Math" panose="02040503050406030204" pitchFamily="18" charset="0"/>
                  <a:ea typeface="Times New Roman" panose="02020603050405020304" pitchFamily="18" charset="0"/>
                  <a:cs typeface="Times New Roman" panose="02020603050405020304" pitchFamily="18" charset="0"/>
                </a:rPr>
                <a:t>𝑆_𝑎𝑝𝑝=</a:t>
              </a:r>
              <a:r>
                <a:rPr lang="en-US" sz="1200" i="0">
                  <a:effectLst/>
                  <a:latin typeface="Cambria Math" panose="02040503050406030204" pitchFamily="18" charset="0"/>
                  <a:cs typeface="Times New Roman" panose="02020603050405020304" pitchFamily="18" charset="0"/>
                </a:rPr>
                <a:t>((</a:t>
              </a:r>
              <a:r>
                <a:rPr lang="en-US" sz="1200" i="0">
                  <a:effectLst/>
                  <a:latin typeface="Cambria Math" panose="02040503050406030204" pitchFamily="18" charset="0"/>
                  <a:ea typeface="Times New Roman" panose="02020603050405020304" pitchFamily="18" charset="0"/>
                  <a:cs typeface="Times New Roman" panose="02020603050405020304" pitchFamily="18" charset="0"/>
                </a:rPr>
                <a:t>2 𝐿𝑤𝑙 𝑇)/100)×</a:t>
              </a:r>
              <a:r>
                <a:rPr lang="en-US" sz="1200" i="0">
                  <a:effectLst/>
                  <a:latin typeface="Cambria Math" panose="02040503050406030204" pitchFamily="18" charset="0"/>
                  <a:cs typeface="Times New Roman" panose="02020603050405020304" pitchFamily="18" charset="0"/>
                </a:rPr>
                <a:t>(</a:t>
              </a:r>
              <a:r>
                <a:rPr lang="en-US" sz="1200" i="0">
                  <a:effectLst/>
                  <a:latin typeface="Cambria Math" panose="02040503050406030204" pitchFamily="18" charset="0"/>
                  <a:ea typeface="Times New Roman" panose="02020603050405020304" pitchFamily="18" charset="0"/>
                  <a:cs typeface="Times New Roman" panose="02020603050405020304" pitchFamily="18" charset="0"/>
                </a:rPr>
                <a:t>1+25(𝐵/𝐿𝑤𝑙)^2 )</a:t>
              </a:r>
              <a:endParaRPr lang="en-US" sz="1100">
                <a:effectLst/>
                <a:ea typeface="Calibri" panose="020F0502020204030204" pitchFamily="34" charset="0"/>
                <a:cs typeface="Times New Roman" panose="02020603050405020304" pitchFamily="18" charset="0"/>
              </a:endParaRPr>
            </a:p>
          </xdr:txBody>
        </xdr:sp>
      </mc:Fallback>
    </mc:AlternateContent>
    <xdr:clientData/>
  </xdr:twoCellAnchor>
  <xdr:oneCellAnchor>
    <xdr:from>
      <xdr:col>0</xdr:col>
      <xdr:colOff>96520</xdr:colOff>
      <xdr:row>137</xdr:row>
      <xdr:rowOff>20320</xdr:rowOff>
    </xdr:from>
    <xdr:ext cx="1848455" cy="186269"/>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96520" y="27880945"/>
              <a:ext cx="1848455" cy="186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𝐴𝑃𝑃</m:t>
                        </m:r>
                      </m:sub>
                    </m:sSub>
                    <m:r>
                      <a:rPr lang="en-US" sz="1100" b="0" i="1">
                        <a:latin typeface="Cambria Math" panose="02040503050406030204" pitchFamily="18" charset="0"/>
                      </a:rPr>
                      <m:t>=0,5</m:t>
                    </m:r>
                    <m:r>
                      <a:rPr lang="en-US" sz="1100" b="0" i="1">
                        <a:latin typeface="Cambria Math" panose="02040503050406030204" pitchFamily="18" charset="0"/>
                        <a:ea typeface="Cambria Math" panose="02040503050406030204" pitchFamily="18" charset="0"/>
                      </a:rPr>
                      <m:t>𝜌</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𝑉</m:t>
                        </m:r>
                      </m:e>
                      <m:sup>
                        <m:r>
                          <a:rPr lang="en-US" sz="1100" b="0" i="1">
                            <a:latin typeface="Cambria Math" panose="02040503050406030204" pitchFamily="18" charset="0"/>
                            <a:ea typeface="Cambria Math" panose="02040503050406030204" pitchFamily="18" charset="0"/>
                          </a:rPr>
                          <m:t>2</m:t>
                        </m:r>
                      </m:sup>
                    </m:sSup>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𝑆</m:t>
                        </m:r>
                      </m:e>
                      <m:sub>
                        <m:r>
                          <a:rPr lang="en-US" sz="1100" b="0" i="1">
                            <a:latin typeface="Cambria Math" panose="02040503050406030204" pitchFamily="18" charset="0"/>
                            <a:ea typeface="Cambria Math" panose="02040503050406030204" pitchFamily="18" charset="0"/>
                          </a:rPr>
                          <m:t>𝐴𝑃𝑃</m:t>
                        </m:r>
                      </m:sub>
                    </m:sSub>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𝑘</m:t>
                        </m:r>
                      </m:e>
                      <m:sub>
                        <m:r>
                          <a:rPr lang="en-US" sz="1100" b="0" i="1">
                            <a:latin typeface="Cambria Math" panose="02040503050406030204" pitchFamily="18" charset="0"/>
                            <a:ea typeface="Cambria Math" panose="02040503050406030204" pitchFamily="18" charset="0"/>
                          </a:rPr>
                          <m:t>2</m:t>
                        </m:r>
                      </m:sub>
                    </m:sSub>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𝑓</m:t>
                        </m:r>
                      </m:sub>
                    </m:sSub>
                  </m:oMath>
                </m:oMathPara>
              </a14:m>
              <a:endParaRPr lang="en-US" sz="1100"/>
            </a:p>
          </xdr:txBody>
        </xdr:sp>
      </mc:Choice>
      <mc:Fallback xmlns="">
        <xdr:sp macro="" textlink="">
          <xdr:nvSpPr>
            <xdr:cNvPr id="14" name="TextBox 13">
              <a:extLst>
                <a:ext uri="{FF2B5EF4-FFF2-40B4-BE49-F238E27FC236}">
                  <a16:creationId xmlns:a16="http://schemas.microsoft.com/office/drawing/2014/main" id="{E94DC999-4DBF-49F3-8158-C76B536CE6BD}"/>
                </a:ext>
              </a:extLst>
            </xdr:cNvPr>
            <xdr:cNvSpPr txBox="1"/>
          </xdr:nvSpPr>
          <xdr:spPr>
            <a:xfrm>
              <a:off x="96520" y="27880945"/>
              <a:ext cx="1848455" cy="186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𝑅_𝐴𝑃𝑃=0,5</a:t>
              </a:r>
              <a:r>
                <a:rPr lang="en-US" sz="1100" b="0" i="0">
                  <a:latin typeface="Cambria Math" panose="02040503050406030204" pitchFamily="18" charset="0"/>
                  <a:ea typeface="Cambria Math" panose="02040503050406030204" pitchFamily="18" charset="0"/>
                </a:rPr>
                <a:t>𝜌𝑉^2 𝑆_𝐴𝑃𝑃 (1+𝑘_2)𝐶_𝑓</a:t>
              </a:r>
              <a:endParaRPr lang="en-US" sz="1100"/>
            </a:p>
          </xdr:txBody>
        </xdr:sp>
      </mc:Fallback>
    </mc:AlternateContent>
    <xdr:clientData/>
  </xdr:oneCellAnchor>
  <xdr:oneCellAnchor>
    <xdr:from>
      <xdr:col>0</xdr:col>
      <xdr:colOff>0</xdr:colOff>
      <xdr:row>170</xdr:row>
      <xdr:rowOff>0</xdr:rowOff>
    </xdr:from>
    <xdr:ext cx="3657600" cy="315792"/>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0" y="34461450"/>
              <a:ext cx="365760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1</m:t>
                        </m:r>
                      </m:sub>
                    </m:sSub>
                    <m:r>
                      <a:rPr lang="en-US" sz="1100" b="0" i="1">
                        <a:latin typeface="Cambria Math" panose="02040503050406030204" pitchFamily="18" charset="0"/>
                      </a:rPr>
                      <m:t>=2223105</m:t>
                    </m:r>
                    <m:r>
                      <a:rPr lang="en-US" sz="1100" b="0" i="1">
                        <a:latin typeface="Cambria Math" panose="02040503050406030204" pitchFamily="18" charset="0"/>
                        <a:ea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7</m:t>
                        </m:r>
                      </m:sub>
                      <m:sup>
                        <m:r>
                          <a:rPr lang="en-US" sz="1100" b="0" i="1">
                            <a:latin typeface="Cambria Math" panose="02040503050406030204" pitchFamily="18" charset="0"/>
                            <a:ea typeface="Cambria Math" panose="02040503050406030204" pitchFamily="18" charset="0"/>
                          </a:rPr>
                          <m:t>3,78613</m:t>
                        </m:r>
                      </m:sup>
                    </m:sSubSup>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𝑇</m:t>
                            </m:r>
                          </m:num>
                          <m:den>
                            <m:r>
                              <a:rPr lang="en-US" sz="1100" b="0" i="1">
                                <a:latin typeface="Cambria Math" panose="02040503050406030204" pitchFamily="18" charset="0"/>
                                <a:ea typeface="Cambria Math" panose="02040503050406030204" pitchFamily="18" charset="0"/>
                              </a:rPr>
                              <m:t>𝐵</m:t>
                            </m:r>
                          </m:den>
                        </m:f>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ea typeface="Cambria Math" panose="02040503050406030204" pitchFamily="18" charset="0"/>
                          </a:rPr>
                          <m:t>1,07961</m:t>
                        </m:r>
                      </m:sup>
                    </m:sSup>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(90−</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𝑖</m:t>
                            </m:r>
                          </m:e>
                          <m:sub>
                            <m:r>
                              <a:rPr lang="en-US" sz="1100" b="0" i="1">
                                <a:latin typeface="Cambria Math" panose="02040503050406030204" pitchFamily="18" charset="0"/>
                                <a:ea typeface="Cambria Math" panose="02040503050406030204" pitchFamily="18" charset="0"/>
                              </a:rPr>
                              <m:t>𝐸</m:t>
                            </m:r>
                          </m:sub>
                        </m:sSub>
                        <m:r>
                          <a:rPr lang="en-US" sz="1100" b="0" i="1">
                            <a:latin typeface="Cambria Math" panose="02040503050406030204" pitchFamily="18" charset="0"/>
                            <a:ea typeface="Cambria Math" panose="02040503050406030204" pitchFamily="18" charset="0"/>
                          </a:rPr>
                          <m:t>)</m:t>
                        </m:r>
                      </m:e>
                      <m:sup>
                        <m:r>
                          <a:rPr lang="en-US" sz="1100" b="0" i="1">
                            <a:latin typeface="Cambria Math" panose="02040503050406030204" pitchFamily="18" charset="0"/>
                            <a:ea typeface="Cambria Math" panose="02040503050406030204" pitchFamily="18" charset="0"/>
                          </a:rPr>
                          <m:t>−1,37565</m:t>
                        </m:r>
                      </m:sup>
                    </m:sSup>
                  </m:oMath>
                </m:oMathPara>
              </a14:m>
              <a:endParaRPr lang="en-US" sz="1100"/>
            </a:p>
          </xdr:txBody>
        </xdr:sp>
      </mc:Choice>
      <mc:Fallback xmlns="">
        <xdr:sp macro="" textlink="">
          <xdr:nvSpPr>
            <xdr:cNvPr id="15" name="TextBox 14">
              <a:extLst>
                <a:ext uri="{FF2B5EF4-FFF2-40B4-BE49-F238E27FC236}">
                  <a16:creationId xmlns:a16="http://schemas.microsoft.com/office/drawing/2014/main" id="{A7559407-B5A5-4313-B7AD-13EE3F469783}"/>
                </a:ext>
              </a:extLst>
            </xdr:cNvPr>
            <xdr:cNvSpPr txBox="1"/>
          </xdr:nvSpPr>
          <xdr:spPr>
            <a:xfrm>
              <a:off x="0" y="34461450"/>
              <a:ext cx="365760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𝐶_1=2223105</a:t>
              </a:r>
              <a:r>
                <a:rPr lang="en-US" sz="1100" b="0" i="0">
                  <a:latin typeface="Cambria Math" panose="02040503050406030204" pitchFamily="18" charset="0"/>
                  <a:ea typeface="Cambria Math" panose="02040503050406030204" pitchFamily="18" charset="0"/>
                </a:rPr>
                <a:t>×𝐶_7^3,78613×〖(𝑇/𝐵)〗^1,07961×〖(90−𝑖_𝐸)〗^(−1,37565)</a:t>
              </a:r>
              <a:endParaRPr lang="en-US" sz="1100"/>
            </a:p>
          </xdr:txBody>
        </xdr:sp>
      </mc:Fallback>
    </mc:AlternateContent>
    <xdr:clientData/>
  </xdr:oneCellAnchor>
  <xdr:oneCellAnchor>
    <xdr:from>
      <xdr:col>0</xdr:col>
      <xdr:colOff>0</xdr:colOff>
      <xdr:row>179</xdr:row>
      <xdr:rowOff>0</xdr:rowOff>
    </xdr:from>
    <xdr:ext cx="1472583" cy="19396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0000000-0008-0000-0B00-000010000000}"/>
                </a:ext>
              </a:extLst>
            </xdr:cNvPr>
            <xdr:cNvSpPr txBox="1"/>
          </xdr:nvSpPr>
          <xdr:spPr>
            <a:xfrm>
              <a:off x="0" y="36261675"/>
              <a:ext cx="1472583" cy="19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m:t>
                    </m:r>
                    <m:r>
                      <a:rPr lang="en-US" sz="1100" b="0" i="1">
                        <a:latin typeface="Cambria Math" panose="02040503050406030204" pitchFamily="18" charset="0"/>
                      </a:rPr>
                      <m:t>2=</m:t>
                    </m:r>
                    <m:r>
                      <a:rPr lang="en-US" sz="1100" b="0" i="1">
                        <a:latin typeface="Cambria Math" panose="02040503050406030204" pitchFamily="18" charset="0"/>
                      </a:rPr>
                      <m:t>𝐸𝑋𝑃</m:t>
                    </m:r>
                    <m:r>
                      <a:rPr lang="en-US" sz="1100" b="0" i="1">
                        <a:latin typeface="Cambria Math" panose="02040503050406030204" pitchFamily="18" charset="0"/>
                      </a:rPr>
                      <m:t>(−1,89×</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3</m:t>
                        </m:r>
                      </m:sub>
                      <m:sup>
                        <m:r>
                          <a:rPr lang="en-US" sz="1100" b="0" i="1">
                            <a:latin typeface="Cambria Math" panose="02040503050406030204" pitchFamily="18" charset="0"/>
                            <a:ea typeface="Cambria Math" panose="02040503050406030204" pitchFamily="18" charset="0"/>
                          </a:rPr>
                          <m:t>0,5</m:t>
                        </m:r>
                      </m:sup>
                    </m:sSubSup>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F46AA9F3-1BD7-4362-9E01-C7D1A0C802D6}"/>
                </a:ext>
              </a:extLst>
            </xdr:cNvPr>
            <xdr:cNvSpPr txBox="1"/>
          </xdr:nvSpPr>
          <xdr:spPr>
            <a:xfrm>
              <a:off x="0" y="36261675"/>
              <a:ext cx="1472583" cy="19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𝐶2=𝐸𝑋𝑃(−1,89×</a:t>
              </a:r>
              <a:r>
                <a:rPr lang="en-US" sz="1100" b="0" i="0">
                  <a:latin typeface="Cambria Math" panose="02040503050406030204" pitchFamily="18" charset="0"/>
                  <a:ea typeface="Cambria Math" panose="02040503050406030204" pitchFamily="18" charset="0"/>
                </a:rPr>
                <a:t>𝐶_3^0,5)</a:t>
              </a:r>
              <a:endParaRPr lang="en-US" sz="1100"/>
            </a:p>
          </xdr:txBody>
        </xdr:sp>
      </mc:Fallback>
    </mc:AlternateContent>
    <xdr:clientData/>
  </xdr:oneCellAnchor>
  <xdr:oneCellAnchor>
    <xdr:from>
      <xdr:col>0</xdr:col>
      <xdr:colOff>0</xdr:colOff>
      <xdr:row>183</xdr:row>
      <xdr:rowOff>0</xdr:rowOff>
    </xdr:from>
    <xdr:ext cx="1425968" cy="17222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0000000-0008-0000-0B00-000011000000}"/>
                </a:ext>
              </a:extLst>
            </xdr:cNvPr>
            <xdr:cNvSpPr txBox="1"/>
          </xdr:nvSpPr>
          <xdr:spPr>
            <a:xfrm>
              <a:off x="0" y="37061775"/>
              <a:ext cx="14259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5</m:t>
                        </m:r>
                      </m:sub>
                    </m:sSub>
                    <m:r>
                      <a:rPr lang="en-US" sz="1100" b="0" i="1">
                        <a:latin typeface="Cambria Math" panose="02040503050406030204" pitchFamily="18" charset="0"/>
                      </a:rPr>
                      <m:t>=1−0,8</m:t>
                    </m:r>
                    <m:sSub>
                      <m:sSubPr>
                        <m:ctrlPr>
                          <a:rPr lang="en-US" sz="1100" b="0" i="1">
                            <a:latin typeface="Cambria Math" panose="02040503050406030204" pitchFamily="18" charset="0"/>
                          </a:rPr>
                        </m:ctrlPr>
                      </m:sSubPr>
                      <m:e>
                        <m:r>
                          <a:rPr lang="en-US" sz="1100" b="0" i="1">
                            <a:latin typeface="Cambria Math" panose="02040503050406030204" pitchFamily="18" charset="0"/>
                          </a:rPr>
                          <m:t>𝐴</m:t>
                        </m:r>
                      </m:e>
                      <m:sub>
                        <m:r>
                          <a:rPr lang="en-US" sz="1100" b="0" i="1">
                            <a:latin typeface="Cambria Math" panose="02040503050406030204" pitchFamily="18" charset="0"/>
                          </a:rPr>
                          <m:t>𝑇</m:t>
                        </m:r>
                      </m:sub>
                    </m:sSub>
                    <m:r>
                      <a:rPr lang="en-US" sz="1100" b="0" i="1">
                        <a:latin typeface="Cambria Math" panose="02040503050406030204" pitchFamily="18" charset="0"/>
                      </a:rPr>
                      <m:t>(</m:t>
                    </m:r>
                    <m:r>
                      <a:rPr lang="en-US" sz="1100" b="0" i="1">
                        <a:latin typeface="Cambria Math" panose="02040503050406030204" pitchFamily="18" charset="0"/>
                      </a:rPr>
                      <m:t>𝐵𝑇</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𝑀</m:t>
                        </m:r>
                      </m:sub>
                    </m:sSub>
                    <m:r>
                      <a:rPr lang="en-US" sz="1100" b="0" i="1">
                        <a:latin typeface="Cambria Math" panose="02040503050406030204" pitchFamily="18" charset="0"/>
                      </a:rPr>
                      <m:t>)</m:t>
                    </m:r>
                  </m:oMath>
                </m:oMathPara>
              </a14:m>
              <a:endParaRPr lang="en-US" sz="1100"/>
            </a:p>
          </xdr:txBody>
        </xdr:sp>
      </mc:Choice>
      <mc:Fallback xmlns="">
        <xdr:sp macro="" textlink="">
          <xdr:nvSpPr>
            <xdr:cNvPr id="17" name="TextBox 16">
              <a:extLst>
                <a:ext uri="{FF2B5EF4-FFF2-40B4-BE49-F238E27FC236}">
                  <a16:creationId xmlns:a16="http://schemas.microsoft.com/office/drawing/2014/main" id="{F9114025-F14A-480B-9917-2AC592C4337D}"/>
                </a:ext>
              </a:extLst>
            </xdr:cNvPr>
            <xdr:cNvSpPr txBox="1"/>
          </xdr:nvSpPr>
          <xdr:spPr>
            <a:xfrm>
              <a:off x="0" y="37061775"/>
              <a:ext cx="14259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𝐶_5=1−0,8𝐴_𝑇 (𝐵𝑇𝐶_𝑀)</a:t>
              </a:r>
              <a:endParaRPr lang="en-US" sz="1100"/>
            </a:p>
          </xdr:txBody>
        </xdr:sp>
      </mc:Fallback>
    </mc:AlternateContent>
    <xdr:clientData/>
  </xdr:oneCellAnchor>
  <xdr:oneCellAnchor>
    <xdr:from>
      <xdr:col>0</xdr:col>
      <xdr:colOff>0</xdr:colOff>
      <xdr:row>192</xdr:row>
      <xdr:rowOff>0</xdr:rowOff>
    </xdr:from>
    <xdr:ext cx="3951514" cy="460832"/>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0000000-0008-0000-0B00-000012000000}"/>
                </a:ext>
              </a:extLst>
            </xdr:cNvPr>
            <xdr:cNvSpPr txBox="1"/>
          </xdr:nvSpPr>
          <xdr:spPr>
            <a:xfrm>
              <a:off x="0" y="38862000"/>
              <a:ext cx="3951514" cy="460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𝑚</m:t>
                    </m:r>
                    <m:r>
                      <a:rPr lang="en-US" sz="1100" b="0" i="1">
                        <a:latin typeface="Cambria Math" panose="02040503050406030204" pitchFamily="18" charset="0"/>
                      </a:rPr>
                      <m:t>1=</m:t>
                    </m:r>
                    <m:d>
                      <m:dPr>
                        <m:ctrlPr>
                          <a:rPr lang="en-US" sz="1100" b="0" i="1">
                            <a:latin typeface="Cambria Math" panose="02040503050406030204" pitchFamily="18" charset="0"/>
                          </a:rPr>
                        </m:ctrlPr>
                      </m:dPr>
                      <m:e>
                        <m:r>
                          <a:rPr lang="en-US" sz="1100" b="0" i="1">
                            <a:latin typeface="Cambria Math" panose="02040503050406030204" pitchFamily="18" charset="0"/>
                          </a:rPr>
                          <m:t>0,0140407</m:t>
                        </m:r>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𝐿</m:t>
                            </m:r>
                          </m:num>
                          <m:den>
                            <m:r>
                              <a:rPr lang="en-US" sz="1100" b="0" i="1">
                                <a:latin typeface="Cambria Math" panose="02040503050406030204" pitchFamily="18" charset="0"/>
                                <a:ea typeface="Cambria Math" panose="02040503050406030204" pitchFamily="18" charset="0"/>
                              </a:rPr>
                              <m:t>𝑇</m:t>
                            </m:r>
                          </m:den>
                        </m:f>
                      </m:e>
                    </m:d>
                    <m:r>
                      <a:rPr lang="en-US" sz="1100" b="0" i="1">
                        <a:latin typeface="Cambria Math" panose="02040503050406030204" pitchFamily="18" charset="0"/>
                        <a:ea typeface="Cambria Math" panose="02040503050406030204" pitchFamily="18" charset="0"/>
                      </a:rPr>
                      <m:t>−1,75254×</m:t>
                    </m:r>
                    <m:f>
                      <m:fPr>
                        <m:ctrlPr>
                          <a:rPr lang="en-US" sz="1100" b="0" i="1">
                            <a:latin typeface="Cambria Math" panose="02040503050406030204" pitchFamily="18" charset="0"/>
                            <a:ea typeface="Cambria Math" panose="02040503050406030204" pitchFamily="18" charset="0"/>
                          </a:rPr>
                        </m:ctrlPr>
                      </m:fPr>
                      <m:num>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e>
                          <m:sup>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1</m:t>
                                </m:r>
                              </m:num>
                              <m:den>
                                <m:r>
                                  <a:rPr lang="en-US" sz="1100" b="0" i="1">
                                    <a:latin typeface="Cambria Math" panose="02040503050406030204" pitchFamily="18" charset="0"/>
                                    <a:ea typeface="Cambria Math" panose="02040503050406030204" pitchFamily="18" charset="0"/>
                                  </a:rPr>
                                  <m:t>3</m:t>
                                </m:r>
                              </m:den>
                            </m:f>
                          </m:sup>
                        </m:sSup>
                      </m:num>
                      <m:den>
                        <m:r>
                          <a:rPr lang="en-US" sz="1100" b="0" i="1">
                            <a:latin typeface="Cambria Math" panose="02040503050406030204" pitchFamily="18" charset="0"/>
                            <a:ea typeface="Cambria Math" panose="02040503050406030204" pitchFamily="18" charset="0"/>
                          </a:rPr>
                          <m:t>𝐿</m:t>
                        </m:r>
                      </m:den>
                    </m:f>
                    <m:r>
                      <a:rPr lang="en-US" sz="1100" b="0" i="1">
                        <a:latin typeface="Cambria Math" panose="02040503050406030204" pitchFamily="18" charset="0"/>
                        <a:ea typeface="Cambria Math" panose="02040503050406030204" pitchFamily="18" charset="0"/>
                      </a:rPr>
                      <m:t>−4,79323×</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𝐵</m:t>
                        </m:r>
                      </m:num>
                      <m:den>
                        <m:r>
                          <a:rPr lang="en-US" sz="1100" b="0" i="1">
                            <a:latin typeface="Cambria Math" panose="02040503050406030204" pitchFamily="18" charset="0"/>
                            <a:ea typeface="Cambria Math" panose="02040503050406030204" pitchFamily="18" charset="0"/>
                          </a:rPr>
                          <m:t>𝐿</m:t>
                        </m:r>
                      </m:den>
                    </m:f>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𝐶</m:t>
                    </m:r>
                    <m:r>
                      <a:rPr lang="en-US" sz="1100" b="0" i="1">
                        <a:solidFill>
                          <a:schemeClr val="tx1"/>
                        </a:solidFill>
                        <a:effectLst/>
                        <a:latin typeface="Cambria Math" panose="02040503050406030204" pitchFamily="18" charset="0"/>
                        <a:ea typeface="+mn-ea"/>
                        <a:cs typeface="+mn-cs"/>
                      </a:rPr>
                      <m:t>16</m:t>
                    </m:r>
                  </m:oMath>
                </m:oMathPara>
              </a14:m>
              <a:endParaRPr lang="en-US" sz="1100"/>
            </a:p>
          </xdr:txBody>
        </xdr:sp>
      </mc:Choice>
      <mc:Fallback xmlns="">
        <xdr:sp macro="" textlink="">
          <xdr:nvSpPr>
            <xdr:cNvPr id="18" name="TextBox 17">
              <a:extLst>
                <a:ext uri="{FF2B5EF4-FFF2-40B4-BE49-F238E27FC236}">
                  <a16:creationId xmlns:a16="http://schemas.microsoft.com/office/drawing/2014/main" id="{115B6035-91AB-45EB-BA52-694999B17F47}"/>
                </a:ext>
              </a:extLst>
            </xdr:cNvPr>
            <xdr:cNvSpPr txBox="1"/>
          </xdr:nvSpPr>
          <xdr:spPr>
            <a:xfrm>
              <a:off x="0" y="38862000"/>
              <a:ext cx="3951514" cy="460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𝑚1=(0,0140407</a:t>
              </a:r>
              <a:r>
                <a:rPr lang="en-US" sz="1100" b="0" i="0">
                  <a:latin typeface="Cambria Math" panose="02040503050406030204" pitchFamily="18" charset="0"/>
                  <a:ea typeface="Cambria Math" panose="02040503050406030204" pitchFamily="18" charset="0"/>
                </a:rPr>
                <a:t>×𝐿/𝑇)−1,75254×𝛻^(1/3)/𝐿−4,79323×𝐵/𝐿</a:t>
              </a:r>
              <a:r>
                <a:rPr lang="en-US" sz="1100" b="0" i="0">
                  <a:solidFill>
                    <a:schemeClr val="tx1"/>
                  </a:solidFill>
                  <a:effectLst/>
                  <a:latin typeface="Cambria Math" panose="02040503050406030204" pitchFamily="18" charset="0"/>
                  <a:ea typeface="+mn-ea"/>
                  <a:cs typeface="+mn-cs"/>
                </a:rPr>
                <a:t>−𝐶16</a:t>
              </a:r>
              <a:endParaRPr lang="en-US" sz="1100"/>
            </a:p>
          </xdr:txBody>
        </xdr:sp>
      </mc:Fallback>
    </mc:AlternateContent>
    <xdr:clientData/>
  </xdr:oneCellAnchor>
  <xdr:oneCellAnchor>
    <xdr:from>
      <xdr:col>0</xdr:col>
      <xdr:colOff>0</xdr:colOff>
      <xdr:row>188</xdr:row>
      <xdr:rowOff>19210</xdr:rowOff>
    </xdr:from>
    <xdr:ext cx="3810000" cy="17536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00000000-0008-0000-0B00-000013000000}"/>
                </a:ext>
              </a:extLst>
            </xdr:cNvPr>
            <xdr:cNvSpPr txBox="1"/>
          </xdr:nvSpPr>
          <xdr:spPr>
            <a:xfrm>
              <a:off x="0" y="38081110"/>
              <a:ext cx="3810000"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a:t>C16=</a:t>
              </a:r>
              <a14:m>
                <m:oMath xmlns:m="http://schemas.openxmlformats.org/officeDocument/2006/math">
                  <m:d>
                    <m:dPr>
                      <m:ctrlPr>
                        <a:rPr lang="en-US" sz="1100" b="0" i="1">
                          <a:latin typeface="Cambria Math" panose="02040503050406030204" pitchFamily="18" charset="0"/>
                        </a:rPr>
                      </m:ctrlPr>
                    </m:dPr>
                    <m:e>
                      <m:r>
                        <a:rPr lang="en-US" sz="1100" b="0" i="1">
                          <a:latin typeface="Cambria Math" panose="02040503050406030204" pitchFamily="18" charset="0"/>
                        </a:rPr>
                        <m:t>8,07981</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𝐶𝑝</m:t>
                      </m:r>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13,8673×</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𝐶𝑝</m:t>
                          </m:r>
                        </m:e>
                        <m:sup>
                          <m:r>
                            <a:rPr lang="en-US" sz="1100" b="0" i="1">
                              <a:latin typeface="Cambria Math" panose="02040503050406030204" pitchFamily="18" charset="0"/>
                              <a:ea typeface="Cambria Math" panose="02040503050406030204" pitchFamily="18" charset="0"/>
                            </a:rPr>
                            <m:t>2</m:t>
                          </m:r>
                        </m:sup>
                      </m:sSup>
                    </m:e>
                  </m:d>
                  <m:r>
                    <a:rPr lang="en-US" sz="1100" b="0" i="1">
                      <a:latin typeface="Cambria Math" panose="02040503050406030204" pitchFamily="18" charset="0"/>
                      <a:ea typeface="Cambria Math" panose="02040503050406030204" pitchFamily="18" charset="0"/>
                    </a:rPr>
                    <m:t>+(6,984388×</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𝐶𝑝</m:t>
                      </m:r>
                    </m:e>
                    <m:sup>
                      <m:r>
                        <a:rPr lang="en-US" sz="1100" b="0" i="1">
                          <a:latin typeface="Cambria Math" panose="02040503050406030204" pitchFamily="18" charset="0"/>
                          <a:ea typeface="Cambria Math" panose="02040503050406030204" pitchFamily="18" charset="0"/>
                        </a:rPr>
                        <m:t>3</m:t>
                      </m:r>
                    </m:sup>
                  </m:sSup>
                  <m:r>
                    <a:rPr lang="en-US" sz="1100" b="0" i="1">
                      <a:latin typeface="Cambria Math" panose="02040503050406030204" pitchFamily="18" charset="0"/>
                      <a:ea typeface="Cambria Math" panose="02040503050406030204" pitchFamily="18" charset="0"/>
                    </a:rPr>
                    <m:t>)</m:t>
                  </m:r>
                </m:oMath>
              </a14:m>
              <a:endParaRPr lang="en-US" sz="1100"/>
            </a:p>
          </xdr:txBody>
        </xdr:sp>
      </mc:Choice>
      <mc:Fallback xmlns="">
        <xdr:sp macro="" textlink="">
          <xdr:nvSpPr>
            <xdr:cNvPr id="19" name="TextBox 18">
              <a:extLst>
                <a:ext uri="{FF2B5EF4-FFF2-40B4-BE49-F238E27FC236}">
                  <a16:creationId xmlns:a16="http://schemas.microsoft.com/office/drawing/2014/main" id="{7ABEBD80-43EB-4CE4-AE7D-4A752A270417}"/>
                </a:ext>
              </a:extLst>
            </xdr:cNvPr>
            <xdr:cNvSpPr txBox="1"/>
          </xdr:nvSpPr>
          <xdr:spPr>
            <a:xfrm>
              <a:off x="0" y="38081110"/>
              <a:ext cx="3810000"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a:t>C16=</a:t>
              </a:r>
              <a:r>
                <a:rPr lang="en-US" sz="1100" b="0" i="0">
                  <a:latin typeface="Cambria Math" panose="02040503050406030204" pitchFamily="18" charset="0"/>
                </a:rPr>
                <a:t>(8,07981</a:t>
              </a:r>
              <a:r>
                <a:rPr lang="en-US" sz="1100" b="0" i="0">
                  <a:latin typeface="Cambria Math" panose="02040503050406030204" pitchFamily="18" charset="0"/>
                  <a:ea typeface="Cambria Math" panose="02040503050406030204" pitchFamily="18" charset="0"/>
                </a:rPr>
                <a:t>×𝐶𝑝)−(13,8673×〖𝐶𝑝〗^2 )+(6,984388×〖𝐶𝑝〗^3)</a:t>
              </a:r>
              <a:endParaRPr lang="en-US" sz="1100"/>
            </a:p>
          </xdr:txBody>
        </xdr:sp>
      </mc:Fallback>
    </mc:AlternateContent>
    <xdr:clientData/>
  </xdr:oneCellAnchor>
  <xdr:oneCellAnchor>
    <xdr:from>
      <xdr:col>0</xdr:col>
      <xdr:colOff>1041400</xdr:colOff>
      <xdr:row>197</xdr:row>
      <xdr:rowOff>5080</xdr:rowOff>
    </xdr:from>
    <xdr:ext cx="308610" cy="339708"/>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00000000-0008-0000-0B00-000014000000}"/>
                </a:ext>
              </a:extLst>
            </xdr:cNvPr>
            <xdr:cNvSpPr txBox="1"/>
          </xdr:nvSpPr>
          <xdr:spPr>
            <a:xfrm>
              <a:off x="1041400" y="39867205"/>
              <a:ext cx="308610"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𝐿</m:t>
                            </m:r>
                          </m:e>
                          <m:sup>
                            <m:r>
                              <a:rPr lang="en-US" sz="1100" b="0" i="1">
                                <a:latin typeface="Cambria Math" panose="02040503050406030204" pitchFamily="18" charset="0"/>
                              </a:rPr>
                              <m:t>3</m:t>
                            </m:r>
                          </m:sup>
                        </m:sSup>
                      </m:num>
                      <m:den>
                        <m:r>
                          <a:rPr lang="en-US" sz="1100" b="0" i="1">
                            <a:latin typeface="Cambria Math" panose="02040503050406030204" pitchFamily="18" charset="0"/>
                            <a:ea typeface="Cambria Math" panose="02040503050406030204" pitchFamily="18" charset="0"/>
                          </a:rPr>
                          <m:t>𝛻</m:t>
                        </m:r>
                      </m:den>
                    </m:f>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0" name="TextBox 19">
              <a:extLst>
                <a:ext uri="{FF2B5EF4-FFF2-40B4-BE49-F238E27FC236}">
                  <a16:creationId xmlns:a16="http://schemas.microsoft.com/office/drawing/2014/main" id="{4069BD23-F0B6-495E-93D2-B8A0566172B3}"/>
                </a:ext>
              </a:extLst>
            </xdr:cNvPr>
            <xdr:cNvSpPr txBox="1"/>
          </xdr:nvSpPr>
          <xdr:spPr>
            <a:xfrm>
              <a:off x="1041400" y="39867205"/>
              <a:ext cx="308610"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𝐿^3/</a:t>
              </a:r>
              <a:r>
                <a:rPr lang="en-US" sz="1100" b="0" i="0">
                  <a:latin typeface="Cambria Math" panose="02040503050406030204" pitchFamily="18" charset="0"/>
                  <a:ea typeface="Cambria Math" panose="02040503050406030204" pitchFamily="18" charset="0"/>
                </a:rPr>
                <a:t>𝛻=</a:t>
              </a:r>
              <a:endParaRPr lang="en-US" sz="1100"/>
            </a:p>
          </xdr:txBody>
        </xdr:sp>
      </mc:Fallback>
    </mc:AlternateContent>
    <xdr:clientData/>
  </xdr:oneCellAnchor>
  <xdr:oneCellAnchor>
    <xdr:from>
      <xdr:col>0</xdr:col>
      <xdr:colOff>0</xdr:colOff>
      <xdr:row>203</xdr:row>
      <xdr:rowOff>0</xdr:rowOff>
    </xdr:from>
    <xdr:ext cx="2677886" cy="17536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00000000-0008-0000-0B00-000015000000}"/>
                </a:ext>
              </a:extLst>
            </xdr:cNvPr>
            <xdr:cNvSpPr txBox="1"/>
          </xdr:nvSpPr>
          <xdr:spPr>
            <a:xfrm>
              <a:off x="0" y="41062275"/>
              <a:ext cx="2677886"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𝑀</m:t>
                    </m:r>
                    <m:r>
                      <a:rPr lang="en-US" sz="1100" b="0" i="1">
                        <a:latin typeface="Cambria Math" panose="02040503050406030204" pitchFamily="18" charset="0"/>
                      </a:rPr>
                      <m:t>2=</m:t>
                    </m:r>
                    <m:r>
                      <a:rPr lang="en-US" sz="1100" b="0" i="1">
                        <a:latin typeface="Cambria Math" panose="02040503050406030204" pitchFamily="18" charset="0"/>
                      </a:rPr>
                      <m:t>𝐶</m:t>
                    </m:r>
                    <m:r>
                      <a:rPr lang="en-US" sz="1100" b="0" i="1">
                        <a:latin typeface="Cambria Math" panose="02040503050406030204" pitchFamily="18" charset="0"/>
                      </a:rPr>
                      <m:t>15×</m:t>
                    </m:r>
                    <m:r>
                      <a:rPr lang="en-US" sz="1100" b="0" i="1">
                        <a:latin typeface="Cambria Math" panose="02040503050406030204" pitchFamily="18" charset="0"/>
                        <a:ea typeface="Cambria Math" panose="02040503050406030204" pitchFamily="18" charset="0"/>
                      </a:rPr>
                      <m:t>𝐶</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𝑝</m:t>
                        </m:r>
                      </m:e>
                      <m:sup>
                        <m:r>
                          <a:rPr lang="en-US" sz="1100" b="0" i="1">
                            <a:latin typeface="Cambria Math" panose="02040503050406030204" pitchFamily="18" charset="0"/>
                            <a:ea typeface="Cambria Math" panose="02040503050406030204" pitchFamily="18" charset="0"/>
                          </a:rPr>
                          <m:t>2</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𝐸𝑋𝑃</m:t>
                    </m:r>
                    <m:r>
                      <a:rPr lang="en-US" sz="1100" b="0" i="1">
                        <a:latin typeface="Cambria Math" panose="02040503050406030204" pitchFamily="18" charset="0"/>
                        <a:ea typeface="Cambria Math" panose="02040503050406030204" pitchFamily="18" charset="0"/>
                      </a:rPr>
                      <m:t>(−0,1</m:t>
                    </m:r>
                    <m:r>
                      <a:rPr lang="en-US" sz="1100" b="0" i="1">
                        <a:latin typeface="Cambria Math" panose="02040503050406030204" pitchFamily="18" charset="0"/>
                        <a:ea typeface="Cambria Math" panose="02040503050406030204" pitchFamily="18" charset="0"/>
                      </a:rPr>
                      <m:t>𝐹</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𝑛</m:t>
                        </m:r>
                      </m:e>
                      <m:sup>
                        <m:r>
                          <a:rPr lang="en-US" sz="1100" b="0" i="1">
                            <a:latin typeface="Cambria Math" panose="02040503050406030204" pitchFamily="18" charset="0"/>
                            <a:ea typeface="Cambria Math" panose="02040503050406030204" pitchFamily="18" charset="0"/>
                          </a:rPr>
                          <m:t>−2</m:t>
                        </m:r>
                      </m:sup>
                    </m:sSup>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1" name="TextBox 20">
              <a:extLst>
                <a:ext uri="{FF2B5EF4-FFF2-40B4-BE49-F238E27FC236}">
                  <a16:creationId xmlns:a16="http://schemas.microsoft.com/office/drawing/2014/main" id="{6492CE8C-095C-4D09-A113-F4AD7D8E0CDF}"/>
                </a:ext>
              </a:extLst>
            </xdr:cNvPr>
            <xdr:cNvSpPr txBox="1"/>
          </xdr:nvSpPr>
          <xdr:spPr>
            <a:xfrm>
              <a:off x="0" y="41062275"/>
              <a:ext cx="2677886"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𝑀2=𝐶15×</a:t>
              </a:r>
              <a:r>
                <a:rPr lang="en-US" sz="1100" b="0" i="0">
                  <a:latin typeface="Cambria Math" panose="02040503050406030204" pitchFamily="18" charset="0"/>
                  <a:ea typeface="Cambria Math" panose="02040503050406030204" pitchFamily="18" charset="0"/>
                </a:rPr>
                <a:t>𝐶𝑝^2×𝐸𝑋𝑃(−0,1𝐹𝑛^(−2))</a:t>
              </a:r>
              <a:endParaRPr lang="en-US" sz="1100"/>
            </a:p>
          </xdr:txBody>
        </xdr:sp>
      </mc:Fallback>
    </mc:AlternateContent>
    <xdr:clientData/>
  </xdr:oneCellAnchor>
  <xdr:oneCellAnchor>
    <xdr:from>
      <xdr:col>0</xdr:col>
      <xdr:colOff>0</xdr:colOff>
      <xdr:row>219</xdr:row>
      <xdr:rowOff>0</xdr:rowOff>
    </xdr:from>
    <xdr:ext cx="1406604" cy="316882"/>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0000000-0008-0000-0B00-000016000000}"/>
                </a:ext>
              </a:extLst>
            </xdr:cNvPr>
            <xdr:cNvSpPr txBox="1"/>
          </xdr:nvSpPr>
          <xdr:spPr>
            <a:xfrm>
              <a:off x="0" y="43729275"/>
              <a:ext cx="140660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𝜆</m:t>
                    </m:r>
                    <m:r>
                      <a:rPr lang="en-US" sz="1100" b="0" i="1">
                        <a:latin typeface="Cambria Math" panose="02040503050406030204" pitchFamily="18" charset="0"/>
                        <a:ea typeface="Cambria Math" panose="02040503050406030204" pitchFamily="18" charset="0"/>
                      </a:rPr>
                      <m:t>=1,446×</m:t>
                    </m:r>
                    <m:r>
                      <a:rPr lang="en-US" sz="1100" b="0" i="1">
                        <a:latin typeface="Cambria Math" panose="02040503050406030204" pitchFamily="18" charset="0"/>
                        <a:ea typeface="Cambria Math" panose="02040503050406030204" pitchFamily="18" charset="0"/>
                      </a:rPr>
                      <m:t>𝐶𝑝</m:t>
                    </m:r>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0,03</m:t>
                        </m:r>
                        <m:r>
                          <a:rPr lang="en-US" sz="1100" b="0" i="1">
                            <a:latin typeface="Cambria Math" panose="02040503050406030204" pitchFamily="18" charset="0"/>
                            <a:ea typeface="Cambria Math" panose="02040503050406030204" pitchFamily="18" charset="0"/>
                          </a:rPr>
                          <m:t>𝐿</m:t>
                        </m:r>
                      </m:num>
                      <m:den>
                        <m:r>
                          <a:rPr lang="en-US" sz="1100" b="0" i="1">
                            <a:latin typeface="Cambria Math" panose="02040503050406030204" pitchFamily="18" charset="0"/>
                            <a:ea typeface="Cambria Math" panose="02040503050406030204" pitchFamily="18" charset="0"/>
                          </a:rPr>
                          <m:t>𝐵</m:t>
                        </m:r>
                      </m:den>
                    </m:f>
                  </m:oMath>
                </m:oMathPara>
              </a14:m>
              <a:endParaRPr lang="en-US" sz="1100"/>
            </a:p>
          </xdr:txBody>
        </xdr:sp>
      </mc:Choice>
      <mc:Fallback xmlns="">
        <xdr:sp macro="" textlink="">
          <xdr:nvSpPr>
            <xdr:cNvPr id="22" name="TextBox 21">
              <a:extLst>
                <a:ext uri="{FF2B5EF4-FFF2-40B4-BE49-F238E27FC236}">
                  <a16:creationId xmlns:a16="http://schemas.microsoft.com/office/drawing/2014/main" id="{242FC9C5-9BF4-4D41-BA27-C0937A8A07AD}"/>
                </a:ext>
              </a:extLst>
            </xdr:cNvPr>
            <xdr:cNvSpPr txBox="1"/>
          </xdr:nvSpPr>
          <xdr:spPr>
            <a:xfrm>
              <a:off x="0" y="43729275"/>
              <a:ext cx="140660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ea typeface="Cambria Math" panose="02040503050406030204" pitchFamily="18" charset="0"/>
                </a:rPr>
                <a:t>𝜆</a:t>
              </a:r>
              <a:r>
                <a:rPr lang="en-US" sz="1100" b="0" i="0">
                  <a:latin typeface="Cambria Math" panose="02040503050406030204" pitchFamily="18" charset="0"/>
                  <a:ea typeface="Cambria Math" panose="02040503050406030204" pitchFamily="18" charset="0"/>
                </a:rPr>
                <a:t>=1,446×𝐶𝑝−0,03𝐿/𝐵</a:t>
              </a:r>
              <a:endParaRPr lang="en-US" sz="1100"/>
            </a:p>
          </xdr:txBody>
        </xdr:sp>
      </mc:Fallback>
    </mc:AlternateContent>
    <xdr:clientData/>
  </xdr:oneCellAnchor>
  <xdr:oneCellAnchor>
    <xdr:from>
      <xdr:col>0</xdr:col>
      <xdr:colOff>0</xdr:colOff>
      <xdr:row>223</xdr:row>
      <xdr:rowOff>192101</xdr:rowOff>
    </xdr:from>
    <xdr:ext cx="4597612" cy="178832"/>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00000000-0008-0000-0B00-000017000000}"/>
                </a:ext>
              </a:extLst>
            </xdr:cNvPr>
            <xdr:cNvSpPr txBox="1"/>
          </xdr:nvSpPr>
          <xdr:spPr>
            <a:xfrm>
              <a:off x="0" y="44721476"/>
              <a:ext cx="4597612"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𝑅𝑤</m:t>
                    </m:r>
                    <m:r>
                      <a:rPr lang="en-US" sz="1100" b="0" i="1">
                        <a:latin typeface="Cambria Math" panose="02040503050406030204" pitchFamily="18" charset="0"/>
                      </a:rPr>
                      <m:t>=</m:t>
                    </m:r>
                    <m:r>
                      <a:rPr lang="en-US" sz="1100" b="0" i="1">
                        <a:latin typeface="Cambria Math" panose="02040503050406030204" pitchFamily="18" charset="0"/>
                      </a:rPr>
                      <m:t>𝐶</m:t>
                    </m:r>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2×</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5×</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𝑔</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𝐸𝑋𝑃</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𝑀</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𝐹</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𝑛</m:t>
                        </m:r>
                      </m:e>
                      <m:sup>
                        <m:r>
                          <a:rPr lang="en-US" sz="1100" b="0" i="1">
                            <a:latin typeface="Cambria Math" panose="02040503050406030204" pitchFamily="18" charset="0"/>
                            <a:ea typeface="Cambria Math" panose="02040503050406030204" pitchFamily="18" charset="0"/>
                          </a:rPr>
                          <m:t>𝑑</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𝑀</m:t>
                    </m:r>
                    <m:r>
                      <a:rPr lang="en-US" sz="1100" b="0" i="1">
                        <a:latin typeface="Cambria Math" panose="02040503050406030204" pitchFamily="18" charset="0"/>
                        <a:ea typeface="Cambria Math" panose="02040503050406030204" pitchFamily="18" charset="0"/>
                      </a:rPr>
                      <m:t>2</m:t>
                    </m:r>
                    <m:r>
                      <a:rPr lang="en-US" sz="1100" b="0" i="1">
                        <a:latin typeface="Cambria Math" panose="02040503050406030204" pitchFamily="18" charset="0"/>
                        <a:ea typeface="Cambria Math" panose="02040503050406030204" pitchFamily="18" charset="0"/>
                      </a:rPr>
                      <m:t>𝐶𝑜𝑠</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𝜆</m:t>
                        </m:r>
                        <m:r>
                          <a:rPr lang="en-US" sz="1100" b="0" i="1">
                            <a:latin typeface="Cambria Math" panose="02040503050406030204" pitchFamily="18" charset="0"/>
                            <a:ea typeface="Cambria Math" panose="02040503050406030204" pitchFamily="18" charset="0"/>
                          </a:rPr>
                          <m:t>𝐹</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𝑛</m:t>
                            </m:r>
                          </m:e>
                          <m:sup>
                            <m:r>
                              <a:rPr lang="en-US" sz="1100" b="0" i="1">
                                <a:latin typeface="Cambria Math" panose="02040503050406030204" pitchFamily="18" charset="0"/>
                                <a:ea typeface="Cambria Math" panose="02040503050406030204" pitchFamily="18" charset="0"/>
                              </a:rPr>
                              <m:t>−2</m:t>
                            </m:r>
                          </m:sup>
                        </m:sSup>
                      </m:e>
                    </m:d>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3" name="TextBox 22">
              <a:extLst>
                <a:ext uri="{FF2B5EF4-FFF2-40B4-BE49-F238E27FC236}">
                  <a16:creationId xmlns:a16="http://schemas.microsoft.com/office/drawing/2014/main" id="{C1852865-C9FD-4219-B387-8C6FDC2A8547}"/>
                </a:ext>
              </a:extLst>
            </xdr:cNvPr>
            <xdr:cNvSpPr txBox="1"/>
          </xdr:nvSpPr>
          <xdr:spPr>
            <a:xfrm>
              <a:off x="0" y="44721476"/>
              <a:ext cx="4597612"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𝑅𝑤=𝐶1×</a:t>
              </a:r>
              <a:r>
                <a:rPr lang="en-US" sz="1100" b="0" i="0">
                  <a:latin typeface="Cambria Math" panose="02040503050406030204" pitchFamily="18" charset="0"/>
                  <a:ea typeface="Cambria Math" panose="02040503050406030204" pitchFamily="18" charset="0"/>
                </a:rPr>
                <a:t>𝐶2×𝐶5×𝛻×𝜌×𝑔×𝐸𝑋𝑃×(𝑀1𝐹𝑛^𝑑+𝑀2𝐶𝑜𝑠(𝜆𝐹𝑛^(−2) ))</a:t>
              </a:r>
              <a:endParaRPr lang="en-US" sz="1100"/>
            </a:p>
          </xdr:txBody>
        </xdr:sp>
      </mc:Fallback>
    </mc:AlternateContent>
    <xdr:clientData/>
  </xdr:oneCellAnchor>
  <xdr:oneCellAnchor>
    <xdr:from>
      <xdr:col>0</xdr:col>
      <xdr:colOff>0</xdr:colOff>
      <xdr:row>252</xdr:row>
      <xdr:rowOff>0</xdr:rowOff>
    </xdr:from>
    <xdr:ext cx="5203371" cy="416204"/>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0" y="50330100"/>
              <a:ext cx="5203371" cy="416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𝐴</m:t>
                        </m:r>
                      </m:sub>
                    </m:sSub>
                    <m:r>
                      <a:rPr lang="en-US" sz="1100" b="0" i="1">
                        <a:latin typeface="Cambria Math" panose="02040503050406030204" pitchFamily="18" charset="0"/>
                      </a:rPr>
                      <m:t>=0,006</m:t>
                    </m:r>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𝐿</m:t>
                            </m:r>
                            <m:r>
                              <a:rPr lang="en-US" sz="1100" b="0" i="1">
                                <a:latin typeface="Cambria Math" panose="02040503050406030204" pitchFamily="18" charset="0"/>
                                <a:ea typeface="Cambria Math" panose="02040503050406030204" pitchFamily="18" charset="0"/>
                              </a:rPr>
                              <m:t>+100</m:t>
                            </m:r>
                          </m:e>
                        </m:d>
                      </m:e>
                      <m:sup>
                        <m:r>
                          <a:rPr lang="en-US" sz="1100" b="0" i="1">
                            <a:latin typeface="Cambria Math" panose="02040503050406030204" pitchFamily="18" charset="0"/>
                            <a:ea typeface="Cambria Math" panose="02040503050406030204" pitchFamily="18" charset="0"/>
                          </a:rPr>
                          <m:t>−0,16</m:t>
                        </m:r>
                      </m:sup>
                    </m:sSup>
                    <m:r>
                      <a:rPr lang="en-US" sz="1100" b="0" i="1">
                        <a:latin typeface="Cambria Math" panose="02040503050406030204" pitchFamily="18" charset="0"/>
                        <a:ea typeface="Cambria Math" panose="02040503050406030204" pitchFamily="18" charset="0"/>
                      </a:rPr>
                      <m:t>−0,00205+0,003(</m:t>
                    </m:r>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𝐿</m:t>
                                </m:r>
                              </m:num>
                              <m:den>
                                <m:r>
                                  <a:rPr lang="en-US" sz="1100" b="0" i="1">
                                    <a:latin typeface="Cambria Math" panose="02040503050406030204" pitchFamily="18" charset="0"/>
                                    <a:ea typeface="Cambria Math" panose="02040503050406030204" pitchFamily="18" charset="0"/>
                                  </a:rPr>
                                  <m:t>7,5</m:t>
                                </m:r>
                              </m:den>
                            </m:f>
                          </m:e>
                        </m:d>
                      </m:e>
                      <m:sup>
                        <m:r>
                          <a:rPr lang="en-US" sz="1100" b="0" i="1">
                            <a:latin typeface="Cambria Math" panose="02040503050406030204" pitchFamily="18" charset="0"/>
                            <a:ea typeface="Cambria Math" panose="02040503050406030204" pitchFamily="18" charset="0"/>
                          </a:rPr>
                          <m:t>0,5</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𝑏</m:t>
                        </m:r>
                      </m:e>
                      <m:sup>
                        <m:r>
                          <a:rPr lang="en-US" sz="1100" b="0" i="1">
                            <a:latin typeface="Cambria Math" panose="02040503050406030204" pitchFamily="18" charset="0"/>
                            <a:ea typeface="Cambria Math" panose="02040503050406030204" pitchFamily="18" charset="0"/>
                          </a:rPr>
                          <m:t>4</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2×(0,04−</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4)</m:t>
                    </m:r>
                  </m:oMath>
                </m:oMathPara>
              </a14:m>
              <a:endParaRPr lang="en-US" sz="1100"/>
            </a:p>
          </xdr:txBody>
        </xdr:sp>
      </mc:Choice>
      <mc:Fallback xmlns="">
        <xdr:sp macro="" textlink="">
          <xdr:nvSpPr>
            <xdr:cNvPr id="24" name="TextBox 23">
              <a:extLst>
                <a:ext uri="{FF2B5EF4-FFF2-40B4-BE49-F238E27FC236}">
                  <a16:creationId xmlns:a16="http://schemas.microsoft.com/office/drawing/2014/main" id="{B5CE3418-868F-4328-B910-74DEA5212C1F}"/>
                </a:ext>
              </a:extLst>
            </xdr:cNvPr>
            <xdr:cNvSpPr txBox="1"/>
          </xdr:nvSpPr>
          <xdr:spPr>
            <a:xfrm>
              <a:off x="0" y="50330100"/>
              <a:ext cx="5203371" cy="416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𝐶_𝐴=0,006</a:t>
              </a:r>
              <a:r>
                <a:rPr lang="en-US" sz="1100" b="0" i="0">
                  <a:latin typeface="Cambria Math" panose="02040503050406030204" pitchFamily="18" charset="0"/>
                  <a:ea typeface="Cambria Math" panose="02040503050406030204" pitchFamily="18" charset="0"/>
                </a:rPr>
                <a:t>×((𝐿+100)^(−0,16)−0,00205+0,003((𝐿/7,5)^0,5×𝐶𝑏^4×𝐶2×(0,04−𝐶4)</a:t>
              </a:r>
              <a:endParaRPr lang="en-US" sz="1100"/>
            </a:p>
          </xdr:txBody>
        </xdr:sp>
      </mc:Fallback>
    </mc:AlternateContent>
    <xdr:clientData/>
  </xdr:oneCellAnchor>
  <xdr:oneCellAnchor>
    <xdr:from>
      <xdr:col>0</xdr:col>
      <xdr:colOff>0</xdr:colOff>
      <xdr:row>257</xdr:row>
      <xdr:rowOff>0</xdr:rowOff>
    </xdr:from>
    <xdr:ext cx="1546860" cy="316882"/>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00000000-0008-0000-0B00-000019000000}"/>
                </a:ext>
              </a:extLst>
            </xdr:cNvPr>
            <xdr:cNvSpPr txBox="1"/>
          </xdr:nvSpPr>
          <xdr:spPr>
            <a:xfrm>
              <a:off x="0" y="51330225"/>
              <a:ext cx="1546860"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𝐴</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ea typeface="Cambria Math" panose="02040503050406030204" pitchFamily="18" charset="0"/>
                      </a:rPr>
                      <m:t>𝜌</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𝑉</m:t>
                        </m:r>
                      </m:e>
                      <m:sup>
                        <m:r>
                          <a:rPr lang="en-US" sz="1100" b="0" i="1">
                            <a:latin typeface="Cambria Math" panose="02040503050406030204" pitchFamily="18" charset="0"/>
                            <a:ea typeface="Cambria Math" panose="02040503050406030204" pitchFamily="18" charset="0"/>
                          </a:rPr>
                          <m:t>2</m:t>
                        </m:r>
                      </m:sup>
                    </m:sSup>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𝑆</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𝐶𝐴</m:t>
                    </m:r>
                  </m:oMath>
                </m:oMathPara>
              </a14:m>
              <a:endParaRPr lang="en-US" sz="1100"/>
            </a:p>
          </xdr:txBody>
        </xdr:sp>
      </mc:Choice>
      <mc:Fallback xmlns="">
        <xdr:sp macro="" textlink="">
          <xdr:nvSpPr>
            <xdr:cNvPr id="25" name="TextBox 24">
              <a:extLst>
                <a:ext uri="{FF2B5EF4-FFF2-40B4-BE49-F238E27FC236}">
                  <a16:creationId xmlns:a16="http://schemas.microsoft.com/office/drawing/2014/main" id="{F8316793-BD95-4A88-BB3D-1052248A78CF}"/>
                </a:ext>
              </a:extLst>
            </xdr:cNvPr>
            <xdr:cNvSpPr txBox="1"/>
          </xdr:nvSpPr>
          <xdr:spPr>
            <a:xfrm>
              <a:off x="0" y="51330225"/>
              <a:ext cx="1546860"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𝑅_𝐴=1/2</a:t>
              </a:r>
              <a:r>
                <a:rPr lang="en-US" sz="1100" b="0" i="0">
                  <a:latin typeface="Cambria Math" panose="02040503050406030204" pitchFamily="18" charset="0"/>
                  <a:ea typeface="Cambria Math" panose="02040503050406030204" pitchFamily="18" charset="0"/>
                </a:rPr>
                <a:t> 𝜌〖×𝑉〗^2×𝑆×𝐶𝐴</a:t>
              </a:r>
              <a:endParaRPr lang="en-US" sz="1100"/>
            </a:p>
          </xdr:txBody>
        </xdr:sp>
      </mc:Fallback>
    </mc:AlternateContent>
    <xdr:clientData/>
  </xdr:oneCellAnchor>
  <xdr:oneCellAnchor>
    <xdr:from>
      <xdr:col>0</xdr:col>
      <xdr:colOff>82550</xdr:colOff>
      <xdr:row>271</xdr:row>
      <xdr:rowOff>12700</xdr:rowOff>
    </xdr:from>
    <xdr:ext cx="1455719" cy="351506"/>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00000000-0008-0000-0B00-00001A000000}"/>
                </a:ext>
              </a:extLst>
            </xdr:cNvPr>
            <xdr:cNvSpPr txBox="1"/>
          </xdr:nvSpPr>
          <xdr:spPr>
            <a:xfrm>
              <a:off x="82550" y="54143275"/>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𝐶𝑓</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0,075</m:t>
                        </m:r>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𝑙𝑜𝑔</m:t>
                                </m:r>
                              </m:e>
                              <m:sub>
                                <m:r>
                                  <a:rPr lang="en-US" sz="1100" b="0" i="1">
                                    <a:latin typeface="Cambria Math" panose="02040503050406030204" pitchFamily="18" charset="0"/>
                                    <a:ea typeface="Cambria Math" panose="02040503050406030204" pitchFamily="18" charset="0"/>
                                  </a:rPr>
                                  <m:t>10</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𝑅𝑛</m:t>
                            </m:r>
                            <m:r>
                              <a:rPr lang="en-US" sz="1100" b="0" i="1">
                                <a:latin typeface="Cambria Math" panose="02040503050406030204" pitchFamily="18" charset="0"/>
                                <a:ea typeface="Cambria Math" panose="02040503050406030204" pitchFamily="18" charset="0"/>
                              </a:rPr>
                              <m:t>−2)</m:t>
                            </m:r>
                          </m:e>
                          <m:sup>
                            <m:r>
                              <a:rPr lang="en-US" sz="1100" b="0" i="1">
                                <a:latin typeface="Cambria Math" panose="02040503050406030204" pitchFamily="18" charset="0"/>
                                <a:ea typeface="Cambria Math" panose="02040503050406030204" pitchFamily="18" charset="0"/>
                              </a:rPr>
                              <m:t>2</m:t>
                            </m:r>
                          </m:sup>
                        </m:sSup>
                      </m:den>
                    </m:f>
                  </m:oMath>
                </m:oMathPara>
              </a14:m>
              <a:endParaRPr lang="en-US" sz="1100"/>
            </a:p>
          </xdr:txBody>
        </xdr:sp>
      </mc:Choice>
      <mc:Fallback xmlns="">
        <xdr:sp macro="" textlink="">
          <xdr:nvSpPr>
            <xdr:cNvPr id="26" name="TextBox 25">
              <a:extLst>
                <a:ext uri="{FF2B5EF4-FFF2-40B4-BE49-F238E27FC236}">
                  <a16:creationId xmlns:a16="http://schemas.microsoft.com/office/drawing/2014/main" id="{EE533BD6-F0D4-4B16-8A5A-B92C8165DD20}"/>
                </a:ext>
              </a:extLst>
            </xdr:cNvPr>
            <xdr:cNvSpPr txBox="1"/>
          </xdr:nvSpPr>
          <xdr:spPr>
            <a:xfrm>
              <a:off x="82550" y="54143275"/>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𝐶𝑓=0,075/</a:t>
              </a:r>
              <a:r>
                <a:rPr lang="en-US" sz="1100" b="0" i="0">
                  <a:latin typeface="Cambria Math" panose="02040503050406030204" pitchFamily="18" charset="0"/>
                  <a:ea typeface="Cambria Math" panose="02040503050406030204" pitchFamily="18" charset="0"/>
                </a:rPr>
                <a:t>〖(〖𝑙𝑜𝑔〗_10×𝑅𝑛−2)〗^2 </a:t>
              </a:r>
              <a:endParaRPr lang="en-US" sz="1100"/>
            </a:p>
          </xdr:txBody>
        </xdr:sp>
      </mc:Fallback>
    </mc:AlternateContent>
    <xdr:clientData/>
  </xdr:oneCellAnchor>
  <xdr:oneCellAnchor>
    <xdr:from>
      <xdr:col>3</xdr:col>
      <xdr:colOff>188441</xdr:colOff>
      <xdr:row>271</xdr:row>
      <xdr:rowOff>30654</xdr:rowOff>
    </xdr:from>
    <xdr:ext cx="1712867" cy="316882"/>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00000000-0008-0000-0B00-00001B000000}"/>
                </a:ext>
              </a:extLst>
            </xdr:cNvPr>
            <xdr:cNvSpPr txBox="1"/>
          </xdr:nvSpPr>
          <xdr:spPr>
            <a:xfrm>
              <a:off x="3465041" y="54161229"/>
              <a:ext cx="171286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𝑅𝑓</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𝐶𝑓</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𝑆</m:t>
                    </m:r>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𝑉</m:t>
                        </m:r>
                      </m:e>
                      <m:sup>
                        <m:r>
                          <a:rPr lang="en-US" sz="1100" b="0" i="1">
                            <a:latin typeface="Cambria Math" panose="02040503050406030204" pitchFamily="18" charset="0"/>
                            <a:ea typeface="Cambria Math" panose="02040503050406030204" pitchFamily="18" charset="0"/>
                          </a:rPr>
                          <m:t>2</m:t>
                        </m:r>
                      </m:sup>
                    </m:sSup>
                  </m:oMath>
                </m:oMathPara>
              </a14:m>
              <a:endParaRPr lang="en-US" sz="1100"/>
            </a:p>
          </xdr:txBody>
        </xdr:sp>
      </mc:Choice>
      <mc:Fallback xmlns="">
        <xdr:sp macro="" textlink="">
          <xdr:nvSpPr>
            <xdr:cNvPr id="27" name="TextBox 26">
              <a:extLst>
                <a:ext uri="{FF2B5EF4-FFF2-40B4-BE49-F238E27FC236}">
                  <a16:creationId xmlns:a16="http://schemas.microsoft.com/office/drawing/2014/main" id="{FF48F5B3-7164-4755-853A-791029CF5A51}"/>
                </a:ext>
              </a:extLst>
            </xdr:cNvPr>
            <xdr:cNvSpPr txBox="1"/>
          </xdr:nvSpPr>
          <xdr:spPr>
            <a:xfrm>
              <a:off x="3465041" y="54161229"/>
              <a:ext cx="171286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𝑅𝑓=1/2</a:t>
              </a:r>
              <a:r>
                <a:rPr lang="en-US" sz="1100" b="0" i="0">
                  <a:latin typeface="Cambria Math" panose="02040503050406030204" pitchFamily="18" charset="0"/>
                  <a:ea typeface="Cambria Math" panose="02040503050406030204" pitchFamily="18" charset="0"/>
                </a:rPr>
                <a:t>×𝜌×𝐶𝑓×𝑆×𝑉^2</a:t>
              </a:r>
              <a:endParaRPr lang="en-US" sz="1100"/>
            </a:p>
          </xdr:txBody>
        </xdr:sp>
      </mc:Fallback>
    </mc:AlternateContent>
    <xdr:clientData/>
  </xdr:oneCellAnchor>
  <xdr:oneCellAnchor>
    <xdr:from>
      <xdr:col>0</xdr:col>
      <xdr:colOff>0</xdr:colOff>
      <xdr:row>286</xdr:row>
      <xdr:rowOff>0</xdr:rowOff>
    </xdr:from>
    <xdr:ext cx="3060518" cy="172227"/>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00000000-0008-0000-0B00-00001C000000}"/>
                </a:ext>
              </a:extLst>
            </xdr:cNvPr>
            <xdr:cNvSpPr txBox="1"/>
          </xdr:nvSpPr>
          <xdr:spPr>
            <a:xfrm>
              <a:off x="0" y="57130950"/>
              <a:ext cx="30605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𝑇</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𝐹</m:t>
                        </m:r>
                      </m:sub>
                    </m:sSub>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𝑘</m:t>
                        </m:r>
                        <m:r>
                          <a:rPr lang="en-US" sz="1100" b="0" i="1">
                            <a:latin typeface="Cambria Math" panose="02040503050406030204" pitchFamily="18" charset="0"/>
                          </a:rPr>
                          <m:t>1</m:t>
                        </m:r>
                      </m:e>
                    </m:d>
                    <m:r>
                      <a:rPr lang="en-US" sz="1100" b="0" i="1">
                        <a:latin typeface="Cambria Math" panose="02040503050406030204" pitchFamily="18" charset="0"/>
                      </a:rPr>
                      <m:t>+</m:t>
                    </m:r>
                    <m:r>
                      <a:rPr lang="en-US" sz="1100" b="0" i="1">
                        <a:latin typeface="Cambria Math" panose="02040503050406030204" pitchFamily="18" charset="0"/>
                      </a:rPr>
                      <m:t>𝑅𝑎𝑝𝑝</m:t>
                    </m:r>
                    <m:r>
                      <a:rPr lang="en-US" sz="1100" b="0" i="1">
                        <a:latin typeface="Cambria Math" panose="02040503050406030204" pitchFamily="18" charset="0"/>
                      </a:rPr>
                      <m:t>+</m:t>
                    </m:r>
                    <m:r>
                      <a:rPr lang="en-US" sz="1100" b="0" i="1">
                        <a:latin typeface="Cambria Math" panose="02040503050406030204" pitchFamily="18" charset="0"/>
                      </a:rPr>
                      <m:t>𝑅𝑤</m:t>
                    </m:r>
                    <m:r>
                      <a:rPr lang="en-US" sz="1100" b="0" i="1">
                        <a:latin typeface="Cambria Math" panose="02040503050406030204" pitchFamily="18" charset="0"/>
                      </a:rPr>
                      <m:t>+</m:t>
                    </m:r>
                    <m:r>
                      <a:rPr lang="en-US" sz="1100" b="0" i="1">
                        <a:latin typeface="Cambria Math" panose="02040503050406030204" pitchFamily="18" charset="0"/>
                      </a:rPr>
                      <m:t>𝑅𝐵</m:t>
                    </m:r>
                    <m:r>
                      <a:rPr lang="en-US" sz="1100" b="0" i="1">
                        <a:latin typeface="Cambria Math" panose="02040503050406030204" pitchFamily="18" charset="0"/>
                      </a:rPr>
                      <m:t>+</m:t>
                    </m:r>
                    <m:r>
                      <a:rPr lang="en-US" sz="1100" b="0" i="1">
                        <a:latin typeface="Cambria Math" panose="02040503050406030204" pitchFamily="18" charset="0"/>
                      </a:rPr>
                      <m:t>𝑅𝑇𝑅</m:t>
                    </m:r>
                    <m:r>
                      <a:rPr lang="en-US" sz="1100" b="0" i="1">
                        <a:latin typeface="Cambria Math" panose="02040503050406030204" pitchFamily="18" charset="0"/>
                      </a:rPr>
                      <m:t>+</m:t>
                    </m:r>
                    <m:r>
                      <a:rPr lang="en-US" sz="1100" b="0" i="1">
                        <a:latin typeface="Cambria Math" panose="02040503050406030204" pitchFamily="18" charset="0"/>
                      </a:rPr>
                      <m:t>𝑅𝐴</m:t>
                    </m:r>
                  </m:oMath>
                </m:oMathPara>
              </a14:m>
              <a:endParaRPr lang="en-US" sz="1100"/>
            </a:p>
          </xdr:txBody>
        </xdr:sp>
      </mc:Choice>
      <mc:Fallback xmlns="">
        <xdr:sp macro="" textlink="">
          <xdr:nvSpPr>
            <xdr:cNvPr id="28" name="TextBox 27">
              <a:extLst>
                <a:ext uri="{FF2B5EF4-FFF2-40B4-BE49-F238E27FC236}">
                  <a16:creationId xmlns:a16="http://schemas.microsoft.com/office/drawing/2014/main" id="{BD5622B2-47E6-4D51-959E-11917538BB5C}"/>
                </a:ext>
              </a:extLst>
            </xdr:cNvPr>
            <xdr:cNvSpPr txBox="1"/>
          </xdr:nvSpPr>
          <xdr:spPr>
            <a:xfrm>
              <a:off x="0" y="57130950"/>
              <a:ext cx="30605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𝑅_𝑇=𝑅_𝐹 (1+𝑘1)+𝑅𝑎𝑝𝑝+𝑅𝑤+𝑅𝐵+𝑅𝑇𝑅+𝑅𝐴</a:t>
              </a:r>
              <a:endParaRPr lang="en-US" sz="1100"/>
            </a:p>
          </xdr:txBody>
        </xdr:sp>
      </mc:Fallback>
    </mc:AlternateContent>
    <xdr:clientData/>
  </xdr:oneCellAnchor>
  <xdr:twoCellAnchor>
    <xdr:from>
      <xdr:col>0</xdr:col>
      <xdr:colOff>543560</xdr:colOff>
      <xdr:row>299</xdr:row>
      <xdr:rowOff>111760</xdr:rowOff>
    </xdr:from>
    <xdr:to>
      <xdr:col>5</xdr:col>
      <xdr:colOff>411480</xdr:colOff>
      <xdr:row>313</xdr:row>
      <xdr:rowOff>10160</xdr:rowOff>
    </xdr:to>
    <xdr:graphicFrame macro="">
      <xdr:nvGraphicFramePr>
        <xdr:cNvPr id="29" name="Chart 28">
          <a:extLst>
            <a:ext uri="{FF2B5EF4-FFF2-40B4-BE49-F238E27FC236}">
              <a16:creationId xmlns:a16="http://schemas.microsoft.com/office/drawing/2014/main" id="{00000000-0008-0000-0B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512268</xdr:colOff>
      <xdr:row>136</xdr:row>
      <xdr:rowOff>70437</xdr:rowOff>
    </xdr:from>
    <xdr:ext cx="1455719" cy="35150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00000000-0008-0000-0B00-00001E000000}"/>
                </a:ext>
              </a:extLst>
            </xdr:cNvPr>
            <xdr:cNvSpPr txBox="1"/>
          </xdr:nvSpPr>
          <xdr:spPr>
            <a:xfrm>
              <a:off x="2950668" y="27731037"/>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𝐶𝑓</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0,075</m:t>
                        </m:r>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𝑙𝑜𝑔</m:t>
                                </m:r>
                              </m:e>
                              <m:sub>
                                <m:r>
                                  <a:rPr lang="en-US" sz="1100" b="0" i="1">
                                    <a:latin typeface="Cambria Math" panose="02040503050406030204" pitchFamily="18" charset="0"/>
                                    <a:ea typeface="Cambria Math" panose="02040503050406030204" pitchFamily="18" charset="0"/>
                                  </a:rPr>
                                  <m:t>10</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𝑅𝑛</m:t>
                            </m:r>
                            <m:r>
                              <a:rPr lang="en-US" sz="1100" b="0" i="1">
                                <a:latin typeface="Cambria Math" panose="02040503050406030204" pitchFamily="18" charset="0"/>
                                <a:ea typeface="Cambria Math" panose="02040503050406030204" pitchFamily="18" charset="0"/>
                              </a:rPr>
                              <m:t>−2)</m:t>
                            </m:r>
                          </m:e>
                          <m:sup>
                            <m:r>
                              <a:rPr lang="en-US" sz="1100" b="0" i="1">
                                <a:latin typeface="Cambria Math" panose="02040503050406030204" pitchFamily="18" charset="0"/>
                                <a:ea typeface="Cambria Math" panose="02040503050406030204" pitchFamily="18" charset="0"/>
                              </a:rPr>
                              <m:t>2</m:t>
                            </m:r>
                          </m:sup>
                        </m:sSup>
                      </m:den>
                    </m:f>
                  </m:oMath>
                </m:oMathPara>
              </a14:m>
              <a:endParaRPr lang="en-US" sz="1100"/>
            </a:p>
          </xdr:txBody>
        </xdr:sp>
      </mc:Choice>
      <mc:Fallback xmlns="">
        <xdr:sp macro="" textlink="">
          <xdr:nvSpPr>
            <xdr:cNvPr id="30" name="TextBox 29">
              <a:extLst>
                <a:ext uri="{FF2B5EF4-FFF2-40B4-BE49-F238E27FC236}">
                  <a16:creationId xmlns:a16="http://schemas.microsoft.com/office/drawing/2014/main" id="{369223F0-4299-4944-A745-40FAA933FC4F}"/>
                </a:ext>
              </a:extLst>
            </xdr:cNvPr>
            <xdr:cNvSpPr txBox="1"/>
          </xdr:nvSpPr>
          <xdr:spPr>
            <a:xfrm>
              <a:off x="2950668" y="27731037"/>
              <a:ext cx="1455719"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𝐶𝑓=0,075/</a:t>
              </a:r>
              <a:r>
                <a:rPr lang="en-US" sz="1100" b="0" i="0">
                  <a:latin typeface="Cambria Math" panose="02040503050406030204" pitchFamily="18" charset="0"/>
                  <a:ea typeface="Cambria Math" panose="02040503050406030204" pitchFamily="18" charset="0"/>
                </a:rPr>
                <a:t>〖(〖𝑙𝑜𝑔〗_10×𝑅𝑛−2)〗^2 </a:t>
              </a:r>
              <a:endParaRPr lang="en-US" sz="1100"/>
            </a:p>
          </xdr:txBody>
        </xdr:sp>
      </mc:Fallback>
    </mc:AlternateContent>
    <xdr:clientData/>
  </xdr:oneCellAnchor>
  <mc:AlternateContent xmlns:mc="http://schemas.openxmlformats.org/markup-compatibility/2006">
    <mc:Choice xmlns:a14="http://schemas.microsoft.com/office/drawing/2010/main" Requires="a14">
      <xdr:twoCellAnchor>
        <xdr:from>
          <xdr:col>0</xdr:col>
          <xdr:colOff>1394460</xdr:colOff>
          <xdr:row>58</xdr:row>
          <xdr:rowOff>99060</xdr:rowOff>
        </xdr:from>
        <xdr:to>
          <xdr:col>1</xdr:col>
          <xdr:colOff>670560</xdr:colOff>
          <xdr:row>61</xdr:row>
          <xdr:rowOff>175260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B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0</xdr:col>
      <xdr:colOff>1035050</xdr:colOff>
      <xdr:row>76</xdr:row>
      <xdr:rowOff>0</xdr:rowOff>
    </xdr:from>
    <xdr:ext cx="911514" cy="320280"/>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00000000-0008-0000-0B00-000020000000}"/>
                </a:ext>
              </a:extLst>
            </xdr:cNvPr>
            <xdr:cNvSpPr txBox="1"/>
          </xdr:nvSpPr>
          <xdr:spPr>
            <a:xfrm>
              <a:off x="1035050" y="15440025"/>
              <a:ext cx="911514"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𝑅𝑛</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𝑣</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𝐿𝑤𝑙</m:t>
                        </m:r>
                      </m:num>
                      <m:den>
                        <m:r>
                          <a:rPr lang="en-US" sz="1100" b="0" i="1">
                            <a:latin typeface="Cambria Math" panose="02040503050406030204" pitchFamily="18" charset="0"/>
                          </a:rPr>
                          <m:t>𝑣𝑘</m:t>
                        </m:r>
                      </m:den>
                    </m:f>
                  </m:oMath>
                </m:oMathPara>
              </a14:m>
              <a:endParaRPr lang="en-US" sz="1100"/>
            </a:p>
          </xdr:txBody>
        </xdr:sp>
      </mc:Choice>
      <mc:Fallback xmlns="">
        <xdr:sp macro="" textlink="">
          <xdr:nvSpPr>
            <xdr:cNvPr id="32" name="TextBox 31">
              <a:extLst>
                <a:ext uri="{FF2B5EF4-FFF2-40B4-BE49-F238E27FC236}">
                  <a16:creationId xmlns:a16="http://schemas.microsoft.com/office/drawing/2014/main" id="{AFAD7DA6-ADA1-45DF-BA4A-045B09369C01}"/>
                </a:ext>
              </a:extLst>
            </xdr:cNvPr>
            <xdr:cNvSpPr txBox="1"/>
          </xdr:nvSpPr>
          <xdr:spPr>
            <a:xfrm>
              <a:off x="1035050" y="15440025"/>
              <a:ext cx="911514"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𝑅𝑛=(𝑣</a:t>
              </a:r>
              <a:r>
                <a:rPr lang="en-US" sz="1100" b="0" i="0">
                  <a:latin typeface="Cambria Math" panose="02040503050406030204" pitchFamily="18" charset="0"/>
                  <a:ea typeface="Cambria Math" panose="02040503050406030204" pitchFamily="18" charset="0"/>
                </a:rPr>
                <a:t>×𝐿𝑤𝑙)/</a:t>
              </a:r>
              <a:r>
                <a:rPr lang="en-US" sz="1100" b="0" i="0">
                  <a:latin typeface="Cambria Math" panose="02040503050406030204" pitchFamily="18" charset="0"/>
                </a:rPr>
                <a:t>𝑣𝑘</a:t>
              </a:r>
              <a:endParaRPr lang="en-US" sz="1100"/>
            </a:p>
          </xdr:txBody>
        </xdr:sp>
      </mc:Fallback>
    </mc:AlternateContent>
    <xdr:clientData/>
  </xdr:oneCellAnchor>
  <xdr:twoCellAnchor editAs="oneCell">
    <xdr:from>
      <xdr:col>6</xdr:col>
      <xdr:colOff>94438</xdr:colOff>
      <xdr:row>226</xdr:row>
      <xdr:rowOff>113141</xdr:rowOff>
    </xdr:from>
    <xdr:to>
      <xdr:col>8</xdr:col>
      <xdr:colOff>114421</xdr:colOff>
      <xdr:row>234</xdr:row>
      <xdr:rowOff>118922</xdr:rowOff>
    </xdr:to>
    <xdr:pic>
      <xdr:nvPicPr>
        <xdr:cNvPr id="33" name="Picture 32">
          <a:extLst>
            <a:ext uri="{FF2B5EF4-FFF2-40B4-BE49-F238E27FC236}">
              <a16:creationId xmlns:a16="http://schemas.microsoft.com/office/drawing/2014/main" id="{00000000-0008-0000-0B00-00002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09488" y="45242591"/>
          <a:ext cx="2363133" cy="1605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88719</xdr:colOff>
      <xdr:row>224</xdr:row>
      <xdr:rowOff>1089</xdr:rowOff>
    </xdr:from>
    <xdr:to>
      <xdr:col>9</xdr:col>
      <xdr:colOff>12661</xdr:colOff>
      <xdr:row>226</xdr:row>
      <xdr:rowOff>4689</xdr:rowOff>
    </xdr:to>
    <xdr:pic>
      <xdr:nvPicPr>
        <xdr:cNvPr id="34" name="Picture 33">
          <a:extLst>
            <a:ext uri="{FF2B5EF4-FFF2-40B4-BE49-F238E27FC236}">
              <a16:creationId xmlns:a16="http://schemas.microsoft.com/office/drawing/2014/main" id="{00000000-0008-0000-0B00-00002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03769" y="44730489"/>
          <a:ext cx="3152917" cy="40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117</xdr:row>
      <xdr:rowOff>23814</xdr:rowOff>
    </xdr:from>
    <xdr:ext cx="1743075" cy="297656"/>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00000000-0008-0000-0B00-000023000000}"/>
                </a:ext>
              </a:extLst>
            </xdr:cNvPr>
            <xdr:cNvSpPr txBox="1"/>
          </xdr:nvSpPr>
          <xdr:spPr>
            <a:xfrm>
              <a:off x="3276600" y="23864889"/>
              <a:ext cx="1743075" cy="2976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14:m>
                <m:oMathPara xmlns:m="http://schemas.openxmlformats.org/officeDocument/2006/math">
                  <m:oMathParaPr>
                    <m:jc m:val="center"/>
                  </m:oMathParaPr>
                  <m:oMath xmlns:m="http://schemas.openxmlformats.org/officeDocument/2006/math">
                    <m:sSub>
                      <m:sSubPr>
                        <m:ctrlPr>
                          <a:rPr lang="en-GB" sz="1100" i="1">
                            <a:latin typeface="Cambria Math" panose="02040503050406030204" pitchFamily="18" charset="0"/>
                          </a:rPr>
                        </m:ctrlPr>
                      </m:sSubPr>
                      <m:e>
                        <m:r>
                          <a:rPr lang="en-US" sz="1100" b="0" i="1">
                            <a:latin typeface="Cambria Math"/>
                          </a:rPr>
                          <m:t>𝐶</m:t>
                        </m:r>
                      </m:e>
                      <m:sub>
                        <m:r>
                          <a:rPr lang="en-US" sz="1100" b="0" i="1">
                            <a:latin typeface="Cambria Math"/>
                          </a:rPr>
                          <m:t>𝑊𝑃</m:t>
                        </m:r>
                      </m:sub>
                    </m:sSub>
                    <m:r>
                      <a:rPr lang="en-GB" sz="1100" i="1">
                        <a:latin typeface="Cambria Math"/>
                      </a:rPr>
                      <m:t>=</m:t>
                    </m:r>
                    <m:r>
                      <a:rPr lang="en-US" sz="1100" b="0" i="1">
                        <a:latin typeface="Cambria Math"/>
                      </a:rPr>
                      <m:t>0.248+0.778</m:t>
                    </m:r>
                    <m:sSub>
                      <m:sSubPr>
                        <m:ctrlPr>
                          <a:rPr lang="en-US" sz="1100" b="0" i="1">
                            <a:latin typeface="Cambria Math" panose="02040503050406030204" pitchFamily="18" charset="0"/>
                          </a:rPr>
                        </m:ctrlPr>
                      </m:sSubPr>
                      <m:e>
                        <m:r>
                          <a:rPr lang="en-US" sz="1100" b="0" i="1">
                            <a:latin typeface="Cambria Math"/>
                            <a:ea typeface="Cambria Math"/>
                          </a:rPr>
                          <m:t>𝛿</m:t>
                        </m:r>
                      </m:e>
                      <m:sub>
                        <m:r>
                          <a:rPr lang="en-US" sz="1100" b="0" i="1">
                            <a:latin typeface="Cambria Math"/>
                          </a:rPr>
                          <m:t>𝐿𝑤𝑙</m:t>
                        </m:r>
                      </m:sub>
                    </m:sSub>
                  </m:oMath>
                </m:oMathPara>
              </a14:m>
              <a:endParaRPr lang="en-GB" sz="1100"/>
            </a:p>
          </xdr:txBody>
        </xdr:sp>
      </mc:Choice>
      <mc:Fallback xmlns="">
        <xdr:sp macro="" textlink="">
          <xdr:nvSpPr>
            <xdr:cNvPr id="35" name="TextBox 34">
              <a:extLst>
                <a:ext uri="{FF2B5EF4-FFF2-40B4-BE49-F238E27FC236}">
                  <a16:creationId xmlns:a16="http://schemas.microsoft.com/office/drawing/2014/main" id="{1C783DF7-9A43-4C9A-8A23-0DE4B60D81B1}"/>
                </a:ext>
              </a:extLst>
            </xdr:cNvPr>
            <xdr:cNvSpPr txBox="1"/>
          </xdr:nvSpPr>
          <xdr:spPr>
            <a:xfrm>
              <a:off x="3276600" y="23864889"/>
              <a:ext cx="1743075" cy="2976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r>
                <a:rPr lang="en-US" sz="1100" b="0" i="0">
                  <a:latin typeface="Cambria Math"/>
                </a:rPr>
                <a:t>𝐶</a:t>
              </a:r>
              <a:r>
                <a:rPr lang="en-GB" sz="1100" b="0" i="0">
                  <a:latin typeface="Cambria Math" panose="02040503050406030204" pitchFamily="18" charset="0"/>
                </a:rPr>
                <a:t>_</a:t>
              </a:r>
              <a:r>
                <a:rPr lang="en-US" sz="1100" b="0" i="0">
                  <a:latin typeface="Cambria Math"/>
                </a:rPr>
                <a:t>𝑊𝑃</a:t>
              </a:r>
              <a:r>
                <a:rPr lang="en-GB" sz="1100" i="0">
                  <a:latin typeface="Cambria Math"/>
                </a:rPr>
                <a:t>=</a:t>
              </a:r>
              <a:r>
                <a:rPr lang="en-US" sz="1100" b="0" i="0">
                  <a:latin typeface="Cambria Math"/>
                </a:rPr>
                <a:t>0.248+0.778</a:t>
              </a:r>
              <a:r>
                <a:rPr lang="en-US" sz="1100" b="0" i="0">
                  <a:latin typeface="Cambria Math"/>
                  <a:ea typeface="Cambria Math"/>
                </a:rPr>
                <a:t>𝛿</a:t>
              </a:r>
              <a:r>
                <a:rPr lang="en-US" sz="1100" b="0" i="0">
                  <a:latin typeface="Cambria Math" panose="02040503050406030204" pitchFamily="18" charset="0"/>
                  <a:ea typeface="Cambria Math"/>
                </a:rPr>
                <a:t>_</a:t>
              </a:r>
              <a:r>
                <a:rPr lang="en-US" sz="1100" b="0" i="0">
                  <a:latin typeface="Cambria Math"/>
                </a:rPr>
                <a:t>𝐿𝑤𝑙</a:t>
              </a:r>
              <a:endParaRPr lang="en-GB" sz="1100"/>
            </a:p>
          </xdr:txBody>
        </xdr:sp>
      </mc:Fallback>
    </mc:AlternateContent>
    <xdr:clientData/>
  </xdr:oneCellAnchor>
  <xdr:oneCellAnchor>
    <xdr:from>
      <xdr:col>6</xdr:col>
      <xdr:colOff>22226</xdr:colOff>
      <xdr:row>117</xdr:row>
      <xdr:rowOff>0</xdr:rowOff>
    </xdr:from>
    <xdr:ext cx="1635919" cy="396939"/>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00000000-0008-0000-0B00-000024000000}"/>
                </a:ext>
              </a:extLst>
            </xdr:cNvPr>
            <xdr:cNvSpPr txBox="1"/>
          </xdr:nvSpPr>
          <xdr:spPr>
            <a:xfrm>
              <a:off x="6137276" y="23841075"/>
              <a:ext cx="1635919" cy="396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14:m>
                <m:oMathPara xmlns:m="http://schemas.openxmlformats.org/officeDocument/2006/math">
                  <m:oMathParaPr>
                    <m:jc m:val="center"/>
                  </m:oMathParaPr>
                  <m:oMath xmlns:m="http://schemas.openxmlformats.org/officeDocument/2006/math">
                    <m:sSub>
                      <m:sSubPr>
                        <m:ctrlPr>
                          <a:rPr lang="en-GB" sz="1100" i="1">
                            <a:latin typeface="Cambria Math" panose="02040503050406030204" pitchFamily="18" charset="0"/>
                          </a:rPr>
                        </m:ctrlPr>
                      </m:sSubPr>
                      <m:e>
                        <m:r>
                          <a:rPr lang="en-GB" sz="1100" i="1">
                            <a:latin typeface="Cambria Math"/>
                            <a:ea typeface="Cambria Math"/>
                          </a:rPr>
                          <m:t>𝛿</m:t>
                        </m:r>
                      </m:e>
                      <m:sub>
                        <m:r>
                          <a:rPr lang="en-US" sz="1100" b="0" i="1">
                            <a:latin typeface="Cambria Math"/>
                          </a:rPr>
                          <m:t>𝐿𝑤𝑙</m:t>
                        </m:r>
                      </m:sub>
                    </m:sSub>
                    <m:r>
                      <a:rPr lang="en-GB" sz="1100" i="1">
                        <a:latin typeface="Cambria Math"/>
                      </a:rPr>
                      <m:t>=</m:t>
                    </m:r>
                    <m:box>
                      <m:boxPr>
                        <m:ctrlPr>
                          <a:rPr lang="en-GB" sz="1100" i="1">
                            <a:latin typeface="Cambria Math" panose="02040503050406030204" pitchFamily="18" charset="0"/>
                          </a:rPr>
                        </m:ctrlPr>
                      </m:boxPr>
                      <m:e>
                        <m:argPr>
                          <m:argSz m:val="-1"/>
                        </m:argPr>
                        <m:f>
                          <m:fPr>
                            <m:ctrlPr>
                              <a:rPr lang="en-GB" sz="1100" i="1">
                                <a:latin typeface="Cambria Math" panose="02040503050406030204" pitchFamily="18" charset="0"/>
                              </a:rPr>
                            </m:ctrlPr>
                          </m:fPr>
                          <m:num>
                            <m:sSub>
                              <m:sSubPr>
                                <m:ctrlPr>
                                  <a:rPr lang="en-GB" sz="1100" i="1">
                                    <a:latin typeface="Cambria Math" panose="02040503050406030204" pitchFamily="18" charset="0"/>
                                  </a:rPr>
                                </m:ctrlPr>
                              </m:sSubPr>
                              <m:e>
                                <m:r>
                                  <a:rPr lang="en-GB" sz="1100" i="1">
                                    <a:latin typeface="Cambria Math"/>
                                    <a:ea typeface="Cambria Math"/>
                                  </a:rPr>
                                  <m:t>𝛿</m:t>
                                </m:r>
                              </m:e>
                              <m:sub>
                                <m:r>
                                  <a:rPr lang="en-US" sz="1100" b="0" i="1">
                                    <a:latin typeface="Cambria Math"/>
                                  </a:rPr>
                                  <m:t>𝐿𝑑𝑖𝑠𝑝𝑙</m:t>
                                </m:r>
                                <m:r>
                                  <a:rPr lang="en-US" sz="1100" b="0" i="1">
                                    <a:latin typeface="Cambria Math"/>
                                    <a:ea typeface="Cambria Math"/>
                                  </a:rPr>
                                  <m:t>×</m:t>
                                </m:r>
                                <m:r>
                                  <a:rPr lang="en-US" sz="1100" b="0" i="1">
                                    <a:latin typeface="Cambria Math"/>
                                    <a:ea typeface="Cambria Math"/>
                                  </a:rPr>
                                  <m:t>𝐿𝑑𝑖𝑠𝑝𝑙</m:t>
                                </m:r>
                              </m:sub>
                            </m:sSub>
                          </m:num>
                          <m:den>
                            <m:r>
                              <a:rPr lang="en-US" sz="1100" b="0" i="1">
                                <a:latin typeface="Cambria Math"/>
                              </a:rPr>
                              <m:t>𝐿𝑤𝑙</m:t>
                            </m:r>
                          </m:den>
                        </m:f>
                      </m:e>
                    </m:box>
                  </m:oMath>
                </m:oMathPara>
              </a14:m>
              <a:endParaRPr lang="en-GB" sz="1100"/>
            </a:p>
          </xdr:txBody>
        </xdr:sp>
      </mc:Choice>
      <mc:Fallback xmlns="">
        <xdr:sp macro="" textlink="">
          <xdr:nvSpPr>
            <xdr:cNvPr id="36" name="TextBox 35">
              <a:extLst>
                <a:ext uri="{FF2B5EF4-FFF2-40B4-BE49-F238E27FC236}">
                  <a16:creationId xmlns:a16="http://schemas.microsoft.com/office/drawing/2014/main" id="{3FCB084D-A1AC-4B9B-AF11-160802A8AD6E}"/>
                </a:ext>
              </a:extLst>
            </xdr:cNvPr>
            <xdr:cNvSpPr txBox="1"/>
          </xdr:nvSpPr>
          <xdr:spPr>
            <a:xfrm>
              <a:off x="6137276" y="23841075"/>
              <a:ext cx="1635919" cy="396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r>
                <a:rPr lang="en-GB" sz="1100" i="0">
                  <a:latin typeface="Cambria Math"/>
                  <a:ea typeface="Cambria Math"/>
                </a:rPr>
                <a:t>𝛿</a:t>
              </a:r>
              <a:r>
                <a:rPr lang="en-GB" sz="1100" i="0">
                  <a:latin typeface="Cambria Math" panose="02040503050406030204" pitchFamily="18" charset="0"/>
                  <a:ea typeface="Cambria Math"/>
                </a:rPr>
                <a:t>_</a:t>
              </a:r>
              <a:r>
                <a:rPr lang="en-US" sz="1100" b="0" i="0">
                  <a:latin typeface="Cambria Math"/>
                </a:rPr>
                <a:t>𝐿𝑤𝑙</a:t>
              </a:r>
              <a:r>
                <a:rPr lang="en-GB" sz="1100" i="0">
                  <a:latin typeface="Cambria Math"/>
                </a:rPr>
                <a:t>=</a:t>
              </a:r>
              <a:r>
                <a:rPr lang="en-GB" sz="1100" i="0">
                  <a:latin typeface="Cambria Math" panose="02040503050406030204" pitchFamily="18" charset="0"/>
                </a:rPr>
                <a:t>□(64&amp;</a:t>
              </a:r>
              <a:r>
                <a:rPr lang="en-GB" sz="1100" i="0">
                  <a:latin typeface="Cambria Math"/>
                  <a:ea typeface="Cambria Math"/>
                </a:rPr>
                <a:t>𝛿</a:t>
              </a:r>
              <a:r>
                <a:rPr lang="en-GB" sz="1100" i="0">
                  <a:latin typeface="Cambria Math" panose="02040503050406030204" pitchFamily="18" charset="0"/>
                  <a:ea typeface="Cambria Math"/>
                </a:rPr>
                <a:t>_(</a:t>
              </a:r>
              <a:r>
                <a:rPr lang="en-US" sz="1100" b="0" i="0">
                  <a:latin typeface="Cambria Math"/>
                </a:rPr>
                <a:t>𝐿𝑑𝑖𝑠𝑝𝑙</a:t>
              </a:r>
              <a:r>
                <a:rPr lang="en-US" sz="1100" b="0" i="0">
                  <a:latin typeface="Cambria Math"/>
                  <a:ea typeface="Cambria Math"/>
                </a:rPr>
                <a:t>×𝐿𝑑𝑖𝑠𝑝𝑙</a:t>
              </a:r>
              <a:r>
                <a:rPr lang="en-GB" sz="1100" b="0" i="0">
                  <a:latin typeface="Cambria Math" panose="02040503050406030204" pitchFamily="18" charset="0"/>
                  <a:ea typeface="Cambria Math"/>
                </a:rPr>
                <a:t>)/</a:t>
              </a:r>
              <a:r>
                <a:rPr lang="en-US" sz="1100" b="0" i="0">
                  <a:latin typeface="Cambria Math"/>
                </a:rPr>
                <a:t>𝐿𝑤𝑙</a:t>
              </a:r>
              <a:r>
                <a:rPr lang="en-US" sz="1100" b="0" i="0">
                  <a:latin typeface="Cambria Math" panose="02040503050406030204" pitchFamily="18" charset="0"/>
                </a:rPr>
                <a:t>)</a:t>
              </a:r>
              <a:endParaRPr lang="en-GB" sz="1100"/>
            </a:p>
          </xdr:txBody>
        </xdr:sp>
      </mc:Fallback>
    </mc:AlternateContent>
    <xdr:clientData/>
  </xdr:oneCellAnchor>
  <xdr:twoCellAnchor editAs="oneCell">
    <xdr:from>
      <xdr:col>0</xdr:col>
      <xdr:colOff>68579</xdr:colOff>
      <xdr:row>156</xdr:row>
      <xdr:rowOff>160020</xdr:rowOff>
    </xdr:from>
    <xdr:to>
      <xdr:col>2</xdr:col>
      <xdr:colOff>560070</xdr:colOff>
      <xdr:row>164</xdr:row>
      <xdr:rowOff>34291</xdr:rowOff>
    </xdr:to>
    <xdr:pic>
      <xdr:nvPicPr>
        <xdr:cNvPr id="37" name="Picture 36">
          <a:extLst>
            <a:ext uri="{FF2B5EF4-FFF2-40B4-BE49-F238E27FC236}">
              <a16:creationId xmlns:a16="http://schemas.microsoft.com/office/drawing/2014/main" id="{00000000-0008-0000-0B00-000025000000}"/>
            </a:ext>
          </a:extLst>
        </xdr:cNvPr>
        <xdr:cNvPicPr>
          <a:picLocks noChangeAspect="1"/>
        </xdr:cNvPicPr>
      </xdr:nvPicPr>
      <xdr:blipFill rotWithShape="1">
        <a:blip xmlns:r="http://schemas.openxmlformats.org/officeDocument/2006/relationships" r:embed="rId4"/>
        <a:srcRect l="49432" t="48299" r="29381" b="32938"/>
        <a:stretch/>
      </xdr:blipFill>
      <xdr:spPr>
        <a:xfrm>
          <a:off x="68579" y="31821120"/>
          <a:ext cx="2929891" cy="1474471"/>
        </a:xfrm>
        <a:prstGeom prst="rect">
          <a:avLst/>
        </a:prstGeom>
      </xdr:spPr>
    </xdr:pic>
    <xdr:clientData/>
  </xdr:twoCellAnchor>
  <xdr:twoCellAnchor editAs="oneCell">
    <xdr:from>
      <xdr:col>2</xdr:col>
      <xdr:colOff>458110</xdr:colOff>
      <xdr:row>50</xdr:row>
      <xdr:rowOff>31667</xdr:rowOff>
    </xdr:from>
    <xdr:to>
      <xdr:col>5</xdr:col>
      <xdr:colOff>648580</xdr:colOff>
      <xdr:row>59</xdr:row>
      <xdr:rowOff>113312</xdr:rowOff>
    </xdr:to>
    <xdr:pic>
      <xdr:nvPicPr>
        <xdr:cNvPr id="38" name="Picture 37">
          <a:extLst>
            <a:ext uri="{FF2B5EF4-FFF2-40B4-BE49-F238E27FC236}">
              <a16:creationId xmlns:a16="http://schemas.microsoft.com/office/drawing/2014/main" id="{00000000-0008-0000-0B00-000026000000}"/>
            </a:ext>
          </a:extLst>
        </xdr:cNvPr>
        <xdr:cNvPicPr>
          <a:picLocks noChangeAspect="1"/>
        </xdr:cNvPicPr>
      </xdr:nvPicPr>
      <xdr:blipFill>
        <a:blip xmlns:r="http://schemas.openxmlformats.org/officeDocument/2006/relationships" r:embed="rId5"/>
        <a:stretch>
          <a:fillRect/>
        </a:stretch>
      </xdr:blipFill>
      <xdr:spPr>
        <a:xfrm>
          <a:off x="3084701" y="10148372"/>
          <a:ext cx="3250015" cy="1900054"/>
        </a:xfrm>
        <a:prstGeom prst="rect">
          <a:avLst/>
        </a:prstGeom>
      </xdr:spPr>
    </xdr:pic>
    <xdr:clientData/>
  </xdr:twoCellAnchor>
  <xdr:twoCellAnchor editAs="oneCell">
    <xdr:from>
      <xdr:col>2</xdr:col>
      <xdr:colOff>111414</xdr:colOff>
      <xdr:row>47</xdr:row>
      <xdr:rowOff>90960</xdr:rowOff>
    </xdr:from>
    <xdr:to>
      <xdr:col>6</xdr:col>
      <xdr:colOff>308210</xdr:colOff>
      <xdr:row>49</xdr:row>
      <xdr:rowOff>103097</xdr:rowOff>
    </xdr:to>
    <xdr:pic>
      <xdr:nvPicPr>
        <xdr:cNvPr id="39" name="Picture 38">
          <a:extLst>
            <a:ext uri="{FF2B5EF4-FFF2-40B4-BE49-F238E27FC236}">
              <a16:creationId xmlns:a16="http://schemas.microsoft.com/office/drawing/2014/main" id="{00000000-0008-0000-0B00-000027000000}"/>
            </a:ext>
          </a:extLst>
        </xdr:cNvPr>
        <xdr:cNvPicPr>
          <a:picLocks noChangeAspect="1"/>
        </xdr:cNvPicPr>
      </xdr:nvPicPr>
      <xdr:blipFill>
        <a:blip xmlns:r="http://schemas.openxmlformats.org/officeDocument/2006/relationships" r:embed="rId6"/>
        <a:stretch>
          <a:fillRect/>
        </a:stretch>
      </xdr:blipFill>
      <xdr:spPr>
        <a:xfrm>
          <a:off x="2738005" y="9601528"/>
          <a:ext cx="4165546" cy="416228"/>
        </a:xfrm>
        <a:prstGeom prst="rect">
          <a:avLst/>
        </a:prstGeom>
      </xdr:spPr>
    </xdr:pic>
    <xdr:clientData/>
  </xdr:twoCellAnchor>
  <xdr:twoCellAnchor editAs="oneCell">
    <xdr:from>
      <xdr:col>1</xdr:col>
      <xdr:colOff>790677</xdr:colOff>
      <xdr:row>178</xdr:row>
      <xdr:rowOff>175818</xdr:rowOff>
    </xdr:from>
    <xdr:to>
      <xdr:col>3</xdr:col>
      <xdr:colOff>305540</xdr:colOff>
      <xdr:row>179</xdr:row>
      <xdr:rowOff>191969</xdr:rowOff>
    </xdr:to>
    <xdr:pic>
      <xdr:nvPicPr>
        <xdr:cNvPr id="40" name="Picture 39">
          <a:extLst>
            <a:ext uri="{FF2B5EF4-FFF2-40B4-BE49-F238E27FC236}">
              <a16:creationId xmlns:a16="http://schemas.microsoft.com/office/drawing/2014/main" id="{00000000-0008-0000-0B00-000028000000}"/>
            </a:ext>
          </a:extLst>
        </xdr:cNvPr>
        <xdr:cNvPicPr>
          <a:picLocks noChangeAspect="1"/>
        </xdr:cNvPicPr>
      </xdr:nvPicPr>
      <xdr:blipFill>
        <a:blip xmlns:r="http://schemas.openxmlformats.org/officeDocument/2006/relationships" r:embed="rId7"/>
        <a:stretch>
          <a:fillRect/>
        </a:stretch>
      </xdr:blipFill>
      <xdr:spPr>
        <a:xfrm>
          <a:off x="2200377" y="36237468"/>
          <a:ext cx="1381763" cy="216176"/>
        </a:xfrm>
        <a:prstGeom prst="rect">
          <a:avLst/>
        </a:prstGeom>
      </xdr:spPr>
    </xdr:pic>
    <xdr:clientData/>
  </xdr:twoCellAnchor>
  <xdr:twoCellAnchor editAs="oneCell">
    <xdr:from>
      <xdr:col>4</xdr:col>
      <xdr:colOff>204107</xdr:colOff>
      <xdr:row>184</xdr:row>
      <xdr:rowOff>68036</xdr:rowOff>
    </xdr:from>
    <xdr:to>
      <xdr:col>5</xdr:col>
      <xdr:colOff>714140</xdr:colOff>
      <xdr:row>185</xdr:row>
      <xdr:rowOff>83035</xdr:rowOff>
    </xdr:to>
    <xdr:pic>
      <xdr:nvPicPr>
        <xdr:cNvPr id="41" name="Picture 40">
          <a:extLst>
            <a:ext uri="{FF2B5EF4-FFF2-40B4-BE49-F238E27FC236}">
              <a16:creationId xmlns:a16="http://schemas.microsoft.com/office/drawing/2014/main" id="{00000000-0008-0000-0B00-000029000000}"/>
            </a:ext>
          </a:extLst>
        </xdr:cNvPr>
        <xdr:cNvPicPr>
          <a:picLocks noChangeAspect="1"/>
        </xdr:cNvPicPr>
      </xdr:nvPicPr>
      <xdr:blipFill>
        <a:blip xmlns:r="http://schemas.openxmlformats.org/officeDocument/2006/relationships" r:embed="rId8"/>
        <a:stretch>
          <a:fillRect/>
        </a:stretch>
      </xdr:blipFill>
      <xdr:spPr>
        <a:xfrm>
          <a:off x="4433207" y="37329836"/>
          <a:ext cx="1557783" cy="215024"/>
        </a:xfrm>
        <a:prstGeom prst="rect">
          <a:avLst/>
        </a:prstGeom>
      </xdr:spPr>
    </xdr:pic>
    <xdr:clientData/>
  </xdr:twoCellAnchor>
  <xdr:twoCellAnchor editAs="oneCell">
    <xdr:from>
      <xdr:col>4</xdr:col>
      <xdr:colOff>132787</xdr:colOff>
      <xdr:row>187</xdr:row>
      <xdr:rowOff>51457</xdr:rowOff>
    </xdr:from>
    <xdr:to>
      <xdr:col>6</xdr:col>
      <xdr:colOff>978574</xdr:colOff>
      <xdr:row>191</xdr:row>
      <xdr:rowOff>54293</xdr:rowOff>
    </xdr:to>
    <xdr:pic>
      <xdr:nvPicPr>
        <xdr:cNvPr id="42" name="Picture 41">
          <a:extLst>
            <a:ext uri="{FF2B5EF4-FFF2-40B4-BE49-F238E27FC236}">
              <a16:creationId xmlns:a16="http://schemas.microsoft.com/office/drawing/2014/main" id="{00000000-0008-0000-0B00-00002A000000}"/>
            </a:ext>
          </a:extLst>
        </xdr:cNvPr>
        <xdr:cNvPicPr>
          <a:picLocks noChangeAspect="1"/>
        </xdr:cNvPicPr>
      </xdr:nvPicPr>
      <xdr:blipFill>
        <a:blip xmlns:r="http://schemas.openxmlformats.org/officeDocument/2006/relationships" r:embed="rId9"/>
        <a:stretch>
          <a:fillRect/>
        </a:stretch>
      </xdr:blipFill>
      <xdr:spPr>
        <a:xfrm>
          <a:off x="4361887" y="37913332"/>
          <a:ext cx="2731737" cy="802936"/>
        </a:xfrm>
        <a:prstGeom prst="rect">
          <a:avLst/>
        </a:prstGeom>
      </xdr:spPr>
    </xdr:pic>
    <xdr:clientData/>
  </xdr:twoCellAnchor>
  <xdr:twoCellAnchor editAs="oneCell">
    <xdr:from>
      <xdr:col>3</xdr:col>
      <xdr:colOff>921063</xdr:colOff>
      <xdr:row>170</xdr:row>
      <xdr:rowOff>81956</xdr:rowOff>
    </xdr:from>
    <xdr:to>
      <xdr:col>6</xdr:col>
      <xdr:colOff>1061390</xdr:colOff>
      <xdr:row>171</xdr:row>
      <xdr:rowOff>135060</xdr:rowOff>
    </xdr:to>
    <xdr:pic>
      <xdr:nvPicPr>
        <xdr:cNvPr id="43" name="Picture 42">
          <a:extLst>
            <a:ext uri="{FF2B5EF4-FFF2-40B4-BE49-F238E27FC236}">
              <a16:creationId xmlns:a16="http://schemas.microsoft.com/office/drawing/2014/main" id="{00000000-0008-0000-0B00-00002B000000}"/>
            </a:ext>
          </a:extLst>
        </xdr:cNvPr>
        <xdr:cNvPicPr>
          <a:picLocks noChangeAspect="1"/>
        </xdr:cNvPicPr>
      </xdr:nvPicPr>
      <xdr:blipFill>
        <a:blip xmlns:r="http://schemas.openxmlformats.org/officeDocument/2006/relationships" r:embed="rId10"/>
        <a:stretch>
          <a:fillRect/>
        </a:stretch>
      </xdr:blipFill>
      <xdr:spPr>
        <a:xfrm>
          <a:off x="4197663" y="34543406"/>
          <a:ext cx="2978777" cy="253129"/>
        </a:xfrm>
        <a:prstGeom prst="rect">
          <a:avLst/>
        </a:prstGeom>
      </xdr:spPr>
    </xdr:pic>
    <xdr:clientData/>
  </xdr:twoCellAnchor>
  <xdr:twoCellAnchor editAs="oneCell">
    <xdr:from>
      <xdr:col>2</xdr:col>
      <xdr:colOff>639536</xdr:colOff>
      <xdr:row>150</xdr:row>
      <xdr:rowOff>149679</xdr:rowOff>
    </xdr:from>
    <xdr:to>
      <xdr:col>4</xdr:col>
      <xdr:colOff>767712</xdr:colOff>
      <xdr:row>155</xdr:row>
      <xdr:rowOff>148460</xdr:rowOff>
    </xdr:to>
    <xdr:pic>
      <xdr:nvPicPr>
        <xdr:cNvPr id="44" name="Picture 43">
          <a:extLst>
            <a:ext uri="{FF2B5EF4-FFF2-40B4-BE49-F238E27FC236}">
              <a16:creationId xmlns:a16="http://schemas.microsoft.com/office/drawing/2014/main" id="{00000000-0008-0000-0B00-00002C000000}"/>
            </a:ext>
          </a:extLst>
        </xdr:cNvPr>
        <xdr:cNvPicPr>
          <a:picLocks noChangeAspect="1"/>
        </xdr:cNvPicPr>
      </xdr:nvPicPr>
      <xdr:blipFill>
        <a:blip xmlns:r="http://schemas.openxmlformats.org/officeDocument/2006/relationships" r:embed="rId11"/>
        <a:stretch>
          <a:fillRect/>
        </a:stretch>
      </xdr:blipFill>
      <xdr:spPr>
        <a:xfrm>
          <a:off x="3077936" y="30610629"/>
          <a:ext cx="1918876" cy="998906"/>
        </a:xfrm>
        <a:prstGeom prst="rect">
          <a:avLst/>
        </a:prstGeom>
      </xdr:spPr>
    </xdr:pic>
    <xdr:clientData/>
  </xdr:twoCellAnchor>
  <xdr:twoCellAnchor editAs="oneCell">
    <xdr:from>
      <xdr:col>4</xdr:col>
      <xdr:colOff>244928</xdr:colOff>
      <xdr:row>195</xdr:row>
      <xdr:rowOff>163285</xdr:rowOff>
    </xdr:from>
    <xdr:to>
      <xdr:col>6</xdr:col>
      <xdr:colOff>757293</xdr:colOff>
      <xdr:row>201</xdr:row>
      <xdr:rowOff>15116</xdr:rowOff>
    </xdr:to>
    <xdr:pic>
      <xdr:nvPicPr>
        <xdr:cNvPr id="45" name="Picture 44">
          <a:extLst>
            <a:ext uri="{FF2B5EF4-FFF2-40B4-BE49-F238E27FC236}">
              <a16:creationId xmlns:a16="http://schemas.microsoft.com/office/drawing/2014/main" id="{00000000-0008-0000-0B00-00002D000000}"/>
            </a:ext>
          </a:extLst>
        </xdr:cNvPr>
        <xdr:cNvPicPr>
          <a:picLocks noChangeAspect="1"/>
        </xdr:cNvPicPr>
      </xdr:nvPicPr>
      <xdr:blipFill>
        <a:blip xmlns:r="http://schemas.openxmlformats.org/officeDocument/2006/relationships" r:embed="rId12"/>
        <a:stretch>
          <a:fillRect/>
        </a:stretch>
      </xdr:blipFill>
      <xdr:spPr>
        <a:xfrm>
          <a:off x="4474028" y="39625360"/>
          <a:ext cx="2398315" cy="1051981"/>
        </a:xfrm>
        <a:prstGeom prst="rect">
          <a:avLst/>
        </a:prstGeom>
      </xdr:spPr>
    </xdr:pic>
    <xdr:clientData/>
  </xdr:twoCellAnchor>
  <xdr:twoCellAnchor editAs="oneCell">
    <xdr:from>
      <xdr:col>3</xdr:col>
      <xdr:colOff>687895</xdr:colOff>
      <xdr:row>245</xdr:row>
      <xdr:rowOff>113928</xdr:rowOff>
    </xdr:from>
    <xdr:to>
      <xdr:col>6</xdr:col>
      <xdr:colOff>280662</xdr:colOff>
      <xdr:row>251</xdr:row>
      <xdr:rowOff>36411</xdr:rowOff>
    </xdr:to>
    <xdr:pic>
      <xdr:nvPicPr>
        <xdr:cNvPr id="46" name="Picture 45">
          <a:extLst>
            <a:ext uri="{FF2B5EF4-FFF2-40B4-BE49-F238E27FC236}">
              <a16:creationId xmlns:a16="http://schemas.microsoft.com/office/drawing/2014/main" id="{00000000-0008-0000-0B00-00002E000000}"/>
            </a:ext>
          </a:extLst>
        </xdr:cNvPr>
        <xdr:cNvPicPr>
          <a:picLocks noChangeAspect="1"/>
        </xdr:cNvPicPr>
      </xdr:nvPicPr>
      <xdr:blipFill>
        <a:blip xmlns:r="http://schemas.openxmlformats.org/officeDocument/2006/relationships" r:embed="rId13"/>
        <a:stretch>
          <a:fillRect/>
        </a:stretch>
      </xdr:blipFill>
      <xdr:spPr>
        <a:xfrm>
          <a:off x="3964495" y="49043853"/>
          <a:ext cx="2431217" cy="1122632"/>
        </a:xfrm>
        <a:prstGeom prst="rect">
          <a:avLst/>
        </a:prstGeom>
      </xdr:spPr>
    </xdr:pic>
    <xdr:clientData/>
  </xdr:twoCellAnchor>
  <xdr:twoCellAnchor>
    <xdr:from>
      <xdr:col>5</xdr:col>
      <xdr:colOff>762000</xdr:colOff>
      <xdr:row>297</xdr:row>
      <xdr:rowOff>152400</xdr:rowOff>
    </xdr:from>
    <xdr:to>
      <xdr:col>12</xdr:col>
      <xdr:colOff>317500</xdr:colOff>
      <xdr:row>313</xdr:row>
      <xdr:rowOff>9814</xdr:rowOff>
    </xdr:to>
    <xdr:graphicFrame macro="">
      <xdr:nvGraphicFramePr>
        <xdr:cNvPr id="47" name="Chart 46">
          <a:extLst>
            <a:ext uri="{FF2B5EF4-FFF2-40B4-BE49-F238E27FC236}">
              <a16:creationId xmlns:a16="http://schemas.microsoft.com/office/drawing/2014/main" id="{00000000-0008-0000-0B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765090</xdr:colOff>
      <xdr:row>93</xdr:row>
      <xdr:rowOff>191917</xdr:rowOff>
    </xdr:from>
    <xdr:to>
      <xdr:col>11</xdr:col>
      <xdr:colOff>396438</xdr:colOff>
      <xdr:row>111</xdr:row>
      <xdr:rowOff>31610</xdr:rowOff>
    </xdr:to>
    <xdr:grpSp>
      <xdr:nvGrpSpPr>
        <xdr:cNvPr id="49" name="Group 48">
          <a:extLst>
            <a:ext uri="{FF2B5EF4-FFF2-40B4-BE49-F238E27FC236}">
              <a16:creationId xmlns:a16="http://schemas.microsoft.com/office/drawing/2014/main" id="{00000000-0008-0000-0B00-000031000000}"/>
            </a:ext>
          </a:extLst>
        </xdr:cNvPr>
        <xdr:cNvGrpSpPr/>
      </xdr:nvGrpSpPr>
      <xdr:grpSpPr>
        <a:xfrm>
          <a:off x="6191855" y="19096143"/>
          <a:ext cx="5694218" cy="3417780"/>
          <a:chOff x="0" y="0"/>
          <a:chExt cx="3457397" cy="3581760"/>
        </a:xfrm>
      </xdr:grpSpPr>
      <xdr:pic>
        <xdr:nvPicPr>
          <xdr:cNvPr id="50" name="Picture 49">
            <a:extLst>
              <a:ext uri="{FF2B5EF4-FFF2-40B4-BE49-F238E27FC236}">
                <a16:creationId xmlns:a16="http://schemas.microsoft.com/office/drawing/2014/main" id="{00000000-0008-0000-0B00-000032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0" y="0"/>
            <a:ext cx="1736426" cy="1782433"/>
          </a:xfrm>
          <a:prstGeom prst="rect">
            <a:avLst/>
          </a:prstGeom>
          <a:noFill/>
        </xdr:spPr>
      </xdr:pic>
      <xdr:pic>
        <xdr:nvPicPr>
          <xdr:cNvPr id="51" name="Picture 50">
            <a:extLst>
              <a:ext uri="{FF2B5EF4-FFF2-40B4-BE49-F238E27FC236}">
                <a16:creationId xmlns:a16="http://schemas.microsoft.com/office/drawing/2014/main" id="{00000000-0008-0000-0B00-000033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35944" y="1761227"/>
            <a:ext cx="1717376" cy="1820533"/>
          </a:xfrm>
          <a:prstGeom prst="rect">
            <a:avLst/>
          </a:prstGeom>
          <a:noFill/>
        </xdr:spPr>
      </xdr:pic>
      <xdr:pic>
        <xdr:nvPicPr>
          <xdr:cNvPr id="52" name="Picture 51">
            <a:extLst>
              <a:ext uri="{FF2B5EF4-FFF2-40B4-BE49-F238E27FC236}">
                <a16:creationId xmlns:a16="http://schemas.microsoft.com/office/drawing/2014/main" id="{00000000-0008-0000-0B00-000034000000}"/>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1725283" y="26959"/>
            <a:ext cx="1688801" cy="1782433"/>
          </a:xfrm>
          <a:prstGeom prst="rect">
            <a:avLst/>
          </a:prstGeom>
          <a:noFill/>
        </xdr:spPr>
      </xdr:pic>
      <xdr:pic>
        <xdr:nvPicPr>
          <xdr:cNvPr id="53" name="Picture 52">
            <a:extLst>
              <a:ext uri="{FF2B5EF4-FFF2-40B4-BE49-F238E27FC236}">
                <a16:creationId xmlns:a16="http://schemas.microsoft.com/office/drawing/2014/main" id="{00000000-0008-0000-0B00-000035000000}"/>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1797171" y="1752242"/>
            <a:ext cx="1660226" cy="1801483"/>
          </a:xfrm>
          <a:prstGeom prst="rect">
            <a:avLst/>
          </a:prstGeom>
          <a:noFill/>
        </xdr:spPr>
      </xdr:pic>
    </xdr:grpSp>
    <xdr:clientData/>
  </xdr:twoCellAnchor>
  <xdr:twoCellAnchor editAs="oneCell">
    <xdr:from>
      <xdr:col>6</xdr:col>
      <xdr:colOff>41216</xdr:colOff>
      <xdr:row>127</xdr:row>
      <xdr:rowOff>124939</xdr:rowOff>
    </xdr:from>
    <xdr:to>
      <xdr:col>8</xdr:col>
      <xdr:colOff>568493</xdr:colOff>
      <xdr:row>141</xdr:row>
      <xdr:rowOff>159100</xdr:rowOff>
    </xdr:to>
    <xdr:pic>
      <xdr:nvPicPr>
        <xdr:cNvPr id="54" name="Picture 53">
          <a:extLst>
            <a:ext uri="{FF2B5EF4-FFF2-40B4-BE49-F238E27FC236}">
              <a16:creationId xmlns:a16="http://schemas.microsoft.com/office/drawing/2014/main" id="{00000000-0008-0000-0B00-000036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6156266" y="25956739"/>
          <a:ext cx="2870427" cy="28630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514569</xdr:colOff>
      <xdr:row>98</xdr:row>
      <xdr:rowOff>10950</xdr:rowOff>
    </xdr:from>
    <xdr:to>
      <xdr:col>5</xdr:col>
      <xdr:colOff>466618</xdr:colOff>
      <xdr:row>105</xdr:row>
      <xdr:rowOff>131380</xdr:rowOff>
    </xdr:to>
    <xdr:pic>
      <xdr:nvPicPr>
        <xdr:cNvPr id="55" name="Picture 54">
          <a:extLst>
            <a:ext uri="{FF2B5EF4-FFF2-40B4-BE49-F238E27FC236}">
              <a16:creationId xmlns:a16="http://schemas.microsoft.com/office/drawing/2014/main" id="{00000000-0008-0000-0B00-000037000000}"/>
            </a:ext>
          </a:extLst>
        </xdr:cNvPr>
        <xdr:cNvPicPr>
          <a:picLocks noChangeAspect="1"/>
        </xdr:cNvPicPr>
      </xdr:nvPicPr>
      <xdr:blipFill>
        <a:blip xmlns:r="http://schemas.openxmlformats.org/officeDocument/2006/relationships" r:embed="rId20"/>
        <a:stretch>
          <a:fillRect/>
        </a:stretch>
      </xdr:blipFill>
      <xdr:spPr>
        <a:xfrm>
          <a:off x="3791169" y="20051550"/>
          <a:ext cx="1952299" cy="15206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125173</xdr:colOff>
      <xdr:row>235</xdr:row>
      <xdr:rowOff>50259</xdr:rowOff>
    </xdr:from>
    <xdr:to>
      <xdr:col>10</xdr:col>
      <xdr:colOff>231963</xdr:colOff>
      <xdr:row>239</xdr:row>
      <xdr:rowOff>102330</xdr:rowOff>
    </xdr:to>
    <xdr:pic>
      <xdr:nvPicPr>
        <xdr:cNvPr id="12" name="Picture 11">
          <a:extLst>
            <a:ext uri="{FF2B5EF4-FFF2-40B4-BE49-F238E27FC236}">
              <a16:creationId xmlns:a16="http://schemas.microsoft.com/office/drawing/2014/main" id="{00000000-0008-0000-0C00-00000C000000}"/>
            </a:ext>
          </a:extLst>
        </xdr:cNvPr>
        <xdr:cNvPicPr>
          <a:picLocks noChangeAspect="1"/>
        </xdr:cNvPicPr>
      </xdr:nvPicPr>
      <xdr:blipFill rotWithShape="1">
        <a:blip xmlns:r="http://schemas.openxmlformats.org/officeDocument/2006/relationships" r:embed="rId1"/>
        <a:srcRect l="26503" t="32118" r="22439" b="53452"/>
        <a:stretch/>
      </xdr:blipFill>
      <xdr:spPr>
        <a:xfrm>
          <a:off x="125173" y="39530849"/>
          <a:ext cx="4716580" cy="779823"/>
        </a:xfrm>
        <a:prstGeom prst="rect">
          <a:avLst/>
        </a:prstGeom>
      </xdr:spPr>
    </xdr:pic>
    <xdr:clientData/>
  </xdr:twoCellAnchor>
  <xdr:twoCellAnchor editAs="oneCell">
    <xdr:from>
      <xdr:col>1</xdr:col>
      <xdr:colOff>44450</xdr:colOff>
      <xdr:row>207</xdr:row>
      <xdr:rowOff>44450</xdr:rowOff>
    </xdr:from>
    <xdr:to>
      <xdr:col>9</xdr:col>
      <xdr:colOff>254317</xdr:colOff>
      <xdr:row>214</xdr:row>
      <xdr:rowOff>60278</xdr:rowOff>
    </xdr:to>
    <xdr:pic>
      <xdr:nvPicPr>
        <xdr:cNvPr id="15" name="Picture 14">
          <a:extLst>
            <a:ext uri="{FF2B5EF4-FFF2-40B4-BE49-F238E27FC236}">
              <a16:creationId xmlns:a16="http://schemas.microsoft.com/office/drawing/2014/main" id="{00000000-0008-0000-0C00-00000F000000}"/>
            </a:ext>
          </a:extLst>
        </xdr:cNvPr>
        <xdr:cNvPicPr>
          <a:picLocks noChangeAspect="1"/>
        </xdr:cNvPicPr>
      </xdr:nvPicPr>
      <xdr:blipFill rotWithShape="1">
        <a:blip xmlns:r="http://schemas.openxmlformats.org/officeDocument/2006/relationships" r:embed="rId2"/>
        <a:srcRect l="24293" t="46183" r="21551" b="26479"/>
        <a:stretch/>
      </xdr:blipFill>
      <xdr:spPr>
        <a:xfrm>
          <a:off x="320675" y="29305250"/>
          <a:ext cx="4630474" cy="1282653"/>
        </a:xfrm>
        <a:prstGeom prst="rect">
          <a:avLst/>
        </a:prstGeom>
      </xdr:spPr>
    </xdr:pic>
    <xdr:clientData/>
  </xdr:twoCellAnchor>
  <xdr:twoCellAnchor editAs="oneCell">
    <xdr:from>
      <xdr:col>19</xdr:col>
      <xdr:colOff>4493</xdr:colOff>
      <xdr:row>19</xdr:row>
      <xdr:rowOff>157613</xdr:rowOff>
    </xdr:from>
    <xdr:to>
      <xdr:col>47</xdr:col>
      <xdr:colOff>215660</xdr:colOff>
      <xdr:row>39</xdr:row>
      <xdr:rowOff>139820</xdr:rowOff>
    </xdr:to>
    <xdr:pic>
      <xdr:nvPicPr>
        <xdr:cNvPr id="20" name="Picture 19">
          <a:extLst>
            <a:ext uri="{FF2B5EF4-FFF2-40B4-BE49-F238E27FC236}">
              <a16:creationId xmlns:a16="http://schemas.microsoft.com/office/drawing/2014/main" id="{00000000-0008-0000-0C00-000014000000}"/>
            </a:ext>
          </a:extLst>
        </xdr:cNvPr>
        <xdr:cNvPicPr>
          <a:picLocks noChangeAspect="1"/>
        </xdr:cNvPicPr>
      </xdr:nvPicPr>
      <xdr:blipFill>
        <a:blip xmlns:r="http://schemas.openxmlformats.org/officeDocument/2006/relationships" r:embed="rId3"/>
        <a:stretch>
          <a:fillRect/>
        </a:stretch>
      </xdr:blipFill>
      <xdr:spPr>
        <a:xfrm>
          <a:off x="5870455" y="3572236"/>
          <a:ext cx="7658639" cy="3576546"/>
        </a:xfrm>
        <a:prstGeom prst="rect">
          <a:avLst/>
        </a:prstGeom>
      </xdr:spPr>
    </xdr:pic>
    <xdr:clientData/>
  </xdr:twoCellAnchor>
  <xdr:twoCellAnchor editAs="oneCell">
    <xdr:from>
      <xdr:col>0</xdr:col>
      <xdr:colOff>60923</xdr:colOff>
      <xdr:row>30</xdr:row>
      <xdr:rowOff>143415</xdr:rowOff>
    </xdr:from>
    <xdr:to>
      <xdr:col>14</xdr:col>
      <xdr:colOff>33693</xdr:colOff>
      <xdr:row>48</xdr:row>
      <xdr:rowOff>91623</xdr:rowOff>
    </xdr:to>
    <xdr:pic>
      <xdr:nvPicPr>
        <xdr:cNvPr id="22" name="Picture 21">
          <a:extLst>
            <a:ext uri="{FF2B5EF4-FFF2-40B4-BE49-F238E27FC236}">
              <a16:creationId xmlns:a16="http://schemas.microsoft.com/office/drawing/2014/main" id="{00000000-0008-0000-0C00-000016000000}"/>
            </a:ext>
          </a:extLst>
        </xdr:cNvPr>
        <xdr:cNvPicPr>
          <a:picLocks noChangeAspect="1"/>
        </xdr:cNvPicPr>
      </xdr:nvPicPr>
      <xdr:blipFill>
        <a:blip xmlns:r="http://schemas.openxmlformats.org/officeDocument/2006/relationships" r:embed="rId4"/>
        <a:stretch>
          <a:fillRect/>
        </a:stretch>
      </xdr:blipFill>
      <xdr:spPr>
        <a:xfrm>
          <a:off x="60923" y="5534924"/>
          <a:ext cx="5812227" cy="3183114"/>
        </a:xfrm>
        <a:prstGeom prst="rect">
          <a:avLst/>
        </a:prstGeom>
      </xdr:spPr>
    </xdr:pic>
    <xdr:clientData/>
  </xdr:twoCellAnchor>
  <xdr:twoCellAnchor editAs="oneCell">
    <xdr:from>
      <xdr:col>17</xdr:col>
      <xdr:colOff>264589</xdr:colOff>
      <xdr:row>47</xdr:row>
      <xdr:rowOff>106931</xdr:rowOff>
    </xdr:from>
    <xdr:to>
      <xdr:col>41</xdr:col>
      <xdr:colOff>165340</xdr:colOff>
      <xdr:row>68</xdr:row>
      <xdr:rowOff>1657</xdr:rowOff>
    </xdr:to>
    <xdr:pic>
      <xdr:nvPicPr>
        <xdr:cNvPr id="21" name="Picture 20">
          <a:extLst>
            <a:ext uri="{FF2B5EF4-FFF2-40B4-BE49-F238E27FC236}">
              <a16:creationId xmlns:a16="http://schemas.microsoft.com/office/drawing/2014/main" id="{00000000-0008-0000-0C00-000015000000}"/>
            </a:ext>
          </a:extLst>
        </xdr:cNvPr>
        <xdr:cNvPicPr>
          <a:picLocks noChangeAspect="1"/>
        </xdr:cNvPicPr>
      </xdr:nvPicPr>
      <xdr:blipFill>
        <a:blip xmlns:r="http://schemas.openxmlformats.org/officeDocument/2006/relationships" r:embed="rId5"/>
        <a:stretch>
          <a:fillRect/>
        </a:stretch>
      </xdr:blipFill>
      <xdr:spPr>
        <a:xfrm>
          <a:off x="5598589" y="8553629"/>
          <a:ext cx="6284298" cy="3668783"/>
        </a:xfrm>
        <a:prstGeom prst="rect">
          <a:avLst/>
        </a:prstGeom>
      </xdr:spPr>
    </xdr:pic>
    <xdr:clientData/>
  </xdr:twoCellAnchor>
  <xdr:twoCellAnchor editAs="oneCell">
    <xdr:from>
      <xdr:col>1</xdr:col>
      <xdr:colOff>28575</xdr:colOff>
      <xdr:row>78</xdr:row>
      <xdr:rowOff>57150</xdr:rowOff>
    </xdr:from>
    <xdr:to>
      <xdr:col>9</xdr:col>
      <xdr:colOff>19698</xdr:colOff>
      <xdr:row>105</xdr:row>
      <xdr:rowOff>70694</xdr:rowOff>
    </xdr:to>
    <xdr:pic>
      <xdr:nvPicPr>
        <xdr:cNvPr id="23" name="Picture 22">
          <a:extLst>
            <a:ext uri="{FF2B5EF4-FFF2-40B4-BE49-F238E27FC236}">
              <a16:creationId xmlns:a16="http://schemas.microsoft.com/office/drawing/2014/main" id="{00000000-0008-0000-0C00-000017000000}"/>
            </a:ext>
          </a:extLst>
        </xdr:cNvPr>
        <xdr:cNvPicPr>
          <a:picLocks noChangeAspect="1"/>
        </xdr:cNvPicPr>
      </xdr:nvPicPr>
      <xdr:blipFill>
        <a:blip xmlns:r="http://schemas.openxmlformats.org/officeDocument/2006/relationships" r:embed="rId6"/>
        <a:stretch>
          <a:fillRect/>
        </a:stretch>
      </xdr:blipFill>
      <xdr:spPr>
        <a:xfrm>
          <a:off x="285750" y="10915650"/>
          <a:ext cx="4095750" cy="4899869"/>
        </a:xfrm>
        <a:prstGeom prst="rect">
          <a:avLst/>
        </a:prstGeom>
      </xdr:spPr>
    </xdr:pic>
    <xdr:clientData/>
  </xdr:twoCellAnchor>
  <xdr:twoCellAnchor>
    <xdr:from>
      <xdr:col>1</xdr:col>
      <xdr:colOff>97194</xdr:colOff>
      <xdr:row>99</xdr:row>
      <xdr:rowOff>19245</xdr:rowOff>
    </xdr:from>
    <xdr:to>
      <xdr:col>14</xdr:col>
      <xdr:colOff>204107</xdr:colOff>
      <xdr:row>99</xdr:row>
      <xdr:rowOff>155510</xdr:rowOff>
    </xdr:to>
    <xdr:sp macro="" textlink="">
      <xdr:nvSpPr>
        <xdr:cNvPr id="4" name="Rectangle 3">
          <a:extLst>
            <a:ext uri="{FF2B5EF4-FFF2-40B4-BE49-F238E27FC236}">
              <a16:creationId xmlns:a16="http://schemas.microsoft.com/office/drawing/2014/main" id="{00000000-0008-0000-0C00-000004000000}"/>
            </a:ext>
          </a:extLst>
        </xdr:cNvPr>
        <xdr:cNvSpPr/>
      </xdr:nvSpPr>
      <xdr:spPr>
        <a:xfrm>
          <a:off x="349898" y="14977383"/>
          <a:ext cx="3868316" cy="13626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editAs="oneCell">
    <xdr:from>
      <xdr:col>1</xdr:col>
      <xdr:colOff>19051</xdr:colOff>
      <xdr:row>106</xdr:row>
      <xdr:rowOff>85725</xdr:rowOff>
    </xdr:from>
    <xdr:to>
      <xdr:col>8</xdr:col>
      <xdr:colOff>189534</xdr:colOff>
      <xdr:row>132</xdr:row>
      <xdr:rowOff>172293</xdr:rowOff>
    </xdr:to>
    <xdr:pic>
      <xdr:nvPicPr>
        <xdr:cNvPr id="24" name="Picture 23">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7"/>
        <a:stretch>
          <a:fillRect/>
        </a:stretch>
      </xdr:blipFill>
      <xdr:spPr>
        <a:xfrm>
          <a:off x="276226" y="16011525"/>
          <a:ext cx="4005862" cy="4791918"/>
        </a:xfrm>
        <a:prstGeom prst="rect">
          <a:avLst/>
        </a:prstGeom>
      </xdr:spPr>
    </xdr:pic>
    <xdr:clientData/>
  </xdr:twoCellAnchor>
  <xdr:twoCellAnchor>
    <xdr:from>
      <xdr:col>1</xdr:col>
      <xdr:colOff>38100</xdr:colOff>
      <xdr:row>126</xdr:row>
      <xdr:rowOff>152402</xdr:rowOff>
    </xdr:from>
    <xdr:to>
      <xdr:col>14</xdr:col>
      <xdr:colOff>194388</xdr:colOff>
      <xdr:row>127</xdr:row>
      <xdr:rowOff>106913</xdr:rowOff>
    </xdr:to>
    <xdr:sp macro="" textlink="">
      <xdr:nvSpPr>
        <xdr:cNvPr id="27" name="Rectangle 26">
          <a:extLst>
            <a:ext uri="{FF2B5EF4-FFF2-40B4-BE49-F238E27FC236}">
              <a16:creationId xmlns:a16="http://schemas.microsoft.com/office/drawing/2014/main" id="{00000000-0008-0000-0C00-00001B000000}"/>
            </a:ext>
          </a:extLst>
        </xdr:cNvPr>
        <xdr:cNvSpPr/>
      </xdr:nvSpPr>
      <xdr:spPr>
        <a:xfrm>
          <a:off x="290804" y="20096586"/>
          <a:ext cx="3917691" cy="1391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editAs="oneCell">
    <xdr:from>
      <xdr:col>0</xdr:col>
      <xdr:colOff>219075</xdr:colOff>
      <xdr:row>136</xdr:row>
      <xdr:rowOff>19050</xdr:rowOff>
    </xdr:from>
    <xdr:to>
      <xdr:col>10</xdr:col>
      <xdr:colOff>186656</xdr:colOff>
      <xdr:row>141</xdr:row>
      <xdr:rowOff>32385</xdr:rowOff>
    </xdr:to>
    <xdr:pic>
      <xdr:nvPicPr>
        <xdr:cNvPr id="28" name="Picture 27">
          <a:extLst>
            <a:ext uri="{FF2B5EF4-FFF2-40B4-BE49-F238E27FC236}">
              <a16:creationId xmlns:a16="http://schemas.microsoft.com/office/drawing/2014/main" id="{00000000-0008-0000-0C00-00001C000000}"/>
            </a:ext>
          </a:extLst>
        </xdr:cNvPr>
        <xdr:cNvPicPr>
          <a:picLocks noChangeAspect="1"/>
        </xdr:cNvPicPr>
      </xdr:nvPicPr>
      <xdr:blipFill>
        <a:blip xmlns:r="http://schemas.openxmlformats.org/officeDocument/2006/relationships" r:embed="rId8"/>
        <a:stretch>
          <a:fillRect/>
        </a:stretch>
      </xdr:blipFill>
      <xdr:spPr>
        <a:xfrm>
          <a:off x="219075" y="21374100"/>
          <a:ext cx="4591050" cy="918210"/>
        </a:xfrm>
        <a:prstGeom prst="rect">
          <a:avLst/>
        </a:prstGeom>
      </xdr:spPr>
    </xdr:pic>
    <xdr:clientData/>
  </xdr:twoCellAnchor>
  <xdr:twoCellAnchor editAs="oneCell">
    <xdr:from>
      <xdr:col>0</xdr:col>
      <xdr:colOff>169736</xdr:colOff>
      <xdr:row>274</xdr:row>
      <xdr:rowOff>89558</xdr:rowOff>
    </xdr:from>
    <xdr:to>
      <xdr:col>5</xdr:col>
      <xdr:colOff>466902</xdr:colOff>
      <xdr:row>284</xdr:row>
      <xdr:rowOff>85397</xdr:rowOff>
    </xdr:to>
    <xdr:pic>
      <xdr:nvPicPr>
        <xdr:cNvPr id="29" name="Picture 28">
          <a:extLst>
            <a:ext uri="{FF2B5EF4-FFF2-40B4-BE49-F238E27FC236}">
              <a16:creationId xmlns:a16="http://schemas.microsoft.com/office/drawing/2014/main" id="{00000000-0008-0000-0C00-00001D000000}"/>
            </a:ext>
          </a:extLst>
        </xdr:cNvPr>
        <xdr:cNvPicPr>
          <a:picLocks noChangeAspect="1"/>
        </xdr:cNvPicPr>
      </xdr:nvPicPr>
      <xdr:blipFill>
        <a:blip xmlns:r="http://schemas.openxmlformats.org/officeDocument/2006/relationships" r:embed="rId9"/>
        <a:stretch>
          <a:fillRect/>
        </a:stretch>
      </xdr:blipFill>
      <xdr:spPr>
        <a:xfrm>
          <a:off x="169736" y="49332011"/>
          <a:ext cx="2209355" cy="1793009"/>
        </a:xfrm>
        <a:prstGeom prst="rect">
          <a:avLst/>
        </a:prstGeom>
      </xdr:spPr>
    </xdr:pic>
    <xdr:clientData/>
  </xdr:twoCellAnchor>
  <xdr:twoCellAnchor editAs="oneCell">
    <xdr:from>
      <xdr:col>7</xdr:col>
      <xdr:colOff>197689</xdr:colOff>
      <xdr:row>274</xdr:row>
      <xdr:rowOff>44929</xdr:rowOff>
    </xdr:from>
    <xdr:to>
      <xdr:col>16</xdr:col>
      <xdr:colOff>101099</xdr:colOff>
      <xdr:row>286</xdr:row>
      <xdr:rowOff>71201</xdr:rowOff>
    </xdr:to>
    <xdr:pic>
      <xdr:nvPicPr>
        <xdr:cNvPr id="30" name="Picture 29">
          <a:extLst>
            <a:ext uri="{FF2B5EF4-FFF2-40B4-BE49-F238E27FC236}">
              <a16:creationId xmlns:a16="http://schemas.microsoft.com/office/drawing/2014/main" id="{00000000-0008-0000-0C00-00001E000000}"/>
            </a:ext>
          </a:extLst>
        </xdr:cNvPr>
        <xdr:cNvPicPr>
          <a:picLocks noChangeAspect="1"/>
        </xdr:cNvPicPr>
      </xdr:nvPicPr>
      <xdr:blipFill>
        <a:blip xmlns:r="http://schemas.openxmlformats.org/officeDocument/2006/relationships" r:embed="rId10"/>
        <a:stretch>
          <a:fillRect/>
        </a:stretch>
      </xdr:blipFill>
      <xdr:spPr>
        <a:xfrm>
          <a:off x="2879066" y="49287382"/>
          <a:ext cx="2290052" cy="2182876"/>
        </a:xfrm>
        <a:prstGeom prst="rect">
          <a:avLst/>
        </a:prstGeom>
      </xdr:spPr>
    </xdr:pic>
    <xdr:clientData/>
  </xdr:twoCellAnchor>
  <xdr:twoCellAnchor editAs="oneCell">
    <xdr:from>
      <xdr:col>1</xdr:col>
      <xdr:colOff>141426</xdr:colOff>
      <xdr:row>304</xdr:row>
      <xdr:rowOff>119124</xdr:rowOff>
    </xdr:from>
    <xdr:to>
      <xdr:col>6</xdr:col>
      <xdr:colOff>259020</xdr:colOff>
      <xdr:row>322</xdr:row>
      <xdr:rowOff>86209</xdr:rowOff>
    </xdr:to>
    <xdr:pic>
      <xdr:nvPicPr>
        <xdr:cNvPr id="31" name="Picture 30">
          <a:extLst>
            <a:ext uri="{FF2B5EF4-FFF2-40B4-BE49-F238E27FC236}">
              <a16:creationId xmlns:a16="http://schemas.microsoft.com/office/drawing/2014/main" id="{00000000-0008-0000-0C00-00001F000000}"/>
            </a:ext>
          </a:extLst>
        </xdr:cNvPr>
        <xdr:cNvPicPr>
          <a:picLocks noChangeAspect="1"/>
        </xdr:cNvPicPr>
      </xdr:nvPicPr>
      <xdr:blipFill>
        <a:blip xmlns:r="http://schemas.openxmlformats.org/officeDocument/2006/relationships" r:embed="rId11"/>
        <a:stretch>
          <a:fillRect/>
        </a:stretch>
      </xdr:blipFill>
      <xdr:spPr>
        <a:xfrm>
          <a:off x="398280" y="52153450"/>
          <a:ext cx="3431388" cy="3241973"/>
        </a:xfrm>
        <a:prstGeom prst="rect">
          <a:avLst/>
        </a:prstGeom>
      </xdr:spPr>
    </xdr:pic>
    <xdr:clientData/>
  </xdr:twoCellAnchor>
  <xdr:twoCellAnchor editAs="oneCell">
    <xdr:from>
      <xdr:col>3</xdr:col>
      <xdr:colOff>128219</xdr:colOff>
      <xdr:row>322</xdr:row>
      <xdr:rowOff>120666</xdr:rowOff>
    </xdr:from>
    <xdr:to>
      <xdr:col>5</xdr:col>
      <xdr:colOff>1687653</xdr:colOff>
      <xdr:row>336</xdr:row>
      <xdr:rowOff>129654</xdr:rowOff>
    </xdr:to>
    <xdr:pic>
      <xdr:nvPicPr>
        <xdr:cNvPr id="32" name="Picture 31">
          <a:extLst>
            <a:ext uri="{FF2B5EF4-FFF2-40B4-BE49-F238E27FC236}">
              <a16:creationId xmlns:a16="http://schemas.microsoft.com/office/drawing/2014/main" id="{00000000-0008-0000-0C00-000020000000}"/>
            </a:ext>
          </a:extLst>
        </xdr:cNvPr>
        <xdr:cNvPicPr>
          <a:picLocks noChangeAspect="1"/>
        </xdr:cNvPicPr>
      </xdr:nvPicPr>
      <xdr:blipFill>
        <a:blip xmlns:r="http://schemas.openxmlformats.org/officeDocument/2006/relationships" r:embed="rId12"/>
        <a:stretch>
          <a:fillRect/>
        </a:stretch>
      </xdr:blipFill>
      <xdr:spPr>
        <a:xfrm>
          <a:off x="898781" y="55429879"/>
          <a:ext cx="2589028" cy="2556123"/>
        </a:xfrm>
        <a:prstGeom prst="rect">
          <a:avLst/>
        </a:prstGeom>
      </xdr:spPr>
    </xdr:pic>
    <xdr:clientData/>
  </xdr:twoCellAnchor>
  <xdr:twoCellAnchor editAs="oneCell">
    <xdr:from>
      <xdr:col>3</xdr:col>
      <xdr:colOff>143773</xdr:colOff>
      <xdr:row>336</xdr:row>
      <xdr:rowOff>84352</xdr:rowOff>
    </xdr:from>
    <xdr:to>
      <xdr:col>5</xdr:col>
      <xdr:colOff>1675697</xdr:colOff>
      <xdr:row>345</xdr:row>
      <xdr:rowOff>109726</xdr:rowOff>
    </xdr:to>
    <xdr:pic>
      <xdr:nvPicPr>
        <xdr:cNvPr id="33" name="Picture 32">
          <a:extLst>
            <a:ext uri="{FF2B5EF4-FFF2-40B4-BE49-F238E27FC236}">
              <a16:creationId xmlns:a16="http://schemas.microsoft.com/office/drawing/2014/main" id="{00000000-0008-0000-0C00-000021000000}"/>
            </a:ext>
          </a:extLst>
        </xdr:cNvPr>
        <xdr:cNvPicPr>
          <a:picLocks noChangeAspect="1"/>
        </xdr:cNvPicPr>
      </xdr:nvPicPr>
      <xdr:blipFill>
        <a:blip xmlns:r="http://schemas.openxmlformats.org/officeDocument/2006/relationships" r:embed="rId13"/>
        <a:stretch>
          <a:fillRect/>
        </a:stretch>
      </xdr:blipFill>
      <xdr:spPr>
        <a:xfrm>
          <a:off x="914335" y="57940700"/>
          <a:ext cx="2561518" cy="1662817"/>
        </a:xfrm>
        <a:prstGeom prst="rect">
          <a:avLst/>
        </a:prstGeom>
      </xdr:spPr>
    </xdr:pic>
    <xdr:clientData/>
  </xdr:twoCellAnchor>
  <xdr:twoCellAnchor editAs="oneCell">
    <xdr:from>
      <xdr:col>1</xdr:col>
      <xdr:colOff>215662</xdr:colOff>
      <xdr:row>361</xdr:row>
      <xdr:rowOff>74783</xdr:rowOff>
    </xdr:from>
    <xdr:to>
      <xdr:col>8</xdr:col>
      <xdr:colOff>137100</xdr:colOff>
      <xdr:row>375</xdr:row>
      <xdr:rowOff>11882</xdr:rowOff>
    </xdr:to>
    <xdr:pic>
      <xdr:nvPicPr>
        <xdr:cNvPr id="34" name="Picture 33">
          <a:extLst>
            <a:ext uri="{FF2B5EF4-FFF2-40B4-BE49-F238E27FC236}">
              <a16:creationId xmlns:a16="http://schemas.microsoft.com/office/drawing/2014/main" id="{00000000-0008-0000-0C00-000022000000}"/>
            </a:ext>
          </a:extLst>
        </xdr:cNvPr>
        <xdr:cNvPicPr>
          <a:picLocks noChangeAspect="1"/>
        </xdr:cNvPicPr>
      </xdr:nvPicPr>
      <xdr:blipFill>
        <a:blip xmlns:r="http://schemas.openxmlformats.org/officeDocument/2006/relationships" r:embed="rId14"/>
        <a:stretch>
          <a:fillRect/>
        </a:stretch>
      </xdr:blipFill>
      <xdr:spPr>
        <a:xfrm>
          <a:off x="468366" y="63416033"/>
          <a:ext cx="3704079" cy="2522457"/>
        </a:xfrm>
        <a:prstGeom prst="rect">
          <a:avLst/>
        </a:prstGeom>
      </xdr:spPr>
    </xdr:pic>
    <xdr:clientData/>
  </xdr:twoCellAnchor>
  <xdr:twoCellAnchor editAs="oneCell">
    <xdr:from>
      <xdr:col>3</xdr:col>
      <xdr:colOff>251604</xdr:colOff>
      <xdr:row>374</xdr:row>
      <xdr:rowOff>169595</xdr:rowOff>
    </xdr:from>
    <xdr:to>
      <xdr:col>6</xdr:col>
      <xdr:colOff>140352</xdr:colOff>
      <xdr:row>386</xdr:row>
      <xdr:rowOff>91618</xdr:rowOff>
    </xdr:to>
    <xdr:pic>
      <xdr:nvPicPr>
        <xdr:cNvPr id="35" name="Picture 34">
          <a:extLst>
            <a:ext uri="{FF2B5EF4-FFF2-40B4-BE49-F238E27FC236}">
              <a16:creationId xmlns:a16="http://schemas.microsoft.com/office/drawing/2014/main" id="{00000000-0008-0000-0C00-000023000000}"/>
            </a:ext>
          </a:extLst>
        </xdr:cNvPr>
        <xdr:cNvPicPr>
          <a:picLocks noChangeAspect="1"/>
        </xdr:cNvPicPr>
      </xdr:nvPicPr>
      <xdr:blipFill>
        <a:blip xmlns:r="http://schemas.openxmlformats.org/officeDocument/2006/relationships" r:embed="rId15"/>
        <a:stretch>
          <a:fillRect/>
        </a:stretch>
      </xdr:blipFill>
      <xdr:spPr>
        <a:xfrm>
          <a:off x="1009716" y="65911534"/>
          <a:ext cx="2660572" cy="2138043"/>
        </a:xfrm>
        <a:prstGeom prst="rect">
          <a:avLst/>
        </a:prstGeom>
      </xdr:spPr>
    </xdr:pic>
    <xdr:clientData/>
  </xdr:twoCellAnchor>
  <xdr:twoCellAnchor editAs="oneCell">
    <xdr:from>
      <xdr:col>1</xdr:col>
      <xdr:colOff>0</xdr:colOff>
      <xdr:row>401</xdr:row>
      <xdr:rowOff>171277</xdr:rowOff>
    </xdr:from>
    <xdr:to>
      <xdr:col>9</xdr:col>
      <xdr:colOff>46904</xdr:colOff>
      <xdr:row>411</xdr:row>
      <xdr:rowOff>19627</xdr:rowOff>
    </xdr:to>
    <xdr:pic>
      <xdr:nvPicPr>
        <xdr:cNvPr id="36" name="Picture 35">
          <a:extLst>
            <a:ext uri="{FF2B5EF4-FFF2-40B4-BE49-F238E27FC236}">
              <a16:creationId xmlns:a16="http://schemas.microsoft.com/office/drawing/2014/main" id="{00000000-0008-0000-0C00-000024000000}"/>
            </a:ext>
          </a:extLst>
        </xdr:cNvPr>
        <xdr:cNvPicPr>
          <a:picLocks noChangeAspect="1"/>
        </xdr:cNvPicPr>
      </xdr:nvPicPr>
      <xdr:blipFill rotWithShape="1">
        <a:blip xmlns:r="http://schemas.openxmlformats.org/officeDocument/2006/relationships" r:embed="rId16"/>
        <a:srcRect b="29384"/>
        <a:stretch/>
      </xdr:blipFill>
      <xdr:spPr>
        <a:xfrm>
          <a:off x="252704" y="70899262"/>
          <a:ext cx="4101582" cy="1695033"/>
        </a:xfrm>
        <a:prstGeom prst="rect">
          <a:avLst/>
        </a:prstGeom>
      </xdr:spPr>
    </xdr:pic>
    <xdr:clientData/>
  </xdr:twoCellAnchor>
  <xdr:twoCellAnchor editAs="oneCell">
    <xdr:from>
      <xdr:col>1</xdr:col>
      <xdr:colOff>184414</xdr:colOff>
      <xdr:row>412</xdr:row>
      <xdr:rowOff>68037</xdr:rowOff>
    </xdr:from>
    <xdr:to>
      <xdr:col>8</xdr:col>
      <xdr:colOff>13186</xdr:colOff>
      <xdr:row>423</xdr:row>
      <xdr:rowOff>175941</xdr:rowOff>
    </xdr:to>
    <xdr:pic>
      <xdr:nvPicPr>
        <xdr:cNvPr id="40" name="Picture 39">
          <a:extLst>
            <a:ext uri="{FF2B5EF4-FFF2-40B4-BE49-F238E27FC236}">
              <a16:creationId xmlns:a16="http://schemas.microsoft.com/office/drawing/2014/main" id="{00000000-0008-0000-0C00-000028000000}"/>
            </a:ext>
          </a:extLst>
        </xdr:cNvPr>
        <xdr:cNvPicPr>
          <a:picLocks noChangeAspect="1"/>
        </xdr:cNvPicPr>
      </xdr:nvPicPr>
      <xdr:blipFill>
        <a:blip xmlns:r="http://schemas.openxmlformats.org/officeDocument/2006/relationships" r:embed="rId17"/>
        <a:stretch>
          <a:fillRect/>
        </a:stretch>
      </xdr:blipFill>
      <xdr:spPr>
        <a:xfrm>
          <a:off x="437118" y="72827374"/>
          <a:ext cx="3615866" cy="2139257"/>
        </a:xfrm>
        <a:prstGeom prst="rect">
          <a:avLst/>
        </a:prstGeom>
      </xdr:spPr>
    </xdr:pic>
    <xdr:clientData/>
  </xdr:twoCellAnchor>
  <xdr:twoCellAnchor editAs="oneCell">
    <xdr:from>
      <xdr:col>20</xdr:col>
      <xdr:colOff>204107</xdr:colOff>
      <xdr:row>135</xdr:row>
      <xdr:rowOff>97111</xdr:rowOff>
    </xdr:from>
    <xdr:to>
      <xdr:col>55</xdr:col>
      <xdr:colOff>32106</xdr:colOff>
      <xdr:row>143</xdr:row>
      <xdr:rowOff>153652</xdr:rowOff>
    </xdr:to>
    <xdr:pic>
      <xdr:nvPicPr>
        <xdr:cNvPr id="41" name="Picture 40">
          <a:extLst>
            <a:ext uri="{FF2B5EF4-FFF2-40B4-BE49-F238E27FC236}">
              <a16:creationId xmlns:a16="http://schemas.microsoft.com/office/drawing/2014/main" id="{00000000-0008-0000-0C00-000029000000}"/>
            </a:ext>
          </a:extLst>
        </xdr:cNvPr>
        <xdr:cNvPicPr>
          <a:picLocks noChangeAspect="1"/>
        </xdr:cNvPicPr>
      </xdr:nvPicPr>
      <xdr:blipFill>
        <a:blip xmlns:r="http://schemas.openxmlformats.org/officeDocument/2006/relationships" r:embed="rId18"/>
        <a:stretch>
          <a:fillRect/>
        </a:stretch>
      </xdr:blipFill>
      <xdr:spPr>
        <a:xfrm>
          <a:off x="5724719" y="21703310"/>
          <a:ext cx="8672642" cy="1533888"/>
        </a:xfrm>
        <a:prstGeom prst="rect">
          <a:avLst/>
        </a:prstGeom>
      </xdr:spPr>
    </xdr:pic>
    <xdr:clientData/>
  </xdr:twoCellAnchor>
  <xdr:twoCellAnchor editAs="oneCell">
    <xdr:from>
      <xdr:col>20</xdr:col>
      <xdr:colOff>120580</xdr:colOff>
      <xdr:row>122</xdr:row>
      <xdr:rowOff>145791</xdr:rowOff>
    </xdr:from>
    <xdr:to>
      <xdr:col>31</xdr:col>
      <xdr:colOff>136102</xdr:colOff>
      <xdr:row>134</xdr:row>
      <xdr:rowOff>77756</xdr:rowOff>
    </xdr:to>
    <xdr:pic>
      <xdr:nvPicPr>
        <xdr:cNvPr id="42" name="Picture 41">
          <a:extLst>
            <a:ext uri="{FF2B5EF4-FFF2-40B4-BE49-F238E27FC236}">
              <a16:creationId xmlns:a16="http://schemas.microsoft.com/office/drawing/2014/main" id="{00000000-0008-0000-0C00-00002A000000}"/>
            </a:ext>
          </a:extLst>
        </xdr:cNvPr>
        <xdr:cNvPicPr>
          <a:picLocks noChangeAspect="1"/>
        </xdr:cNvPicPr>
      </xdr:nvPicPr>
      <xdr:blipFill>
        <a:blip xmlns:r="http://schemas.openxmlformats.org/officeDocument/2006/relationships" r:embed="rId19"/>
        <a:stretch>
          <a:fillRect/>
        </a:stretch>
      </xdr:blipFill>
      <xdr:spPr>
        <a:xfrm>
          <a:off x="5641192" y="19351301"/>
          <a:ext cx="2795266" cy="2147985"/>
        </a:xfrm>
        <a:prstGeom prst="rect">
          <a:avLst/>
        </a:prstGeom>
      </xdr:spPr>
    </xdr:pic>
    <xdr:clientData/>
  </xdr:twoCellAnchor>
  <xdr:twoCellAnchor editAs="oneCell">
    <xdr:from>
      <xdr:col>32</xdr:col>
      <xdr:colOff>126352</xdr:colOff>
      <xdr:row>125</xdr:row>
      <xdr:rowOff>9720</xdr:rowOff>
    </xdr:from>
    <xdr:to>
      <xdr:col>45</xdr:col>
      <xdr:colOff>126352</xdr:colOff>
      <xdr:row>134</xdr:row>
      <xdr:rowOff>37212</xdr:rowOff>
    </xdr:to>
    <xdr:pic>
      <xdr:nvPicPr>
        <xdr:cNvPr id="43" name="Picture 42">
          <a:extLst>
            <a:ext uri="{FF2B5EF4-FFF2-40B4-BE49-F238E27FC236}">
              <a16:creationId xmlns:a16="http://schemas.microsoft.com/office/drawing/2014/main" id="{00000000-0008-0000-0C00-00002B000000}"/>
            </a:ext>
          </a:extLst>
        </xdr:cNvPr>
        <xdr:cNvPicPr>
          <a:picLocks noChangeAspect="1"/>
        </xdr:cNvPicPr>
      </xdr:nvPicPr>
      <xdr:blipFill>
        <a:blip xmlns:r="http://schemas.openxmlformats.org/officeDocument/2006/relationships" r:embed="rId20"/>
        <a:stretch>
          <a:fillRect/>
        </a:stretch>
      </xdr:blipFill>
      <xdr:spPr>
        <a:xfrm>
          <a:off x="8679413" y="19769235"/>
          <a:ext cx="3285153" cy="1689507"/>
        </a:xfrm>
        <a:prstGeom prst="rect">
          <a:avLst/>
        </a:prstGeom>
      </xdr:spPr>
    </xdr:pic>
    <xdr:clientData/>
  </xdr:twoCellAnchor>
  <xdr:twoCellAnchor editAs="oneCell">
    <xdr:from>
      <xdr:col>20</xdr:col>
      <xdr:colOff>137628</xdr:colOff>
      <xdr:row>430</xdr:row>
      <xdr:rowOff>31528</xdr:rowOff>
    </xdr:from>
    <xdr:to>
      <xdr:col>36</xdr:col>
      <xdr:colOff>134563</xdr:colOff>
      <xdr:row>449</xdr:row>
      <xdr:rowOff>110469</xdr:rowOff>
    </xdr:to>
    <xdr:pic>
      <xdr:nvPicPr>
        <xdr:cNvPr id="44" name="Picture 43">
          <a:extLst>
            <a:ext uri="{FF2B5EF4-FFF2-40B4-BE49-F238E27FC236}">
              <a16:creationId xmlns:a16="http://schemas.microsoft.com/office/drawing/2014/main" id="{00000000-0008-0000-0C00-00002C000000}"/>
            </a:ext>
          </a:extLst>
        </xdr:cNvPr>
        <xdr:cNvPicPr>
          <a:picLocks noChangeAspect="1"/>
        </xdr:cNvPicPr>
      </xdr:nvPicPr>
      <xdr:blipFill>
        <a:blip xmlns:r="http://schemas.openxmlformats.org/officeDocument/2006/relationships" r:embed="rId21"/>
        <a:stretch>
          <a:fillRect/>
        </a:stretch>
      </xdr:blipFill>
      <xdr:spPr>
        <a:xfrm>
          <a:off x="5713238" y="76603235"/>
          <a:ext cx="4085715" cy="3610161"/>
        </a:xfrm>
        <a:prstGeom prst="rect">
          <a:avLst/>
        </a:prstGeom>
      </xdr:spPr>
    </xdr:pic>
    <xdr:clientData/>
  </xdr:twoCellAnchor>
  <xdr:twoCellAnchor editAs="oneCell">
    <xdr:from>
      <xdr:col>20</xdr:col>
      <xdr:colOff>97194</xdr:colOff>
      <xdr:row>204</xdr:row>
      <xdr:rowOff>165229</xdr:rowOff>
    </xdr:from>
    <xdr:to>
      <xdr:col>34</xdr:col>
      <xdr:colOff>17301</xdr:colOff>
      <xdr:row>227</xdr:row>
      <xdr:rowOff>36585</xdr:rowOff>
    </xdr:to>
    <xdr:pic>
      <xdr:nvPicPr>
        <xdr:cNvPr id="45" name="Picture 1">
          <a:extLst>
            <a:ext uri="{FF2B5EF4-FFF2-40B4-BE49-F238E27FC236}">
              <a16:creationId xmlns:a16="http://schemas.microsoft.com/office/drawing/2014/main" id="{00000000-0008-0000-0C00-00002D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617806" y="34513545"/>
          <a:ext cx="3457964" cy="41187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104763</xdr:colOff>
      <xdr:row>211</xdr:row>
      <xdr:rowOff>137791</xdr:rowOff>
    </xdr:from>
    <xdr:to>
      <xdr:col>33</xdr:col>
      <xdr:colOff>231533</xdr:colOff>
      <xdr:row>213</xdr:row>
      <xdr:rowOff>30877</xdr:rowOff>
    </xdr:to>
    <xdr:sp macro="" textlink="">
      <xdr:nvSpPr>
        <xdr:cNvPr id="46" name="Rectangle 45">
          <a:extLst>
            <a:ext uri="{FF2B5EF4-FFF2-40B4-BE49-F238E27FC236}">
              <a16:creationId xmlns:a16="http://schemas.microsoft.com/office/drawing/2014/main" id="{00000000-0008-0000-0C00-00002E000000}"/>
            </a:ext>
          </a:extLst>
        </xdr:cNvPr>
        <xdr:cNvSpPr/>
      </xdr:nvSpPr>
      <xdr:spPr>
        <a:xfrm>
          <a:off x="5756862" y="34823168"/>
          <a:ext cx="3514435" cy="25252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lientData/>
  </xdr:twoCellAnchor>
  <xdr:twoCellAnchor editAs="oneCell">
    <xdr:from>
      <xdr:col>20</xdr:col>
      <xdr:colOff>65322</xdr:colOff>
      <xdr:row>152</xdr:row>
      <xdr:rowOff>126353</xdr:rowOff>
    </xdr:from>
    <xdr:to>
      <xdr:col>34</xdr:col>
      <xdr:colOff>98822</xdr:colOff>
      <xdr:row>169</xdr:row>
      <xdr:rowOff>77756</xdr:rowOff>
    </xdr:to>
    <xdr:pic>
      <xdr:nvPicPr>
        <xdr:cNvPr id="47" name="Picture 16">
          <a:extLst>
            <a:ext uri="{FF2B5EF4-FFF2-40B4-BE49-F238E27FC236}">
              <a16:creationId xmlns:a16="http://schemas.microsoft.com/office/drawing/2014/main" id="{00000000-0008-0000-0C00-00002F000000}"/>
            </a:ext>
          </a:extLst>
        </xdr:cNvPr>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b="6680"/>
        <a:stretch/>
      </xdr:blipFill>
      <xdr:spPr bwMode="auto">
        <a:xfrm>
          <a:off x="5585934" y="24687246"/>
          <a:ext cx="3571357" cy="3090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137993</xdr:colOff>
      <xdr:row>168</xdr:row>
      <xdr:rowOff>19439</xdr:rowOff>
    </xdr:from>
    <xdr:to>
      <xdr:col>34</xdr:col>
      <xdr:colOff>6609</xdr:colOff>
      <xdr:row>168</xdr:row>
      <xdr:rowOff>152399</xdr:rowOff>
    </xdr:to>
    <xdr:sp macro="" textlink="">
      <xdr:nvSpPr>
        <xdr:cNvPr id="48" name="Rectangle 47">
          <a:extLst>
            <a:ext uri="{FF2B5EF4-FFF2-40B4-BE49-F238E27FC236}">
              <a16:creationId xmlns:a16="http://schemas.microsoft.com/office/drawing/2014/main" id="{00000000-0008-0000-0C00-000030000000}"/>
            </a:ext>
          </a:extLst>
        </xdr:cNvPr>
        <xdr:cNvSpPr/>
      </xdr:nvSpPr>
      <xdr:spPr>
        <a:xfrm>
          <a:off x="5658605" y="27535026"/>
          <a:ext cx="3406473" cy="13296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lientData/>
  </xdr:twoCellAnchor>
  <xdr:twoCellAnchor>
    <xdr:from>
      <xdr:col>20</xdr:col>
      <xdr:colOff>125163</xdr:colOff>
      <xdr:row>162</xdr:row>
      <xdr:rowOff>74645</xdr:rowOff>
    </xdr:from>
    <xdr:to>
      <xdr:col>33</xdr:col>
      <xdr:colOff>246483</xdr:colOff>
      <xdr:row>163</xdr:row>
      <xdr:rowOff>22937</xdr:rowOff>
    </xdr:to>
    <xdr:sp macro="" textlink="">
      <xdr:nvSpPr>
        <xdr:cNvPr id="49" name="Rectangle 48">
          <a:extLst>
            <a:ext uri="{FF2B5EF4-FFF2-40B4-BE49-F238E27FC236}">
              <a16:creationId xmlns:a16="http://schemas.microsoft.com/office/drawing/2014/main" id="{00000000-0008-0000-0C00-000031000000}"/>
            </a:ext>
          </a:extLst>
        </xdr:cNvPr>
        <xdr:cNvSpPr/>
      </xdr:nvSpPr>
      <xdr:spPr>
        <a:xfrm>
          <a:off x="5645775" y="26482222"/>
          <a:ext cx="3406473" cy="13296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lientData/>
  </xdr:twoCellAnchor>
  <xdr:twoCellAnchor editAs="oneCell">
    <xdr:from>
      <xdr:col>35</xdr:col>
      <xdr:colOff>213825</xdr:colOff>
      <xdr:row>146</xdr:row>
      <xdr:rowOff>68037</xdr:rowOff>
    </xdr:from>
    <xdr:to>
      <xdr:col>47</xdr:col>
      <xdr:colOff>97195</xdr:colOff>
      <xdr:row>169</xdr:row>
      <xdr:rowOff>87474</xdr:rowOff>
    </xdr:to>
    <xdr:pic>
      <xdr:nvPicPr>
        <xdr:cNvPr id="50" name="Picture 49">
          <a:extLst>
            <a:ext uri="{FF2B5EF4-FFF2-40B4-BE49-F238E27FC236}">
              <a16:creationId xmlns:a16="http://schemas.microsoft.com/office/drawing/2014/main" id="{00000000-0008-0000-0C00-000032000000}"/>
            </a:ext>
          </a:extLst>
        </xdr:cNvPr>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9524998" y="23520920"/>
          <a:ext cx="2915818" cy="4266810"/>
        </a:xfrm>
        <a:prstGeom prst="rect">
          <a:avLst/>
        </a:prstGeom>
        <a:noFill/>
        <a:ln>
          <a:noFill/>
        </a:ln>
      </xdr:spPr>
    </xdr:pic>
    <xdr:clientData/>
  </xdr:twoCellAnchor>
  <xdr:twoCellAnchor>
    <xdr:from>
      <xdr:col>36</xdr:col>
      <xdr:colOff>58315</xdr:colOff>
      <xdr:row>165</xdr:row>
      <xdr:rowOff>58315</xdr:rowOff>
    </xdr:from>
    <xdr:to>
      <xdr:col>47</xdr:col>
      <xdr:colOff>68036</xdr:colOff>
      <xdr:row>166</xdr:row>
      <xdr:rowOff>0</xdr:rowOff>
    </xdr:to>
    <xdr:sp macro="" textlink="">
      <xdr:nvSpPr>
        <xdr:cNvPr id="51" name="Rectangle 50">
          <a:extLst>
            <a:ext uri="{FF2B5EF4-FFF2-40B4-BE49-F238E27FC236}">
              <a16:creationId xmlns:a16="http://schemas.microsoft.com/office/drawing/2014/main" id="{00000000-0008-0000-0C00-000033000000}"/>
            </a:ext>
          </a:extLst>
        </xdr:cNvPr>
        <xdr:cNvSpPr/>
      </xdr:nvSpPr>
      <xdr:spPr>
        <a:xfrm>
          <a:off x="9622193" y="27019897"/>
          <a:ext cx="2789465" cy="12635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lientData/>
  </xdr:twoCellAnchor>
  <xdr:twoCellAnchor>
    <xdr:from>
      <xdr:col>20</xdr:col>
      <xdr:colOff>172692</xdr:colOff>
      <xdr:row>447</xdr:row>
      <xdr:rowOff>8022</xdr:rowOff>
    </xdr:from>
    <xdr:to>
      <xdr:col>36</xdr:col>
      <xdr:colOff>97246</xdr:colOff>
      <xdr:row>447</xdr:row>
      <xdr:rowOff>107229</xdr:rowOff>
    </xdr:to>
    <xdr:sp macro="" textlink="">
      <xdr:nvSpPr>
        <xdr:cNvPr id="52" name="Rectangle 51">
          <a:extLst>
            <a:ext uri="{FF2B5EF4-FFF2-40B4-BE49-F238E27FC236}">
              <a16:creationId xmlns:a16="http://schemas.microsoft.com/office/drawing/2014/main" id="{00000000-0008-0000-0C00-000034000000}"/>
            </a:ext>
          </a:extLst>
        </xdr:cNvPr>
        <xdr:cNvSpPr/>
      </xdr:nvSpPr>
      <xdr:spPr>
        <a:xfrm>
          <a:off x="5807286" y="76956415"/>
          <a:ext cx="4080918" cy="992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146258</xdr:colOff>
      <xdr:row>35</xdr:row>
      <xdr:rowOff>77534</xdr:rowOff>
    </xdr:from>
    <xdr:to>
      <xdr:col>12</xdr:col>
      <xdr:colOff>76200</xdr:colOff>
      <xdr:row>53</xdr:row>
      <xdr:rowOff>125278</xdr:rowOff>
    </xdr:to>
    <xdr:pic>
      <xdr:nvPicPr>
        <xdr:cNvPr id="6" name="Picture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1"/>
        <a:stretch>
          <a:fillRect/>
        </a:stretch>
      </xdr:blipFill>
      <xdr:spPr>
        <a:xfrm>
          <a:off x="404563" y="6293000"/>
          <a:ext cx="3530069" cy="3244270"/>
        </a:xfrm>
        <a:prstGeom prst="rect">
          <a:avLst/>
        </a:prstGeom>
      </xdr:spPr>
    </xdr:pic>
    <xdr:clientData/>
  </xdr:twoCellAnchor>
  <xdr:twoCellAnchor>
    <xdr:from>
      <xdr:col>1</xdr:col>
      <xdr:colOff>124264</xdr:colOff>
      <xdr:row>51</xdr:row>
      <xdr:rowOff>18972</xdr:rowOff>
    </xdr:from>
    <xdr:to>
      <xdr:col>11</xdr:col>
      <xdr:colOff>252886</xdr:colOff>
      <xdr:row>51</xdr:row>
      <xdr:rowOff>154842</xdr:rowOff>
    </xdr:to>
    <xdr:sp macro="" textlink="">
      <xdr:nvSpPr>
        <xdr:cNvPr id="7" name="Rectangle 6">
          <a:extLst>
            <a:ext uri="{FF2B5EF4-FFF2-40B4-BE49-F238E27FC236}">
              <a16:creationId xmlns:a16="http://schemas.microsoft.com/office/drawing/2014/main" id="{00000000-0008-0000-0D00-000007000000}"/>
            </a:ext>
          </a:extLst>
        </xdr:cNvPr>
        <xdr:cNvSpPr/>
      </xdr:nvSpPr>
      <xdr:spPr>
        <a:xfrm>
          <a:off x="382569" y="9075794"/>
          <a:ext cx="3365508" cy="13587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250234</xdr:colOff>
      <xdr:row>84</xdr:row>
      <xdr:rowOff>100352</xdr:rowOff>
    </xdr:from>
    <xdr:to>
      <xdr:col>7</xdr:col>
      <xdr:colOff>169513</xdr:colOff>
      <xdr:row>91</xdr:row>
      <xdr:rowOff>134963</xdr:rowOff>
    </xdr:to>
    <xdr:pic>
      <xdr:nvPicPr>
        <xdr:cNvPr id="8" name="Picture 7" descr="See the source image">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6844" y="15017471"/>
          <a:ext cx="1509470" cy="1277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146258</xdr:colOff>
      <xdr:row>168</xdr:row>
      <xdr:rowOff>85606</xdr:rowOff>
    </xdr:from>
    <xdr:to>
      <xdr:col>12</xdr:col>
      <xdr:colOff>76200</xdr:colOff>
      <xdr:row>186</xdr:row>
      <xdr:rowOff>133350</xdr:rowOff>
    </xdr:to>
    <xdr:pic>
      <xdr:nvPicPr>
        <xdr:cNvPr id="9" name="Picture 8">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1"/>
        <a:stretch>
          <a:fillRect/>
        </a:stretch>
      </xdr:blipFill>
      <xdr:spPr>
        <a:xfrm>
          <a:off x="404563" y="6301072"/>
          <a:ext cx="3530069" cy="3244270"/>
        </a:xfrm>
        <a:prstGeom prst="rect">
          <a:avLst/>
        </a:prstGeom>
      </xdr:spPr>
    </xdr:pic>
    <xdr:clientData/>
  </xdr:twoCellAnchor>
  <xdr:twoCellAnchor>
    <xdr:from>
      <xdr:col>1</xdr:col>
      <xdr:colOff>188839</xdr:colOff>
      <xdr:row>179</xdr:row>
      <xdr:rowOff>131980</xdr:rowOff>
    </xdr:from>
    <xdr:to>
      <xdr:col>11</xdr:col>
      <xdr:colOff>269836</xdr:colOff>
      <xdr:row>180</xdr:row>
      <xdr:rowOff>90265</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447144" y="32064946"/>
          <a:ext cx="3317883" cy="12779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250234</xdr:colOff>
      <xdr:row>217</xdr:row>
      <xdr:rowOff>100352</xdr:rowOff>
    </xdr:from>
    <xdr:ext cx="1509470" cy="1277704"/>
    <xdr:pic>
      <xdr:nvPicPr>
        <xdr:cNvPr id="11" name="Picture 10" descr="See the source image">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6844" y="15017471"/>
          <a:ext cx="1509470" cy="12777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185656</xdr:colOff>
      <xdr:row>257</xdr:row>
      <xdr:rowOff>72649</xdr:rowOff>
    </xdr:from>
    <xdr:to>
      <xdr:col>37</xdr:col>
      <xdr:colOff>158149</xdr:colOff>
      <xdr:row>260</xdr:row>
      <xdr:rowOff>117233</xdr:rowOff>
    </xdr:to>
    <xdr:pic>
      <xdr:nvPicPr>
        <xdr:cNvPr id="12" name="Picture 3">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319470" y="45808793"/>
          <a:ext cx="5316179" cy="577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217944</xdr:colOff>
      <xdr:row>260</xdr:row>
      <xdr:rowOff>115780</xdr:rowOff>
    </xdr:from>
    <xdr:to>
      <xdr:col>37</xdr:col>
      <xdr:colOff>199962</xdr:colOff>
      <xdr:row>263</xdr:row>
      <xdr:rowOff>171834</xdr:rowOff>
    </xdr:to>
    <xdr:pic>
      <xdr:nvPicPr>
        <xdr:cNvPr id="13" name="Picture 7">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51758" y="46384678"/>
          <a:ext cx="5325704" cy="588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88991</xdr:colOff>
      <xdr:row>262</xdr:row>
      <xdr:rowOff>109202</xdr:rowOff>
    </xdr:from>
    <xdr:to>
      <xdr:col>33</xdr:col>
      <xdr:colOff>84625</xdr:colOff>
      <xdr:row>263</xdr:row>
      <xdr:rowOff>52165</xdr:rowOff>
    </xdr:to>
    <xdr:sp macro="" textlink="">
      <xdr:nvSpPr>
        <xdr:cNvPr id="14" name="Rectangle 13">
          <a:extLst>
            <a:ext uri="{FF2B5EF4-FFF2-40B4-BE49-F238E27FC236}">
              <a16:creationId xmlns:a16="http://schemas.microsoft.com/office/drawing/2014/main" id="{00000000-0008-0000-0D00-00000E000000}"/>
            </a:ext>
          </a:extLst>
        </xdr:cNvPr>
        <xdr:cNvSpPr/>
      </xdr:nvSpPr>
      <xdr:spPr>
        <a:xfrm>
          <a:off x="7612127" y="46733270"/>
          <a:ext cx="1916778" cy="12054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257</xdr:row>
      <xdr:rowOff>64577</xdr:rowOff>
    </xdr:from>
    <xdr:to>
      <xdr:col>17</xdr:col>
      <xdr:colOff>216751</xdr:colOff>
      <xdr:row>270</xdr:row>
      <xdr:rowOff>81294</xdr:rowOff>
    </xdr:to>
    <xdr:grpSp>
      <xdr:nvGrpSpPr>
        <xdr:cNvPr id="3" name="Group 2">
          <a:extLst>
            <a:ext uri="{FF2B5EF4-FFF2-40B4-BE49-F238E27FC236}">
              <a16:creationId xmlns:a16="http://schemas.microsoft.com/office/drawing/2014/main" id="{00000000-0008-0000-0D00-000003000000}"/>
            </a:ext>
          </a:extLst>
        </xdr:cNvPr>
        <xdr:cNvGrpSpPr/>
      </xdr:nvGrpSpPr>
      <xdr:grpSpPr>
        <a:xfrm>
          <a:off x="0" y="46636984"/>
          <a:ext cx="5486175" cy="2367293"/>
          <a:chOff x="7523136" y="46624068"/>
          <a:chExt cx="5350565" cy="2325319"/>
        </a:xfrm>
      </xdr:grpSpPr>
      <xdr:pic>
        <xdr:nvPicPr>
          <xdr:cNvPr id="15" name="Picture 14">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5"/>
          <a:stretch>
            <a:fillRect/>
          </a:stretch>
        </xdr:blipFill>
        <xdr:spPr>
          <a:xfrm>
            <a:off x="7556266" y="47182169"/>
            <a:ext cx="5317435" cy="1767218"/>
          </a:xfrm>
          <a:prstGeom prst="rect">
            <a:avLst/>
          </a:prstGeom>
          <a:ln>
            <a:noFill/>
          </a:ln>
        </xdr:spPr>
      </xdr:pic>
      <xdr:pic>
        <xdr:nvPicPr>
          <xdr:cNvPr id="16" name="Pictur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6"/>
          <a:stretch>
            <a:fillRect/>
          </a:stretch>
        </xdr:blipFill>
        <xdr:spPr>
          <a:xfrm>
            <a:off x="7531419" y="46624068"/>
            <a:ext cx="5135217" cy="553876"/>
          </a:xfrm>
          <a:prstGeom prst="rect">
            <a:avLst/>
          </a:prstGeom>
        </xdr:spPr>
      </xdr:pic>
      <xdr:sp macro="" textlink="">
        <xdr:nvSpPr>
          <xdr:cNvPr id="17" name="Rectangle 16">
            <a:extLst>
              <a:ext uri="{FF2B5EF4-FFF2-40B4-BE49-F238E27FC236}">
                <a16:creationId xmlns:a16="http://schemas.microsoft.com/office/drawing/2014/main" id="{00000000-0008-0000-0D00-000011000000}"/>
              </a:ext>
            </a:extLst>
          </xdr:cNvPr>
          <xdr:cNvSpPr/>
        </xdr:nvSpPr>
        <xdr:spPr>
          <a:xfrm>
            <a:off x="7523136" y="48331771"/>
            <a:ext cx="5052391" cy="256761"/>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shua%20Jonathan/Downloads/wartsila-wcs01-bearing-design-spreadsheet-rev-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Dimas%20Angga/4th/Tahanan%20dan%20Propulsi%20(R&amp;P)/Herlan/Herlan%20-%20Detail%20Calcul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OFFICE\SEMESTER%205\Design%202\CALC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OFFICE\SEMESTER%205\Design%202\EPMM.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1gabillah\PPNS\00_Tugas%20S3%20Tahanan%20dan%20Propulsi%20&amp;%20RU\General%20Arrangement%20-%20MTM%20Antwerp%20-%20Product%20Tanker%20-%20Handy.xlsx" TargetMode="External"/><Relationship Id="rId1" Type="http://schemas.openxmlformats.org/officeDocument/2006/relationships/externalLinkPath" Target="/1gabillah/PPNS/00_Tugas%20S3%20Tahanan%20dan%20Propulsi%20&amp;%20RU/General%20Arrangement%20-%20MTM%20Antwerp%20-%20Product%20Tanker%20-%20Hand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Calculations"/>
      <sheetName val="PS Data"/>
      <sheetName val="Rudder Stock"/>
      <sheetName val="Rdr Data"/>
      <sheetName val="Revisions"/>
    </sheetNames>
    <sheetDataSet>
      <sheetData sheetId="0"/>
      <sheetData sheetId="1"/>
      <sheetData sheetId="2">
        <row r="3">
          <cell r="A3">
            <v>60</v>
          </cell>
          <cell r="B3" t="str">
            <v>NA</v>
          </cell>
          <cell r="C3" t="str">
            <v>NA</v>
          </cell>
          <cell r="D3">
            <v>10</v>
          </cell>
          <cell r="E3" t="str">
            <v>M8</v>
          </cell>
          <cell r="F3">
            <v>8</v>
          </cell>
        </row>
        <row r="4">
          <cell r="A4">
            <v>201</v>
          </cell>
          <cell r="B4">
            <v>26</v>
          </cell>
          <cell r="C4">
            <v>6</v>
          </cell>
          <cell r="D4">
            <v>20</v>
          </cell>
          <cell r="E4" t="str">
            <v>M12</v>
          </cell>
          <cell r="F4">
            <v>12</v>
          </cell>
        </row>
        <row r="5">
          <cell r="A5">
            <v>301</v>
          </cell>
          <cell r="B5">
            <v>26</v>
          </cell>
          <cell r="C5">
            <v>8</v>
          </cell>
          <cell r="D5">
            <v>25</v>
          </cell>
          <cell r="E5" t="str">
            <v>M12</v>
          </cell>
          <cell r="F5">
            <v>16</v>
          </cell>
        </row>
        <row r="6">
          <cell r="A6">
            <v>401</v>
          </cell>
          <cell r="B6">
            <v>31</v>
          </cell>
          <cell r="C6">
            <v>9.5</v>
          </cell>
          <cell r="D6">
            <v>25</v>
          </cell>
          <cell r="E6" t="str">
            <v>M16</v>
          </cell>
          <cell r="F6">
            <v>16</v>
          </cell>
        </row>
        <row r="7">
          <cell r="A7">
            <v>501</v>
          </cell>
          <cell r="B7">
            <v>31</v>
          </cell>
          <cell r="C7">
            <v>11</v>
          </cell>
          <cell r="D7">
            <v>30</v>
          </cell>
          <cell r="E7" t="str">
            <v>M16</v>
          </cell>
          <cell r="F7">
            <v>16</v>
          </cell>
        </row>
        <row r="8">
          <cell r="A8">
            <v>601</v>
          </cell>
          <cell r="B8">
            <v>41</v>
          </cell>
          <cell r="C8">
            <v>13</v>
          </cell>
          <cell r="D8">
            <v>30</v>
          </cell>
          <cell r="E8" t="str">
            <v>M16</v>
          </cell>
          <cell r="F8">
            <v>16</v>
          </cell>
        </row>
        <row r="9">
          <cell r="A9">
            <v>701</v>
          </cell>
          <cell r="B9">
            <v>41</v>
          </cell>
          <cell r="C9">
            <v>14.5</v>
          </cell>
          <cell r="D9">
            <v>35</v>
          </cell>
          <cell r="E9" t="str">
            <v>M16</v>
          </cell>
          <cell r="F9">
            <v>16</v>
          </cell>
        </row>
        <row r="10">
          <cell r="A10">
            <v>801</v>
          </cell>
          <cell r="B10">
            <v>49</v>
          </cell>
          <cell r="C10">
            <v>16.5</v>
          </cell>
          <cell r="D10">
            <v>35</v>
          </cell>
          <cell r="E10" t="str">
            <v>M16</v>
          </cell>
          <cell r="F10">
            <v>16</v>
          </cell>
        </row>
        <row r="11">
          <cell r="A11">
            <v>901</v>
          </cell>
          <cell r="B11">
            <v>49</v>
          </cell>
          <cell r="C11">
            <v>18</v>
          </cell>
          <cell r="D11">
            <v>35</v>
          </cell>
          <cell r="E11" t="str">
            <v>M16</v>
          </cell>
          <cell r="F11">
            <v>16</v>
          </cell>
        </row>
        <row r="12">
          <cell r="A12">
            <v>1001</v>
          </cell>
          <cell r="B12">
            <v>59</v>
          </cell>
          <cell r="C12">
            <v>20</v>
          </cell>
          <cell r="D12">
            <v>35</v>
          </cell>
          <cell r="E12" t="str">
            <v>M16</v>
          </cell>
          <cell r="F12">
            <v>16</v>
          </cell>
        </row>
        <row r="13">
          <cell r="A13">
            <v>1101</v>
          </cell>
          <cell r="B13">
            <v>59</v>
          </cell>
          <cell r="C13">
            <v>21.5</v>
          </cell>
          <cell r="D13">
            <v>35</v>
          </cell>
          <cell r="E13" t="str">
            <v>M16</v>
          </cell>
          <cell r="F13">
            <v>16</v>
          </cell>
        </row>
        <row r="17">
          <cell r="E17" t="str">
            <v>Washways</v>
          </cell>
          <cell r="F17" t="str">
            <v>R</v>
          </cell>
          <cell r="G17" t="str">
            <v>S</v>
          </cell>
        </row>
        <row r="18">
          <cell r="E18">
            <v>200</v>
          </cell>
          <cell r="F18">
            <v>0.33</v>
          </cell>
          <cell r="G18">
            <v>0.193</v>
          </cell>
        </row>
        <row r="19">
          <cell r="E19">
            <v>500</v>
          </cell>
          <cell r="F19">
            <v>0.33</v>
          </cell>
          <cell r="G19">
            <v>0.191</v>
          </cell>
        </row>
        <row r="20">
          <cell r="E20">
            <v>800</v>
          </cell>
          <cell r="F20">
            <v>0.33</v>
          </cell>
          <cell r="G20">
            <v>0.189</v>
          </cell>
        </row>
        <row r="21">
          <cell r="E21" t="str">
            <v>Grooves</v>
          </cell>
          <cell r="F21" t="str">
            <v>Qty</v>
          </cell>
          <cell r="G21" t="str">
            <v>Depth</v>
          </cell>
          <cell r="H21" t="str">
            <v>Width</v>
          </cell>
        </row>
        <row r="22">
          <cell r="E22">
            <v>70</v>
          </cell>
          <cell r="F22">
            <v>5</v>
          </cell>
          <cell r="G22">
            <v>4</v>
          </cell>
          <cell r="H22">
            <v>10</v>
          </cell>
        </row>
        <row r="23">
          <cell r="E23">
            <v>101</v>
          </cell>
          <cell r="F23">
            <v>5</v>
          </cell>
          <cell r="G23">
            <v>4.5</v>
          </cell>
          <cell r="H23">
            <v>12</v>
          </cell>
        </row>
        <row r="24">
          <cell r="E24">
            <v>121</v>
          </cell>
          <cell r="F24">
            <v>6</v>
          </cell>
          <cell r="G24">
            <v>5</v>
          </cell>
          <cell r="H24">
            <v>12</v>
          </cell>
          <cell r="M24">
            <v>2</v>
          </cell>
        </row>
        <row r="25">
          <cell r="E25">
            <v>151</v>
          </cell>
          <cell r="F25">
            <v>6</v>
          </cell>
          <cell r="G25">
            <v>5.5</v>
          </cell>
          <cell r="H25">
            <v>14</v>
          </cell>
        </row>
        <row r="26">
          <cell r="E26">
            <v>181</v>
          </cell>
          <cell r="F26">
            <v>6</v>
          </cell>
          <cell r="G26">
            <v>6</v>
          </cell>
          <cell r="H26">
            <v>16</v>
          </cell>
        </row>
        <row r="28">
          <cell r="A28">
            <v>60</v>
          </cell>
          <cell r="B28">
            <v>10</v>
          </cell>
        </row>
        <row r="29">
          <cell r="A29">
            <v>201</v>
          </cell>
          <cell r="B29">
            <v>15</v>
          </cell>
        </row>
        <row r="30">
          <cell r="A30">
            <v>301</v>
          </cell>
          <cell r="B30">
            <v>25</v>
          </cell>
        </row>
        <row r="31">
          <cell r="A31">
            <v>601</v>
          </cell>
          <cell r="B31">
            <v>35</v>
          </cell>
        </row>
        <row r="34">
          <cell r="A34">
            <v>51</v>
          </cell>
          <cell r="B34">
            <v>0.03</v>
          </cell>
        </row>
        <row r="35">
          <cell r="A35">
            <v>81</v>
          </cell>
          <cell r="B35">
            <v>3.5000000000000003E-2</v>
          </cell>
          <cell r="D35">
            <v>60</v>
          </cell>
          <cell r="E35" t="str">
            <v>NA</v>
          </cell>
          <cell r="F35" t="str">
            <v>NA</v>
          </cell>
        </row>
        <row r="36">
          <cell r="A36">
            <v>121</v>
          </cell>
          <cell r="B36">
            <v>0.04</v>
          </cell>
          <cell r="D36">
            <v>201</v>
          </cell>
          <cell r="E36">
            <v>27</v>
          </cell>
          <cell r="F36">
            <v>7</v>
          </cell>
        </row>
        <row r="37">
          <cell r="A37">
            <v>181</v>
          </cell>
          <cell r="B37">
            <v>4.5999999999999999E-2</v>
          </cell>
          <cell r="D37">
            <v>301</v>
          </cell>
          <cell r="E37">
            <v>27</v>
          </cell>
          <cell r="F37">
            <v>9</v>
          </cell>
        </row>
        <row r="38">
          <cell r="A38">
            <v>251</v>
          </cell>
          <cell r="B38">
            <v>5.1999999999999998E-2</v>
          </cell>
          <cell r="D38">
            <v>401</v>
          </cell>
          <cell r="E38">
            <v>32</v>
          </cell>
          <cell r="F38">
            <v>10.5</v>
          </cell>
        </row>
        <row r="39">
          <cell r="A39">
            <v>316</v>
          </cell>
          <cell r="B39">
            <v>5.7000000000000002E-2</v>
          </cell>
          <cell r="D39">
            <v>501</v>
          </cell>
          <cell r="E39">
            <v>32</v>
          </cell>
          <cell r="F39">
            <v>12</v>
          </cell>
        </row>
        <row r="40">
          <cell r="A40">
            <v>401</v>
          </cell>
          <cell r="B40">
            <v>6.3E-2</v>
          </cell>
          <cell r="D40">
            <v>601</v>
          </cell>
          <cell r="E40">
            <v>42</v>
          </cell>
          <cell r="F40">
            <v>14</v>
          </cell>
        </row>
        <row r="41">
          <cell r="A41">
            <v>501</v>
          </cell>
          <cell r="B41">
            <v>7.0000000000000007E-2</v>
          </cell>
          <cell r="D41">
            <v>701</v>
          </cell>
          <cell r="E41">
            <v>42</v>
          </cell>
          <cell r="F41">
            <v>15.5</v>
          </cell>
        </row>
        <row r="42">
          <cell r="A42">
            <v>631</v>
          </cell>
          <cell r="B42">
            <v>0.08</v>
          </cell>
          <cell r="D42">
            <v>801</v>
          </cell>
          <cell r="E42">
            <v>50</v>
          </cell>
          <cell r="F42">
            <v>17.5</v>
          </cell>
        </row>
        <row r="43">
          <cell r="A43">
            <v>801</v>
          </cell>
          <cell r="B43">
            <v>0.09</v>
          </cell>
          <cell r="D43">
            <v>901</v>
          </cell>
          <cell r="E43">
            <v>50</v>
          </cell>
          <cell r="F43">
            <v>19</v>
          </cell>
        </row>
        <row r="44">
          <cell r="A44">
            <v>1001</v>
          </cell>
          <cell r="B44">
            <v>0.105</v>
          </cell>
          <cell r="D44">
            <v>1001</v>
          </cell>
          <cell r="E44">
            <v>60</v>
          </cell>
          <cell r="F44">
            <v>21</v>
          </cell>
        </row>
        <row r="45">
          <cell r="A45">
            <v>1251</v>
          </cell>
          <cell r="B45">
            <v>0.125</v>
          </cell>
          <cell r="D45">
            <v>1101</v>
          </cell>
          <cell r="E45">
            <v>60</v>
          </cell>
          <cell r="F45">
            <v>22.5</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s Plan"/>
      <sheetName val="Route"/>
      <sheetName val="Resistance"/>
      <sheetName val="Power"/>
      <sheetName val="Engine Selection"/>
      <sheetName val="EPM"/>
      <sheetName val="Geometry"/>
      <sheetName val="Shaft"/>
      <sheetName val="Guldhammer - Harvald"/>
      <sheetName val="Holtrop"/>
      <sheetName val="Engine and Power"/>
      <sheetName val="Draught"/>
      <sheetName val="Area Midship"/>
      <sheetName val="Propeller 1"/>
      <sheetName val="Kq Kt J"/>
      <sheetName val="EPM Grafik"/>
      <sheetName val="EPM Grafik 2"/>
      <sheetName val="Propeller Drawing"/>
      <sheetName val="Data Kapal"/>
      <sheetName val="Guldhammer"/>
      <sheetName val="Metode Holtrop (Variasi Vs)"/>
      <sheetName val="Tahanan Gesek"/>
      <sheetName val="Perhitungan Mesin Induk"/>
    </sheetNames>
    <sheetDataSet>
      <sheetData sheetId="0"/>
      <sheetData sheetId="1"/>
      <sheetData sheetId="2"/>
      <sheetData sheetId="3">
        <row r="103">
          <cell r="D103">
            <v>18049.359461750359</v>
          </cell>
        </row>
      </sheetData>
      <sheetData sheetId="4">
        <row r="36">
          <cell r="D36">
            <v>15550</v>
          </cell>
        </row>
        <row r="159">
          <cell r="C159">
            <v>7.957683972736123</v>
          </cell>
        </row>
        <row r="170">
          <cell r="C170">
            <v>13991.877427413212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Kapal"/>
      <sheetName val="HOLTROP"/>
      <sheetName val="GULD"/>
      <sheetName val="MAXSURF"/>
      <sheetName val="BHP"/>
      <sheetName val="SaratKosong"/>
      <sheetName val="DISP"/>
      <sheetName val="SARAT KOSONG"/>
      <sheetName val="Propeller "/>
      <sheetName val="SARAT KOSONG (2)"/>
      <sheetName val="Propeller  (2)"/>
      <sheetName val="KQ-KT-J (b470)"/>
      <sheetName val="Input-Output (b470)"/>
      <sheetName val="EPM "/>
      <sheetName val="EPM (2)"/>
      <sheetName val="EPM (3)"/>
      <sheetName val="EPM B3 50"/>
      <sheetName val="Geometry Propeller"/>
      <sheetName val="Geo Propeller"/>
      <sheetName val="Perporosan"/>
      <sheetName val="Bos dan shaft benar"/>
      <sheetName val="Stern Tube"/>
      <sheetName val="stern tube (2)"/>
    </sheetNames>
    <sheetDataSet>
      <sheetData sheetId="0">
        <row r="15">
          <cell r="P15">
            <v>3.0849066041538286E-3</v>
          </cell>
        </row>
      </sheetData>
      <sheetData sheetId="1">
        <row r="29">
          <cell r="G29">
            <v>24173.111883488789</v>
          </cell>
        </row>
      </sheetData>
      <sheetData sheetId="2" refreshError="1"/>
      <sheetData sheetId="3" refreshError="1"/>
      <sheetData sheetId="4" refreshError="1"/>
      <sheetData sheetId="5" refreshError="1"/>
      <sheetData sheetId="6">
        <row r="29">
          <cell r="D29">
            <v>23499.051439999996</v>
          </cell>
          <cell r="J29">
            <v>20534.723245833338</v>
          </cell>
          <cell r="P29">
            <v>17801.09161166667</v>
          </cell>
          <cell r="V29">
            <v>15127.52788333333</v>
          </cell>
          <cell r="AB29">
            <v>12496.110283333332</v>
          </cell>
          <cell r="AH29">
            <v>9893.2220833333322</v>
          </cell>
          <cell r="AN29">
            <v>7312.2903333333315</v>
          </cell>
          <cell r="AT29">
            <v>4757.2308333333331</v>
          </cell>
          <cell r="AZ29">
            <v>2265.5699999999997</v>
          </cell>
          <cell r="BF29">
            <v>1079.7352333333333</v>
          </cell>
        </row>
      </sheetData>
      <sheetData sheetId="7" refreshError="1"/>
      <sheetData sheetId="8">
        <row r="19">
          <cell r="E19">
            <v>4.7682312222181027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eller  (2)"/>
      <sheetName val="Input-Output (b470)"/>
      <sheetName val="KQ-KT-J (b470)"/>
      <sheetName val="EPM (b470)"/>
      <sheetName val="EPM "/>
      <sheetName val="Input-Output "/>
      <sheetName val="KQ-KT-J "/>
    </sheetNames>
    <sheetDataSet>
      <sheetData sheetId="0"/>
      <sheetData sheetId="1"/>
      <sheetData sheetId="2"/>
      <sheetData sheetId="3"/>
      <sheetData sheetId="4">
        <row r="22">
          <cell r="C22">
            <v>0</v>
          </cell>
          <cell r="D22">
            <v>0</v>
          </cell>
          <cell r="E22">
            <v>0</v>
          </cell>
          <cell r="F22">
            <v>0</v>
          </cell>
          <cell r="G22">
            <v>0</v>
          </cell>
          <cell r="H22">
            <v>0</v>
          </cell>
        </row>
        <row r="23">
          <cell r="C23">
            <v>1.2347028180244494E-2</v>
          </cell>
          <cell r="D23">
            <v>1.1667119211544301E-2</v>
          </cell>
          <cell r="E23">
            <v>1.1335991950885837E-2</v>
          </cell>
          <cell r="F23">
            <v>1.0988004920808345E-2</v>
          </cell>
          <cell r="G23">
            <v>1.1123845640983175E-2</v>
          </cell>
          <cell r="H23">
            <v>1.1052105342948457E-2</v>
          </cell>
        </row>
        <row r="24">
          <cell r="C24">
            <v>4.9388112720977977E-2</v>
          </cell>
          <cell r="D24">
            <v>4.6668476846177205E-2</v>
          </cell>
          <cell r="E24">
            <v>4.5343967803543349E-2</v>
          </cell>
          <cell r="F24">
            <v>4.3952019683233381E-2</v>
          </cell>
          <cell r="G24">
            <v>4.4495382563932699E-2</v>
          </cell>
          <cell r="H24">
            <v>4.420842137179383E-2</v>
          </cell>
        </row>
        <row r="25">
          <cell r="C25">
            <v>0.11112325362220044</v>
          </cell>
          <cell r="D25">
            <v>0.10500407290389868</v>
          </cell>
          <cell r="E25">
            <v>0.10202392755797252</v>
          </cell>
          <cell r="F25">
            <v>9.8892044287275077E-2</v>
          </cell>
          <cell r="G25">
            <v>0.10011461076884855</v>
          </cell>
          <cell r="H25">
            <v>9.9468948086536085E-2</v>
          </cell>
        </row>
        <row r="26">
          <cell r="C26">
            <v>0.19755245088391191</v>
          </cell>
          <cell r="D26">
            <v>0.18667390738470882</v>
          </cell>
          <cell r="E26">
            <v>0.1813758712141734</v>
          </cell>
          <cell r="F26">
            <v>0.17580807873293353</v>
          </cell>
          <cell r="G26">
            <v>0.1779815302557308</v>
          </cell>
          <cell r="H26">
            <v>0.17683368548717532</v>
          </cell>
        </row>
        <row r="27">
          <cell r="C27">
            <v>0.30867570450611231</v>
          </cell>
          <cell r="D27">
            <v>0.29167798028860747</v>
          </cell>
          <cell r="E27">
            <v>0.28339979877214588</v>
          </cell>
          <cell r="F27">
            <v>0.27470012302020858</v>
          </cell>
          <cell r="G27">
            <v>0.2780961410245793</v>
          </cell>
          <cell r="H27">
            <v>0.27630263357371138</v>
          </cell>
        </row>
        <row r="28">
          <cell r="C28">
            <v>0.44449301448880174</v>
          </cell>
          <cell r="D28">
            <v>0.42001629161559473</v>
          </cell>
          <cell r="E28">
            <v>0.40809571023189006</v>
          </cell>
          <cell r="F28">
            <v>0.39556817714910031</v>
          </cell>
          <cell r="G28">
            <v>0.40045844307539419</v>
          </cell>
          <cell r="H28">
            <v>0.39787579234614434</v>
          </cell>
        </row>
        <row r="29">
          <cell r="C29">
            <v>0.60500438083198005</v>
          </cell>
          <cell r="D29">
            <v>0.57168884136567055</v>
          </cell>
          <cell r="E29">
            <v>0.55546360559340591</v>
          </cell>
          <cell r="F29">
            <v>0.53841224111960873</v>
          </cell>
          <cell r="G29">
            <v>0.54506843640817537</v>
          </cell>
          <cell r="H29">
            <v>0.54155316180447421</v>
          </cell>
        </row>
        <row r="30">
          <cell r="C30">
            <v>0.79020980353564763</v>
          </cell>
          <cell r="D30">
            <v>0.74669562953883528</v>
          </cell>
          <cell r="E30">
            <v>0.72550348485669358</v>
          </cell>
          <cell r="F30">
            <v>0.7032323149317341</v>
          </cell>
          <cell r="G30">
            <v>0.71192612102292319</v>
          </cell>
          <cell r="H30">
            <v>0.70733474194870127</v>
          </cell>
        </row>
        <row r="31">
          <cell r="C31">
            <v>1.0001092825998039</v>
          </cell>
          <cell r="D31">
            <v>0.94503665613508825</v>
          </cell>
          <cell r="E31">
            <v>0.91821534802175275</v>
          </cell>
          <cell r="F31">
            <v>0.89002839858547589</v>
          </cell>
          <cell r="G31">
            <v>0.90103149691963702</v>
          </cell>
          <cell r="H31">
            <v>0.89522053277882496</v>
          </cell>
        </row>
        <row r="32">
          <cell r="C32">
            <v>1.2347028180244493</v>
          </cell>
          <cell r="D32">
            <v>1.1667119211544299</v>
          </cell>
          <cell r="E32">
            <v>1.1335991950885835</v>
          </cell>
          <cell r="F32">
            <v>1.0988004920808343</v>
          </cell>
          <cell r="G32">
            <v>1.1123845640983172</v>
          </cell>
          <cell r="H32">
            <v>1.1052105342948455</v>
          </cell>
        </row>
        <row r="59">
          <cell r="B59">
            <v>0</v>
          </cell>
          <cell r="C59">
            <v>0</v>
          </cell>
          <cell r="D59">
            <v>0</v>
          </cell>
          <cell r="E59">
            <v>0</v>
          </cell>
          <cell r="F59">
            <v>0</v>
          </cell>
          <cell r="G59">
            <v>0</v>
          </cell>
          <cell r="H59">
            <v>0</v>
          </cell>
        </row>
        <row r="60">
          <cell r="B60">
            <v>0.1</v>
          </cell>
          <cell r="C60">
            <v>1.4816433816293393E-2</v>
          </cell>
          <cell r="D60">
            <v>1.4000543053853164E-2</v>
          </cell>
          <cell r="E60">
            <v>1.3603190341063002E-2</v>
          </cell>
          <cell r="F60">
            <v>1.3185605904970015E-2</v>
          </cell>
          <cell r="G60">
            <v>1.3348614769179808E-2</v>
          </cell>
          <cell r="H60">
            <v>1.3262526411538147E-2</v>
          </cell>
        </row>
        <row r="61">
          <cell r="B61">
            <v>0.2</v>
          </cell>
          <cell r="C61">
            <v>5.9265735265173571E-2</v>
          </cell>
          <cell r="D61">
            <v>5.6002172215412656E-2</v>
          </cell>
          <cell r="E61">
            <v>5.4412761364252007E-2</v>
          </cell>
          <cell r="F61">
            <v>5.2742423619880061E-2</v>
          </cell>
          <cell r="G61">
            <v>5.3394459076719233E-2</v>
          </cell>
          <cell r="H61">
            <v>5.305010564615259E-2</v>
          </cell>
        </row>
        <row r="62">
          <cell r="B62">
            <v>0.3</v>
          </cell>
          <cell r="C62">
            <v>0.13334790434664051</v>
          </cell>
          <cell r="D62">
            <v>0.12600488748467845</v>
          </cell>
          <cell r="E62">
            <v>0.12242871306956699</v>
          </cell>
          <cell r="F62">
            <v>0.11867045314473011</v>
          </cell>
          <cell r="G62">
            <v>0.12013753292261824</v>
          </cell>
          <cell r="H62">
            <v>0.1193627377038433</v>
          </cell>
        </row>
        <row r="63">
          <cell r="B63">
            <v>0.4</v>
          </cell>
          <cell r="C63">
            <v>0.23706294106069428</v>
          </cell>
          <cell r="D63">
            <v>0.22400868886165062</v>
          </cell>
          <cell r="E63">
            <v>0.21765104545700803</v>
          </cell>
          <cell r="F63">
            <v>0.21096969447952024</v>
          </cell>
          <cell r="G63">
            <v>0.21357783630687693</v>
          </cell>
          <cell r="H63">
            <v>0.21220042258461036</v>
          </cell>
        </row>
        <row r="64">
          <cell r="B64">
            <v>0.5</v>
          </cell>
          <cell r="C64">
            <v>0.37041084540733477</v>
          </cell>
          <cell r="D64">
            <v>0.35001357634632901</v>
          </cell>
          <cell r="E64">
            <v>0.34007975852657496</v>
          </cell>
          <cell r="F64">
            <v>0.32964014762425031</v>
          </cell>
          <cell r="G64">
            <v>0.33371536922949513</v>
          </cell>
          <cell r="H64">
            <v>0.33156316028845362</v>
          </cell>
        </row>
        <row r="65">
          <cell r="B65">
            <v>0.6</v>
          </cell>
          <cell r="C65">
            <v>0.53339161738656204</v>
          </cell>
          <cell r="D65">
            <v>0.50401954993871378</v>
          </cell>
          <cell r="E65">
            <v>0.48971485227826794</v>
          </cell>
          <cell r="F65">
            <v>0.47468181257892045</v>
          </cell>
          <cell r="G65">
            <v>0.48055013169047295</v>
          </cell>
          <cell r="H65">
            <v>0.4774509508153732</v>
          </cell>
        </row>
        <row r="66">
          <cell r="B66">
            <v>0.7</v>
          </cell>
          <cell r="C66">
            <v>0.72600525699837604</v>
          </cell>
          <cell r="D66">
            <v>0.6860266096388048</v>
          </cell>
          <cell r="E66">
            <v>0.66655632671208687</v>
          </cell>
          <cell r="F66">
            <v>0.64609468934353054</v>
          </cell>
          <cell r="G66">
            <v>0.65408212368981034</v>
          </cell>
          <cell r="H66">
            <v>0.64986379416536899</v>
          </cell>
        </row>
        <row r="67">
          <cell r="B67">
            <v>0.8</v>
          </cell>
          <cell r="C67">
            <v>0.94825176424277713</v>
          </cell>
          <cell r="D67">
            <v>0.89603475544660249</v>
          </cell>
          <cell r="E67">
            <v>0.87060418182803212</v>
          </cell>
          <cell r="F67">
            <v>0.84387877791808097</v>
          </cell>
          <cell r="G67">
            <v>0.85431134522750773</v>
          </cell>
          <cell r="H67">
            <v>0.84880169033844144</v>
          </cell>
        </row>
        <row r="68">
          <cell r="B68">
            <v>0.9</v>
          </cell>
          <cell r="C68">
            <v>1.2001311391197647</v>
          </cell>
          <cell r="D68">
            <v>1.134043987362106</v>
          </cell>
          <cell r="E68">
            <v>1.101858417626103</v>
          </cell>
          <cell r="F68">
            <v>1.068034078302571</v>
          </cell>
          <cell r="G68">
            <v>1.0812377963035642</v>
          </cell>
          <cell r="H68">
            <v>1.0742646393345898</v>
          </cell>
        </row>
        <row r="69">
          <cell r="B69">
            <v>1</v>
          </cell>
          <cell r="C69">
            <v>1.4816433816293391</v>
          </cell>
          <cell r="D69">
            <v>1.4000543053853161</v>
          </cell>
          <cell r="E69">
            <v>1.3603190341062998</v>
          </cell>
          <cell r="F69">
            <v>1.3185605904970013</v>
          </cell>
          <cell r="G69">
            <v>1.3348614769179805</v>
          </cell>
          <cell r="H69">
            <v>1.3262526411538145</v>
          </cell>
        </row>
        <row r="105">
          <cell r="C105">
            <v>0.1</v>
          </cell>
          <cell r="D105">
            <v>0.29619687317127957</v>
          </cell>
          <cell r="E105">
            <v>0.34874395365648869</v>
          </cell>
          <cell r="F105">
            <v>0.1351198474658539</v>
          </cell>
        </row>
        <row r="106">
          <cell r="C106">
            <v>0.2</v>
          </cell>
          <cell r="D106">
            <v>0.26239925282192522</v>
          </cell>
          <cell r="E106">
            <v>0.31580457178765031</v>
          </cell>
          <cell r="F106">
            <v>0.26437448603046382</v>
          </cell>
        </row>
        <row r="107">
          <cell r="C107">
            <v>0.3</v>
          </cell>
          <cell r="D107">
            <v>0.22494700624831754</v>
          </cell>
          <cell r="E107">
            <v>0.27876483765733806</v>
          </cell>
          <cell r="F107">
            <v>0.38513132454653259</v>
          </cell>
        </row>
        <row r="108">
          <cell r="C108">
            <v>0.4</v>
          </cell>
          <cell r="D108">
            <v>0.18433617152956891</v>
          </cell>
          <cell r="E108">
            <v>0.23810941286675114</v>
          </cell>
          <cell r="F108">
            <v>0.49265098349367942</v>
          </cell>
        </row>
        <row r="109">
          <cell r="C109">
            <v>0.5</v>
          </cell>
          <cell r="D109">
            <v>0.14106278674479097</v>
          </cell>
          <cell r="E109">
            <v>0.19432295901708913</v>
          </cell>
          <cell r="F109">
            <v>0.57743580829664765</v>
          </cell>
        </row>
        <row r="110">
          <cell r="C110">
            <v>0.6</v>
          </cell>
          <cell r="D110">
            <v>9.5622889973095954E-2</v>
          </cell>
          <cell r="E110">
            <v>0.14789013770955073</v>
          </cell>
          <cell r="F110">
            <v>0.6171905469016562</v>
          </cell>
        </row>
        <row r="111">
          <cell r="C111">
            <v>0.7</v>
          </cell>
          <cell r="D111">
            <v>4.8512519293595846E-2</v>
          </cell>
          <cell r="E111">
            <v>9.9295610545335811E-2</v>
          </cell>
          <cell r="F111">
            <v>0.54408553691597927</v>
          </cell>
        </row>
        <row r="112">
          <cell r="C112">
            <v>0.8</v>
          </cell>
          <cell r="D112">
            <v>2.2771278540251617E-4</v>
          </cell>
          <cell r="E112">
            <v>4.9024039125643126E-2</v>
          </cell>
          <cell r="F112">
            <v>5.9117175471345481E-3</v>
          </cell>
        </row>
        <row r="113">
          <cell r="C113">
            <v>0.9</v>
          </cell>
          <cell r="D113">
            <v>-4.8735491472371877E-2</v>
          </cell>
          <cell r="E113">
            <v>-2.4399149483277228E-3</v>
          </cell>
          <cell r="F113">
            <v>0</v>
          </cell>
        </row>
        <row r="114">
          <cell r="C114">
            <v>1</v>
          </cell>
          <cell r="D114">
            <v>0</v>
          </cell>
          <cell r="E114">
            <v>0</v>
          </cell>
          <cell r="F114">
            <v>0</v>
          </cell>
        </row>
        <row r="152">
          <cell r="W152">
            <v>0.46</v>
          </cell>
          <cell r="Y152">
            <v>0.214</v>
          </cell>
          <cell r="AA152">
            <v>0.27300000000000002</v>
          </cell>
          <cell r="AC152">
            <v>0.52</v>
          </cell>
          <cell r="AG152">
            <v>0.46600000000000003</v>
          </cell>
          <cell r="AI152">
            <v>0.21299999999999999</v>
          </cell>
          <cell r="AK152">
            <v>0.26900000000000002</v>
          </cell>
          <cell r="AM152">
            <v>0.52400000000000002</v>
          </cell>
          <cell r="AQ152">
            <v>0.47</v>
          </cell>
          <cell r="AS152">
            <v>0.21</v>
          </cell>
          <cell r="AU152">
            <v>0.26700000000000002</v>
          </cell>
          <cell r="AW152">
            <v>0.53</v>
          </cell>
          <cell r="BA152">
            <v>0.46800000000000003</v>
          </cell>
          <cell r="BC152">
            <v>0.21199999999999999</v>
          </cell>
          <cell r="BE152">
            <v>0.26800000000000002</v>
          </cell>
          <cell r="BG152">
            <v>0.52700000000000002</v>
          </cell>
          <cell r="BK152">
            <v>0.47</v>
          </cell>
          <cell r="BM152">
            <v>0.21199999999999999</v>
          </cell>
          <cell r="BO152">
            <v>0.26800000000000002</v>
          </cell>
          <cell r="BQ152">
            <v>0.53</v>
          </cell>
        </row>
        <row r="153">
          <cell r="W153">
            <v>0.46</v>
          </cell>
          <cell r="Y153">
            <v>0.214</v>
          </cell>
          <cell r="AA153">
            <v>0.27300000000000002</v>
          </cell>
          <cell r="AC153">
            <v>0.52</v>
          </cell>
          <cell r="AG153">
            <v>0.46600000000000003</v>
          </cell>
          <cell r="AI153">
            <v>0.21299999999999999</v>
          </cell>
          <cell r="AK153">
            <v>0.26900000000000002</v>
          </cell>
          <cell r="AM153">
            <v>0.52400000000000002</v>
          </cell>
          <cell r="AQ153">
            <v>0.47</v>
          </cell>
          <cell r="AS153">
            <v>0.21</v>
          </cell>
          <cell r="AU153">
            <v>0.26700000000000002</v>
          </cell>
          <cell r="AW153">
            <v>0.53</v>
          </cell>
          <cell r="BA153">
            <v>0.46800000000000003</v>
          </cell>
          <cell r="BC153">
            <v>0.21199999999999999</v>
          </cell>
          <cell r="BE153">
            <v>0.26800000000000002</v>
          </cell>
          <cell r="BG153">
            <v>0.52700000000000002</v>
          </cell>
          <cell r="BK153">
            <v>0.47</v>
          </cell>
          <cell r="BM153">
            <v>0.21199999999999999</v>
          </cell>
          <cell r="BO153">
            <v>0.26800000000000002</v>
          </cell>
          <cell r="BQ153">
            <v>0.53</v>
          </cell>
        </row>
        <row r="154">
          <cell r="W154">
            <v>0.46</v>
          </cell>
          <cell r="Y154">
            <v>0.214</v>
          </cell>
          <cell r="AA154">
            <v>0.27300000000000002</v>
          </cell>
          <cell r="AC154">
            <v>0.52</v>
          </cell>
          <cell r="AG154">
            <v>0.46600000000000003</v>
          </cell>
          <cell r="AI154">
            <v>0.21299999999999999</v>
          </cell>
          <cell r="AK154">
            <v>0.26900000000000002</v>
          </cell>
          <cell r="AM154">
            <v>0.52400000000000002</v>
          </cell>
          <cell r="AQ154">
            <v>0.47</v>
          </cell>
          <cell r="AS154">
            <v>0.21</v>
          </cell>
          <cell r="AU154">
            <v>0.26700000000000002</v>
          </cell>
          <cell r="AW154">
            <v>0.53</v>
          </cell>
          <cell r="BA154">
            <v>0.46800000000000003</v>
          </cell>
          <cell r="BC154">
            <v>0.21199999999999999</v>
          </cell>
          <cell r="BE154">
            <v>0.26800000000000002</v>
          </cell>
          <cell r="BG154">
            <v>0.52700000000000002</v>
          </cell>
          <cell r="BK154">
            <v>0.47</v>
          </cell>
          <cell r="BM154">
            <v>0.21199999999999999</v>
          </cell>
          <cell r="BO154">
            <v>0.26800000000000002</v>
          </cell>
          <cell r="BQ154">
            <v>0.53</v>
          </cell>
        </row>
        <row r="155">
          <cell r="W155">
            <v>0.46</v>
          </cell>
          <cell r="Y155">
            <v>0.214</v>
          </cell>
          <cell r="AA155">
            <v>0.27300000000000002</v>
          </cell>
          <cell r="AC155">
            <v>0.52</v>
          </cell>
          <cell r="AG155">
            <v>0.46600000000000003</v>
          </cell>
          <cell r="AI155">
            <v>0.21299999999999999</v>
          </cell>
          <cell r="AK155">
            <v>0.26900000000000002</v>
          </cell>
          <cell r="AM155">
            <v>0.52400000000000002</v>
          </cell>
          <cell r="AQ155">
            <v>0.47</v>
          </cell>
          <cell r="AS155">
            <v>0.21</v>
          </cell>
          <cell r="AU155">
            <v>0.26700000000000002</v>
          </cell>
          <cell r="AW155">
            <v>0.53</v>
          </cell>
          <cell r="BA155">
            <v>0.46800000000000003</v>
          </cell>
          <cell r="BC155">
            <v>0.21199999999999999</v>
          </cell>
          <cell r="BE155">
            <v>0.26800000000000002</v>
          </cell>
          <cell r="BG155">
            <v>0.52700000000000002</v>
          </cell>
          <cell r="BK155">
            <v>0.47</v>
          </cell>
          <cell r="BM155">
            <v>0.21199999999999999</v>
          </cell>
          <cell r="BO155">
            <v>0.26800000000000002</v>
          </cell>
          <cell r="BQ155">
            <v>0.53</v>
          </cell>
        </row>
        <row r="156">
          <cell r="W156">
            <v>0.46</v>
          </cell>
          <cell r="Y156">
            <v>0.214</v>
          </cell>
          <cell r="AA156">
            <v>0.27300000000000002</v>
          </cell>
          <cell r="AC156">
            <v>0.52</v>
          </cell>
          <cell r="AG156">
            <v>0.46600000000000003</v>
          </cell>
          <cell r="AI156">
            <v>0.21299999999999999</v>
          </cell>
          <cell r="AK156">
            <v>0.26900000000000002</v>
          </cell>
          <cell r="AM156">
            <v>0.52400000000000002</v>
          </cell>
          <cell r="AQ156">
            <v>0.47</v>
          </cell>
          <cell r="AS156">
            <v>0.21</v>
          </cell>
          <cell r="AU156">
            <v>0.26700000000000002</v>
          </cell>
          <cell r="AW156">
            <v>0.53</v>
          </cell>
          <cell r="BA156">
            <v>0.46800000000000003</v>
          </cell>
          <cell r="BC156">
            <v>0.21199999999999999</v>
          </cell>
          <cell r="BE156">
            <v>0.26800000000000002</v>
          </cell>
          <cell r="BG156">
            <v>0.52700000000000002</v>
          </cell>
          <cell r="BK156">
            <v>0.47</v>
          </cell>
          <cell r="BM156">
            <v>0.21199999999999999</v>
          </cell>
          <cell r="BO156">
            <v>0.26800000000000002</v>
          </cell>
          <cell r="BQ156">
            <v>0.53</v>
          </cell>
        </row>
        <row r="157">
          <cell r="W157">
            <v>0.46</v>
          </cell>
          <cell r="Y157">
            <v>0.214</v>
          </cell>
          <cell r="AA157">
            <v>0.27300000000000002</v>
          </cell>
          <cell r="AC157">
            <v>0.52</v>
          </cell>
          <cell r="AG157">
            <v>0.46600000000000003</v>
          </cell>
          <cell r="AI157">
            <v>0.21299999999999999</v>
          </cell>
          <cell r="AK157">
            <v>0.26900000000000002</v>
          </cell>
          <cell r="AM157">
            <v>0.52400000000000002</v>
          </cell>
          <cell r="AQ157">
            <v>0.47</v>
          </cell>
          <cell r="AS157">
            <v>0.21</v>
          </cell>
          <cell r="AU157">
            <v>0.26700000000000002</v>
          </cell>
          <cell r="AW157">
            <v>0.53</v>
          </cell>
          <cell r="BA157">
            <v>0.46800000000000003</v>
          </cell>
          <cell r="BC157">
            <v>0.21199999999999999</v>
          </cell>
          <cell r="BE157">
            <v>0.26800000000000002</v>
          </cell>
          <cell r="BG157">
            <v>0.52700000000000002</v>
          </cell>
          <cell r="BK157">
            <v>0.47</v>
          </cell>
          <cell r="BM157">
            <v>0.21199999999999999</v>
          </cell>
          <cell r="BO157">
            <v>0.26800000000000002</v>
          </cell>
          <cell r="BQ157">
            <v>0.53</v>
          </cell>
        </row>
        <row r="158">
          <cell r="W158">
            <v>0.46</v>
          </cell>
          <cell r="Y158">
            <v>0.214</v>
          </cell>
          <cell r="AA158">
            <v>0.27300000000000002</v>
          </cell>
          <cell r="AC158">
            <v>0.52</v>
          </cell>
          <cell r="AG158">
            <v>0.46600000000000003</v>
          </cell>
          <cell r="AI158">
            <v>0.21299999999999999</v>
          </cell>
          <cell r="AK158">
            <v>0.26900000000000002</v>
          </cell>
          <cell r="AM158">
            <v>0.52400000000000002</v>
          </cell>
          <cell r="AQ158">
            <v>0.47</v>
          </cell>
          <cell r="AS158">
            <v>0.21</v>
          </cell>
          <cell r="AU158">
            <v>0.26700000000000002</v>
          </cell>
          <cell r="AW158">
            <v>0.53</v>
          </cell>
          <cell r="BA158">
            <v>0.46800000000000003</v>
          </cell>
          <cell r="BC158">
            <v>0.21199999999999999</v>
          </cell>
          <cell r="BE158">
            <v>0.26800000000000002</v>
          </cell>
          <cell r="BG158">
            <v>0.52700000000000002</v>
          </cell>
          <cell r="BK158">
            <v>0.47</v>
          </cell>
          <cell r="BM158">
            <v>0.21199999999999999</v>
          </cell>
          <cell r="BO158">
            <v>0.26800000000000002</v>
          </cell>
          <cell r="BQ158">
            <v>0.53</v>
          </cell>
        </row>
        <row r="159">
          <cell r="W159">
            <v>0.46</v>
          </cell>
          <cell r="Y159">
            <v>0.214</v>
          </cell>
          <cell r="AA159">
            <v>0.27300000000000002</v>
          </cell>
          <cell r="AC159">
            <v>0.52</v>
          </cell>
          <cell r="AG159">
            <v>0.46600000000000003</v>
          </cell>
          <cell r="AI159">
            <v>0.21299999999999999</v>
          </cell>
          <cell r="AK159">
            <v>0.26900000000000002</v>
          </cell>
          <cell r="AM159">
            <v>0.52400000000000002</v>
          </cell>
          <cell r="AQ159">
            <v>0.47</v>
          </cell>
          <cell r="AS159">
            <v>0.21</v>
          </cell>
          <cell r="AU159">
            <v>0.26700000000000002</v>
          </cell>
          <cell r="AW159">
            <v>0.53</v>
          </cell>
          <cell r="BA159">
            <v>0.46800000000000003</v>
          </cell>
          <cell r="BC159">
            <v>0.21199999999999999</v>
          </cell>
          <cell r="BE159">
            <v>0.26800000000000002</v>
          </cell>
          <cell r="BG159">
            <v>0.52700000000000002</v>
          </cell>
          <cell r="BK159">
            <v>0.47</v>
          </cell>
          <cell r="BM159">
            <v>0.21199999999999999</v>
          </cell>
          <cell r="BO159">
            <v>0.26800000000000002</v>
          </cell>
          <cell r="BQ159">
            <v>0.53</v>
          </cell>
        </row>
        <row r="160">
          <cell r="AC160">
            <v>0.52</v>
          </cell>
          <cell r="AM160">
            <v>0.52400000000000002</v>
          </cell>
          <cell r="AW160">
            <v>0.53</v>
          </cell>
          <cell r="BG160">
            <v>0.52700000000000002</v>
          </cell>
          <cell r="BQ160">
            <v>0.53</v>
          </cell>
        </row>
        <row r="161">
          <cell r="AC161">
            <v>0.52</v>
          </cell>
          <cell r="AM161">
            <v>0.52400000000000002</v>
          </cell>
          <cell r="AW161">
            <v>0.53</v>
          </cell>
          <cell r="BG161">
            <v>0.52700000000000002</v>
          </cell>
          <cell r="BQ161">
            <v>0.53</v>
          </cell>
        </row>
        <row r="162">
          <cell r="AC162">
            <v>0.52</v>
          </cell>
          <cell r="AM162">
            <v>0.52400000000000002</v>
          </cell>
          <cell r="AW162">
            <v>0.53</v>
          </cell>
          <cell r="BG162">
            <v>0.52700000000000002</v>
          </cell>
          <cell r="BQ162">
            <v>0.53</v>
          </cell>
        </row>
        <row r="183">
          <cell r="W183">
            <v>0.433</v>
          </cell>
          <cell r="Y183">
            <v>0.23</v>
          </cell>
          <cell r="AA183">
            <v>0.28999999999999998</v>
          </cell>
          <cell r="AC183">
            <v>0.495</v>
          </cell>
          <cell r="AF183">
            <v>0.439</v>
          </cell>
          <cell r="AH183">
            <v>0.22800000000000001</v>
          </cell>
          <cell r="AJ183">
            <v>0.28699999999999998</v>
          </cell>
          <cell r="AL183">
            <v>0.5</v>
          </cell>
          <cell r="AO183">
            <v>0.442</v>
          </cell>
          <cell r="AQ183">
            <v>0.224</v>
          </cell>
          <cell r="AS183">
            <v>0.28299999999999997</v>
          </cell>
          <cell r="AU183">
            <v>0.502</v>
          </cell>
          <cell r="AX183">
            <v>0.44</v>
          </cell>
          <cell r="AZ183">
            <v>0.223</v>
          </cell>
          <cell r="BB183">
            <v>0.28499999999999998</v>
          </cell>
          <cell r="BD183">
            <v>0.501</v>
          </cell>
          <cell r="BG183">
            <v>0.442</v>
          </cell>
          <cell r="BI183">
            <v>0.221</v>
          </cell>
          <cell r="BK183">
            <v>0.28199999999999997</v>
          </cell>
          <cell r="BM183">
            <v>0.502</v>
          </cell>
        </row>
        <row r="184">
          <cell r="W184">
            <v>0.433</v>
          </cell>
          <cell r="Y184">
            <v>0.23</v>
          </cell>
          <cell r="AA184">
            <v>0.28999999999999998</v>
          </cell>
          <cell r="AC184">
            <v>0.495</v>
          </cell>
          <cell r="AF184">
            <v>0.439</v>
          </cell>
          <cell r="AH184">
            <v>0.22800000000000001</v>
          </cell>
          <cell r="AJ184">
            <v>0.28699999999999998</v>
          </cell>
          <cell r="AL184">
            <v>0.5</v>
          </cell>
          <cell r="AO184">
            <v>0.442</v>
          </cell>
          <cell r="AQ184">
            <v>0.224</v>
          </cell>
          <cell r="AS184">
            <v>0.28299999999999997</v>
          </cell>
          <cell r="AU184">
            <v>0.502</v>
          </cell>
          <cell r="AX184">
            <v>0.44</v>
          </cell>
          <cell r="AZ184">
            <v>0.223</v>
          </cell>
          <cell r="BB184">
            <v>0.28499999999999998</v>
          </cell>
          <cell r="BD184">
            <v>0.501</v>
          </cell>
          <cell r="BG184">
            <v>0.442</v>
          </cell>
          <cell r="BI184">
            <v>0.221</v>
          </cell>
          <cell r="BK184">
            <v>0.28199999999999997</v>
          </cell>
          <cell r="BM184">
            <v>0.502</v>
          </cell>
        </row>
        <row r="185">
          <cell r="W185">
            <v>0.433</v>
          </cell>
          <cell r="Y185">
            <v>0.23</v>
          </cell>
          <cell r="AA185">
            <v>0.28999999999999998</v>
          </cell>
          <cell r="AC185">
            <v>0.495</v>
          </cell>
          <cell r="AF185">
            <v>0.439</v>
          </cell>
          <cell r="AH185">
            <v>0.22800000000000001</v>
          </cell>
          <cell r="AJ185">
            <v>0.28699999999999998</v>
          </cell>
          <cell r="AL185">
            <v>0.5</v>
          </cell>
          <cell r="AO185">
            <v>0.442</v>
          </cell>
          <cell r="AQ185">
            <v>0.224</v>
          </cell>
          <cell r="AS185">
            <v>0.28299999999999997</v>
          </cell>
          <cell r="AU185">
            <v>0.502</v>
          </cell>
          <cell r="AX185">
            <v>0.44</v>
          </cell>
          <cell r="AZ185">
            <v>0.223</v>
          </cell>
          <cell r="BB185">
            <v>0.28499999999999998</v>
          </cell>
          <cell r="BD185">
            <v>0.501</v>
          </cell>
          <cell r="BG185">
            <v>0.442</v>
          </cell>
          <cell r="BI185">
            <v>0.221</v>
          </cell>
          <cell r="BK185">
            <v>0.28199999999999997</v>
          </cell>
          <cell r="BM185">
            <v>0.502</v>
          </cell>
        </row>
        <row r="186">
          <cell r="W186">
            <v>0.433</v>
          </cell>
          <cell r="Y186">
            <v>0.23</v>
          </cell>
          <cell r="AA186">
            <v>0.28999999999999998</v>
          </cell>
          <cell r="AC186">
            <v>0.495</v>
          </cell>
          <cell r="AF186">
            <v>0.439</v>
          </cell>
          <cell r="AH186">
            <v>0.22800000000000001</v>
          </cell>
          <cell r="AJ186">
            <v>0.28699999999999998</v>
          </cell>
          <cell r="AL186">
            <v>0.5</v>
          </cell>
          <cell r="AO186">
            <v>0.442</v>
          </cell>
          <cell r="AQ186">
            <v>0.224</v>
          </cell>
          <cell r="AS186">
            <v>0.28299999999999997</v>
          </cell>
          <cell r="AU186">
            <v>0.502</v>
          </cell>
          <cell r="AX186">
            <v>0.44</v>
          </cell>
          <cell r="AZ186">
            <v>0.223</v>
          </cell>
          <cell r="BB186">
            <v>0.28499999999999998</v>
          </cell>
          <cell r="BD186">
            <v>0.501</v>
          </cell>
          <cell r="BG186">
            <v>0.442</v>
          </cell>
          <cell r="BI186">
            <v>0.221</v>
          </cell>
          <cell r="BK186">
            <v>0.28199999999999997</v>
          </cell>
          <cell r="BM186">
            <v>0.502</v>
          </cell>
        </row>
        <row r="187">
          <cell r="W187">
            <v>0.433</v>
          </cell>
          <cell r="Y187">
            <v>0.23</v>
          </cell>
          <cell r="AA187">
            <v>0.28999999999999998</v>
          </cell>
          <cell r="AC187">
            <v>0.495</v>
          </cell>
          <cell r="AF187">
            <v>0.439</v>
          </cell>
          <cell r="AH187">
            <v>0.22800000000000001</v>
          </cell>
          <cell r="AJ187">
            <v>0.28699999999999998</v>
          </cell>
          <cell r="AL187">
            <v>0.5</v>
          </cell>
          <cell r="AO187">
            <v>0.442</v>
          </cell>
          <cell r="AQ187">
            <v>0.224</v>
          </cell>
          <cell r="AS187">
            <v>0.28299999999999997</v>
          </cell>
          <cell r="AU187">
            <v>0.502</v>
          </cell>
          <cell r="AX187">
            <v>0.44</v>
          </cell>
          <cell r="AZ187">
            <v>0.223</v>
          </cell>
          <cell r="BB187">
            <v>0.28499999999999998</v>
          </cell>
          <cell r="BD187">
            <v>0.501</v>
          </cell>
          <cell r="BG187">
            <v>0.442</v>
          </cell>
          <cell r="BI187">
            <v>0.221</v>
          </cell>
          <cell r="BK187">
            <v>0.28199999999999997</v>
          </cell>
          <cell r="BM187">
            <v>0.502</v>
          </cell>
        </row>
        <row r="188">
          <cell r="W188">
            <v>0.433</v>
          </cell>
          <cell r="Y188">
            <v>0.23</v>
          </cell>
          <cell r="AA188">
            <v>0.28999999999999998</v>
          </cell>
          <cell r="AC188">
            <v>0.495</v>
          </cell>
          <cell r="AF188">
            <v>0.439</v>
          </cell>
          <cell r="AH188">
            <v>0.22800000000000001</v>
          </cell>
          <cell r="AJ188">
            <v>0.28699999999999998</v>
          </cell>
          <cell r="AL188">
            <v>0.5</v>
          </cell>
          <cell r="AO188">
            <v>0.442</v>
          </cell>
          <cell r="AQ188">
            <v>0.224</v>
          </cell>
          <cell r="AS188">
            <v>0.28299999999999997</v>
          </cell>
          <cell r="AU188">
            <v>0.502</v>
          </cell>
          <cell r="AX188">
            <v>0.44</v>
          </cell>
          <cell r="AZ188">
            <v>0.223</v>
          </cell>
          <cell r="BB188">
            <v>0.28499999999999998</v>
          </cell>
          <cell r="BD188">
            <v>0.501</v>
          </cell>
          <cell r="BG188">
            <v>0.442</v>
          </cell>
          <cell r="BI188">
            <v>0.221</v>
          </cell>
          <cell r="BK188">
            <v>0.28199999999999997</v>
          </cell>
          <cell r="BM188">
            <v>0.502</v>
          </cell>
        </row>
        <row r="189">
          <cell r="W189">
            <v>0.433</v>
          </cell>
          <cell r="Y189">
            <v>0.23</v>
          </cell>
          <cell r="AA189">
            <v>0.28999999999999998</v>
          </cell>
          <cell r="AC189">
            <v>0.495</v>
          </cell>
          <cell r="AF189">
            <v>0.439</v>
          </cell>
          <cell r="AH189">
            <v>0.22800000000000001</v>
          </cell>
          <cell r="AJ189">
            <v>0.28699999999999998</v>
          </cell>
          <cell r="AL189">
            <v>0.5</v>
          </cell>
          <cell r="AO189">
            <v>0.442</v>
          </cell>
          <cell r="AQ189">
            <v>0.224</v>
          </cell>
          <cell r="AS189">
            <v>0.28299999999999997</v>
          </cell>
          <cell r="AU189">
            <v>0.502</v>
          </cell>
          <cell r="AX189">
            <v>0.44</v>
          </cell>
          <cell r="AZ189">
            <v>0.223</v>
          </cell>
          <cell r="BB189">
            <v>0.28499999999999998</v>
          </cell>
          <cell r="BD189">
            <v>0.501</v>
          </cell>
          <cell r="BG189">
            <v>0.442</v>
          </cell>
          <cell r="BI189">
            <v>0.221</v>
          </cell>
          <cell r="BK189">
            <v>0.28199999999999997</v>
          </cell>
          <cell r="BM189">
            <v>0.502</v>
          </cell>
        </row>
        <row r="190">
          <cell r="W190">
            <v>0.433</v>
          </cell>
          <cell r="Y190">
            <v>0.23</v>
          </cell>
          <cell r="AA190">
            <v>0.28999999999999998</v>
          </cell>
          <cell r="AC190">
            <v>0.495</v>
          </cell>
          <cell r="AF190">
            <v>0.439</v>
          </cell>
          <cell r="AH190">
            <v>0.22800000000000001</v>
          </cell>
          <cell r="AJ190">
            <v>0.28699999999999998</v>
          </cell>
          <cell r="AL190">
            <v>0.5</v>
          </cell>
          <cell r="AO190">
            <v>0.442</v>
          </cell>
          <cell r="AQ190">
            <v>0.224</v>
          </cell>
          <cell r="AS190">
            <v>0.28299999999999997</v>
          </cell>
          <cell r="AU190">
            <v>0.502</v>
          </cell>
          <cell r="AX190">
            <v>0.44</v>
          </cell>
          <cell r="AZ190">
            <v>0.223</v>
          </cell>
          <cell r="BB190">
            <v>0.28499999999999998</v>
          </cell>
          <cell r="BD190">
            <v>0.501</v>
          </cell>
          <cell r="BG190">
            <v>0.442</v>
          </cell>
          <cell r="BI190">
            <v>0.221</v>
          </cell>
          <cell r="BK190">
            <v>0.28199999999999997</v>
          </cell>
          <cell r="BM190">
            <v>0.502</v>
          </cell>
        </row>
        <row r="191">
          <cell r="AC191">
            <v>0.495</v>
          </cell>
          <cell r="AL191">
            <v>0.5</v>
          </cell>
          <cell r="AU191">
            <v>0.502</v>
          </cell>
          <cell r="BD191">
            <v>0.501</v>
          </cell>
          <cell r="BM191">
            <v>0.502</v>
          </cell>
        </row>
        <row r="192">
          <cell r="AC192">
            <v>0.495</v>
          </cell>
          <cell r="AL192">
            <v>0.5</v>
          </cell>
          <cell r="AU192">
            <v>0.502</v>
          </cell>
          <cell r="BD192">
            <v>0.501</v>
          </cell>
          <cell r="BM192">
            <v>0.502</v>
          </cell>
        </row>
        <row r="193">
          <cell r="AC193">
            <v>0.495</v>
          </cell>
          <cell r="AL193">
            <v>0.5</v>
          </cell>
          <cell r="AU193">
            <v>0.502</v>
          </cell>
          <cell r="BD193">
            <v>0.501</v>
          </cell>
          <cell r="BM193">
            <v>0.502</v>
          </cell>
        </row>
      </sheetData>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RAK"/>
      <sheetName val="HARVARLD"/>
      <sheetName val="HOLTROP"/>
      <sheetName val="EN &amp; GEAR"/>
      <sheetName val="PROPELL (0.969)"/>
      <sheetName val="EN &amp; GEAR (2)"/>
      <sheetName val="EPM"/>
      <sheetName val="Poros Prop"/>
      <sheetName val="Propeller Gambar"/>
      <sheetName val="VRM"/>
      <sheetName val="SIMPSON"/>
      <sheetName val="BALLAST"/>
      <sheetName val="ABK"/>
      <sheetName val="PIPA"/>
      <sheetName val="OILY BILGE"/>
      <sheetName val="HAHAHU"/>
      <sheetName val="STORAGE"/>
      <sheetName val="Sheet2"/>
      <sheetName val="JEJANGKARAN"/>
    </sheetNames>
    <sheetDataSet>
      <sheetData sheetId="0"/>
      <sheetData sheetId="1">
        <row r="4">
          <cell r="F4" t="str">
            <v>Product Oil Tanker</v>
          </cell>
        </row>
        <row r="6">
          <cell r="F6">
            <v>137</v>
          </cell>
        </row>
        <row r="8">
          <cell r="F8">
            <v>142.47999999999999</v>
          </cell>
        </row>
        <row r="16">
          <cell r="F16">
            <v>23.7</v>
          </cell>
        </row>
        <row r="23">
          <cell r="F23">
            <v>9.9469999999999992</v>
          </cell>
        </row>
        <row r="25">
          <cell r="F25">
            <v>13.34</v>
          </cell>
        </row>
        <row r="27">
          <cell r="F27">
            <v>16</v>
          </cell>
        </row>
        <row r="30">
          <cell r="F30">
            <v>0.98199999999999998</v>
          </cell>
        </row>
        <row r="31">
          <cell r="F31">
            <v>0.68</v>
          </cell>
        </row>
        <row r="32">
          <cell r="F32">
            <v>0.69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4.bin"/><Relationship Id="rId3" Type="http://schemas.openxmlformats.org/officeDocument/2006/relationships/vmlDrawing" Target="../drawings/vmlDrawing1.vml"/><Relationship Id="rId7" Type="http://schemas.openxmlformats.org/officeDocument/2006/relationships/oleObject" Target="../embeddings/oleObject3.bin"/><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9.w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image" Target="../media/image30.emf"/><Relationship Id="rId4" Type="http://schemas.openxmlformats.org/officeDocument/2006/relationships/oleObject" Target="../embeddings/oleObject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image" Target="../media/image30.emf"/><Relationship Id="rId4" Type="http://schemas.openxmlformats.org/officeDocument/2006/relationships/oleObject" Target="../embeddings/oleObject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ABBC-DAD5-4EF5-8D10-F67157C8EF3A}">
  <dimension ref="A1:O227"/>
  <sheetViews>
    <sheetView topLeftCell="A66" zoomScale="82" zoomScaleNormal="82" workbookViewId="0">
      <selection activeCell="R160" sqref="R160"/>
    </sheetView>
  </sheetViews>
  <sheetFormatPr defaultColWidth="9.109375" defaultRowHeight="15.6"/>
  <cols>
    <col min="1" max="1" width="10.6640625" style="1" customWidth="1"/>
    <col min="2" max="2" width="9.33203125" style="1" customWidth="1"/>
    <col min="3" max="3" width="9.109375" style="1"/>
    <col min="4" max="4" width="10.33203125" style="1" customWidth="1"/>
    <col min="5" max="5" width="15.109375" style="1" customWidth="1"/>
    <col min="6" max="6" width="14.44140625" style="1" customWidth="1"/>
    <col min="7" max="7" width="16.33203125" style="1" customWidth="1"/>
    <col min="8" max="9" width="13" style="1" customWidth="1"/>
    <col min="10" max="16384" width="9.109375" style="1"/>
  </cols>
  <sheetData>
    <row r="1" spans="1:7">
      <c r="A1" s="662" t="s">
        <v>136</v>
      </c>
      <c r="B1" s="662"/>
      <c r="C1" s="662"/>
      <c r="D1" s="662"/>
      <c r="E1" s="662"/>
      <c r="F1" s="662"/>
      <c r="G1" s="662"/>
    </row>
    <row r="2" spans="1:7">
      <c r="A2" s="1" t="s">
        <v>137</v>
      </c>
    </row>
    <row r="4" spans="1:7">
      <c r="A4" s="4" t="s">
        <v>138</v>
      </c>
      <c r="B4" s="3" t="s">
        <v>139</v>
      </c>
      <c r="C4" s="4"/>
    </row>
    <row r="5" spans="1:7">
      <c r="A5" s="4" t="s">
        <v>1</v>
      </c>
      <c r="B5" s="3" t="s">
        <v>2</v>
      </c>
      <c r="C5" s="4"/>
    </row>
    <row r="6" spans="1:7">
      <c r="A6" s="4" t="s">
        <v>140</v>
      </c>
      <c r="B6" s="4">
        <v>17500</v>
      </c>
      <c r="C6" s="4" t="s">
        <v>26</v>
      </c>
    </row>
    <row r="7" spans="1:7">
      <c r="A7" s="4" t="s">
        <v>141</v>
      </c>
      <c r="B7" s="4">
        <v>13</v>
      </c>
      <c r="C7" s="4" t="s">
        <v>11</v>
      </c>
    </row>
    <row r="8" spans="1:7">
      <c r="A8" s="4" t="s">
        <v>142</v>
      </c>
      <c r="B8" s="4">
        <v>11</v>
      </c>
      <c r="C8" s="4" t="s">
        <v>143</v>
      </c>
    </row>
    <row r="10" spans="1:7">
      <c r="A10" s="662" t="s">
        <v>144</v>
      </c>
      <c r="B10" s="662"/>
      <c r="C10" s="662"/>
      <c r="D10" s="662"/>
      <c r="E10" s="662"/>
      <c r="F10" s="662"/>
      <c r="G10" s="662"/>
    </row>
    <row r="12" spans="1:7">
      <c r="A12" s="40" t="s">
        <v>6</v>
      </c>
      <c r="B12" s="16">
        <v>23.535</v>
      </c>
      <c r="C12" s="1" t="s">
        <v>4</v>
      </c>
    </row>
    <row r="13" spans="1:7">
      <c r="A13" s="40" t="s">
        <v>7</v>
      </c>
      <c r="B13" s="16">
        <v>12.353999999999999</v>
      </c>
      <c r="C13" s="1" t="s">
        <v>4</v>
      </c>
    </row>
    <row r="14" spans="1:7">
      <c r="A14" s="40" t="s">
        <v>8</v>
      </c>
      <c r="B14" s="16">
        <v>9.0536999999999992</v>
      </c>
      <c r="C14" s="1" t="s">
        <v>4</v>
      </c>
    </row>
    <row r="15" spans="1:7">
      <c r="A15" s="40" t="s">
        <v>3</v>
      </c>
      <c r="B15" s="16">
        <v>139.85</v>
      </c>
      <c r="C15" s="1" t="s">
        <v>4</v>
      </c>
    </row>
    <row r="16" spans="1:7">
      <c r="A16" s="40" t="s">
        <v>5</v>
      </c>
      <c r="B16" s="16">
        <v>145.44399999999999</v>
      </c>
      <c r="C16" s="1" t="s">
        <v>4</v>
      </c>
    </row>
    <row r="17" spans="1:15">
      <c r="A17" s="40" t="s">
        <v>145</v>
      </c>
      <c r="B17" s="16">
        <f>0.5*(B15+B16)</f>
        <v>142.64699999999999</v>
      </c>
      <c r="C17" s="1" t="s">
        <v>4</v>
      </c>
    </row>
    <row r="18" spans="1:15">
      <c r="A18" s="40"/>
      <c r="B18" s="16">
        <f>3.28084*B17</f>
        <v>468.00198347999998</v>
      </c>
      <c r="C18" s="1" t="s">
        <v>22</v>
      </c>
    </row>
    <row r="19" spans="1:15">
      <c r="A19" s="40" t="s">
        <v>146</v>
      </c>
      <c r="B19" s="16">
        <v>0.77590000000000003</v>
      </c>
    </row>
    <row r="20" spans="1:15">
      <c r="A20" s="40" t="s">
        <v>147</v>
      </c>
      <c r="B20" s="16">
        <v>0.98899999999999999</v>
      </c>
    </row>
    <row r="21" spans="1:15">
      <c r="A21" s="40" t="s">
        <v>148</v>
      </c>
      <c r="B21" s="41">
        <v>0.78500000000000003</v>
      </c>
    </row>
    <row r="22" spans="1:15">
      <c r="A22" s="40" t="s">
        <v>149</v>
      </c>
      <c r="B22" s="16">
        <f>B7/SQRT(B18)</f>
        <v>0.60092393915922049</v>
      </c>
    </row>
    <row r="23" spans="1:15">
      <c r="A23" s="40" t="s">
        <v>150</v>
      </c>
      <c r="B23" s="16">
        <f>B19*B17*B12*B14</f>
        <v>23583.523788769551</v>
      </c>
      <c r="C23" s="1" t="s">
        <v>151</v>
      </c>
    </row>
    <row r="24" spans="1:15">
      <c r="A24" s="40" t="s">
        <v>152</v>
      </c>
      <c r="B24" s="16">
        <f>B23*1.025</f>
        <v>24173.111883488789</v>
      </c>
      <c r="C24" s="1" t="s">
        <v>26</v>
      </c>
      <c r="I24" s="42"/>
    </row>
    <row r="25" spans="1:15">
      <c r="A25" s="40" t="s">
        <v>30</v>
      </c>
      <c r="B25" s="43">
        <v>2.1499999999999998E-2</v>
      </c>
      <c r="I25" s="42"/>
      <c r="O25" s="44"/>
    </row>
    <row r="26" spans="1:15">
      <c r="I26" s="42"/>
      <c r="O26" s="42"/>
    </row>
    <row r="27" spans="1:15">
      <c r="A27" s="662" t="s">
        <v>153</v>
      </c>
      <c r="B27" s="662"/>
      <c r="C27" s="662"/>
      <c r="D27" s="662"/>
      <c r="E27" s="662"/>
      <c r="F27" s="662"/>
      <c r="G27" s="662"/>
      <c r="I27" s="42"/>
      <c r="O27" s="42"/>
    </row>
    <row r="28" spans="1:15">
      <c r="I28" s="33"/>
    </row>
    <row r="29" spans="1:15">
      <c r="A29" s="1" t="s">
        <v>154</v>
      </c>
      <c r="I29" s="33"/>
    </row>
    <row r="30" spans="1:15">
      <c r="D30" s="1" t="s">
        <v>155</v>
      </c>
      <c r="E30" s="45">
        <v>8.9299999999999996E-7</v>
      </c>
      <c r="I30" s="33"/>
    </row>
    <row r="31" spans="1:15">
      <c r="I31" s="33"/>
    </row>
    <row r="32" spans="1:15">
      <c r="A32" s="46" t="s">
        <v>156</v>
      </c>
      <c r="B32" s="46" t="s">
        <v>157</v>
      </c>
      <c r="C32" s="46" t="s">
        <v>45</v>
      </c>
      <c r="D32" s="46" t="s">
        <v>158</v>
      </c>
      <c r="O32" s="42"/>
    </row>
    <row r="33" spans="1:15">
      <c r="A33" s="46" t="s">
        <v>159</v>
      </c>
      <c r="B33" s="46">
        <f>B7+1</f>
        <v>14</v>
      </c>
      <c r="C33" s="46">
        <f>B33*0.514</f>
        <v>7.1959999999999997</v>
      </c>
      <c r="D33" s="46">
        <f>C33*$B$16/$E$30</f>
        <v>1172021303.4714446</v>
      </c>
      <c r="O33" s="42"/>
    </row>
    <row r="34" spans="1:15">
      <c r="A34" s="46" t="s">
        <v>10</v>
      </c>
      <c r="B34" s="46">
        <f>B7</f>
        <v>13</v>
      </c>
      <c r="C34" s="46">
        <f t="shared" ref="C34:C39" si="0">B34*0.514</f>
        <v>6.6820000000000004</v>
      </c>
      <c r="D34" s="46">
        <f t="shared" ref="D34:D39" si="1">C34*$B$16/$E$30</f>
        <v>1088305496.0806272</v>
      </c>
    </row>
    <row r="35" spans="1:15">
      <c r="A35" s="46" t="s">
        <v>160</v>
      </c>
      <c r="B35" s="46">
        <f>$B$7-1</f>
        <v>12</v>
      </c>
      <c r="C35" s="46">
        <f t="shared" si="0"/>
        <v>6.1680000000000001</v>
      </c>
      <c r="D35" s="46">
        <f t="shared" si="1"/>
        <v>1004589688.6898096</v>
      </c>
    </row>
    <row r="36" spans="1:15">
      <c r="A36" s="46" t="s">
        <v>161</v>
      </c>
      <c r="B36" s="46">
        <f>$B$7-2</f>
        <v>11</v>
      </c>
      <c r="C36" s="46">
        <f t="shared" si="0"/>
        <v>5.6539999999999999</v>
      </c>
      <c r="D36" s="46">
        <f t="shared" si="1"/>
        <v>920873881.29899204</v>
      </c>
    </row>
    <row r="37" spans="1:15">
      <c r="A37" s="46" t="s">
        <v>162</v>
      </c>
      <c r="B37" s="46">
        <f>$B$7-3</f>
        <v>10</v>
      </c>
      <c r="C37" s="46">
        <f t="shared" si="0"/>
        <v>5.1400000000000006</v>
      </c>
      <c r="D37" s="46">
        <f t="shared" si="1"/>
        <v>837158073.90817475</v>
      </c>
    </row>
    <row r="38" spans="1:15">
      <c r="A38" s="46" t="s">
        <v>163</v>
      </c>
      <c r="B38" s="46">
        <f>$B$7-4</f>
        <v>9</v>
      </c>
      <c r="C38" s="46">
        <f t="shared" si="0"/>
        <v>4.6260000000000003</v>
      </c>
      <c r="D38" s="46">
        <f t="shared" si="1"/>
        <v>753442266.51735723</v>
      </c>
    </row>
    <row r="39" spans="1:15">
      <c r="A39" s="46" t="s">
        <v>164</v>
      </c>
      <c r="B39" s="46">
        <f>$B$7-5</f>
        <v>8</v>
      </c>
      <c r="C39" s="46">
        <f t="shared" si="0"/>
        <v>4.1120000000000001</v>
      </c>
      <c r="D39" s="46">
        <f t="shared" si="1"/>
        <v>669726459.12653971</v>
      </c>
    </row>
    <row r="41" spans="1:15">
      <c r="A41" s="1" t="s">
        <v>165</v>
      </c>
    </row>
    <row r="42" spans="1:15">
      <c r="E42" s="47" t="s">
        <v>166</v>
      </c>
    </row>
    <row r="43" spans="1:15">
      <c r="E43" s="663" t="s">
        <v>167</v>
      </c>
      <c r="F43" s="663"/>
    </row>
    <row r="44" spans="1:15">
      <c r="E44" s="663"/>
      <c r="F44" s="663"/>
    </row>
    <row r="46" spans="1:15">
      <c r="A46" s="19" t="str">
        <f t="shared" ref="A46:D53" si="2">A32</f>
        <v>Data V</v>
      </c>
      <c r="B46" s="19" t="str">
        <f t="shared" si="2"/>
        <v>Knot</v>
      </c>
      <c r="C46" s="19" t="str">
        <f t="shared" si="2"/>
        <v>m/s</v>
      </c>
      <c r="D46" s="19" t="str">
        <f t="shared" si="2"/>
        <v>Rn</v>
      </c>
      <c r="E46" s="19" t="s">
        <v>80</v>
      </c>
    </row>
    <row r="47" spans="1:15">
      <c r="A47" s="19" t="str">
        <f t="shared" si="2"/>
        <v>Vs+1</v>
      </c>
      <c r="B47" s="19">
        <f t="shared" si="2"/>
        <v>14</v>
      </c>
      <c r="C47" s="19">
        <f t="shared" si="2"/>
        <v>7.1959999999999997</v>
      </c>
      <c r="D47" s="19">
        <f t="shared" si="2"/>
        <v>1172021303.4714446</v>
      </c>
      <c r="E47" s="19">
        <f>0.075/((LOG(D47-2))^2)</f>
        <v>9.1190298361887659E-4</v>
      </c>
    </row>
    <row r="48" spans="1:15">
      <c r="A48" s="19" t="str">
        <f t="shared" si="2"/>
        <v>Vs</v>
      </c>
      <c r="B48" s="19">
        <f t="shared" si="2"/>
        <v>13</v>
      </c>
      <c r="C48" s="19">
        <f t="shared" si="2"/>
        <v>6.6820000000000004</v>
      </c>
      <c r="D48" s="19">
        <f t="shared" si="2"/>
        <v>1088305496.0806272</v>
      </c>
      <c r="E48" s="19">
        <f t="shared" ref="E48:E53" si="3">0.075/((LOG(D48-2))^2)</f>
        <v>9.1841009523165496E-4</v>
      </c>
    </row>
    <row r="49" spans="1:7">
      <c r="A49" s="19" t="str">
        <f t="shared" si="2"/>
        <v>Vs-1</v>
      </c>
      <c r="B49" s="19">
        <f t="shared" si="2"/>
        <v>12</v>
      </c>
      <c r="C49" s="19">
        <f t="shared" si="2"/>
        <v>6.1680000000000001</v>
      </c>
      <c r="D49" s="19">
        <f t="shared" si="2"/>
        <v>1004589688.6898096</v>
      </c>
      <c r="E49" s="19">
        <f t="shared" si="3"/>
        <v>9.2551686083838325E-4</v>
      </c>
    </row>
    <row r="50" spans="1:7">
      <c r="A50" s="19" t="str">
        <f t="shared" si="2"/>
        <v>Vs-2</v>
      </c>
      <c r="B50" s="19">
        <f t="shared" si="2"/>
        <v>11</v>
      </c>
      <c r="C50" s="19">
        <f t="shared" si="2"/>
        <v>5.6539999999999999</v>
      </c>
      <c r="D50" s="19">
        <f t="shared" si="2"/>
        <v>920873881.29899204</v>
      </c>
      <c r="E50" s="19">
        <f t="shared" si="3"/>
        <v>9.3333633519521837E-4</v>
      </c>
    </row>
    <row r="51" spans="1:7">
      <c r="A51" s="19" t="str">
        <f t="shared" si="2"/>
        <v>Vs-3</v>
      </c>
      <c r="B51" s="19">
        <f t="shared" si="2"/>
        <v>10</v>
      </c>
      <c r="C51" s="19">
        <f t="shared" si="2"/>
        <v>5.1400000000000006</v>
      </c>
      <c r="D51" s="19">
        <f t="shared" si="2"/>
        <v>837158073.90817475</v>
      </c>
      <c r="E51" s="19">
        <f t="shared" si="3"/>
        <v>9.4201586946763909E-4</v>
      </c>
    </row>
    <row r="52" spans="1:7">
      <c r="A52" s="19" t="str">
        <f t="shared" si="2"/>
        <v>Vs-4</v>
      </c>
      <c r="B52" s="19">
        <f t="shared" si="2"/>
        <v>9</v>
      </c>
      <c r="C52" s="19">
        <f t="shared" si="2"/>
        <v>4.6260000000000003</v>
      </c>
      <c r="D52" s="19">
        <f t="shared" si="2"/>
        <v>753442266.51735723</v>
      </c>
      <c r="E52" s="19">
        <f t="shared" si="3"/>
        <v>9.5175229649439028E-4</v>
      </c>
    </row>
    <row r="53" spans="1:7">
      <c r="A53" s="19" t="str">
        <f t="shared" si="2"/>
        <v>Vs-5</v>
      </c>
      <c r="B53" s="19">
        <f t="shared" si="2"/>
        <v>8</v>
      </c>
      <c r="C53" s="19">
        <f t="shared" si="2"/>
        <v>4.1120000000000001</v>
      </c>
      <c r="D53" s="19">
        <f t="shared" si="2"/>
        <v>669726459.12653971</v>
      </c>
      <c r="E53" s="19">
        <f t="shared" si="3"/>
        <v>9.6281646584401735E-4</v>
      </c>
    </row>
    <row r="55" spans="1:7">
      <c r="A55" s="662" t="s">
        <v>168</v>
      </c>
      <c r="B55" s="662"/>
      <c r="C55" s="662"/>
      <c r="D55" s="662"/>
      <c r="E55" s="662"/>
      <c r="F55" s="662"/>
      <c r="G55" s="662"/>
    </row>
    <row r="57" spans="1:7">
      <c r="A57" s="1" t="s">
        <v>169</v>
      </c>
    </row>
    <row r="62" spans="1:7">
      <c r="A62" s="19" t="str">
        <f t="shared" ref="A62:C69" si="4">A32</f>
        <v>Data V</v>
      </c>
      <c r="B62" s="19" t="str">
        <f t="shared" si="4"/>
        <v>Knot</v>
      </c>
      <c r="C62" s="19" t="str">
        <f t="shared" si="4"/>
        <v>m/s</v>
      </c>
      <c r="D62" s="19" t="s">
        <v>170</v>
      </c>
    </row>
    <row r="63" spans="1:7">
      <c r="A63" s="19" t="str">
        <f t="shared" si="4"/>
        <v>Vs+1</v>
      </c>
      <c r="B63" s="19">
        <f t="shared" si="4"/>
        <v>14</v>
      </c>
      <c r="C63" s="19">
        <f t="shared" si="4"/>
        <v>7.1959999999999997</v>
      </c>
      <c r="D63" s="48">
        <f>C63/SQRT(9.8*$B$16)</f>
        <v>0.19060321060997992</v>
      </c>
    </row>
    <row r="64" spans="1:7">
      <c r="A64" s="19" t="str">
        <f t="shared" si="4"/>
        <v>Vs</v>
      </c>
      <c r="B64" s="19">
        <f t="shared" si="4"/>
        <v>13</v>
      </c>
      <c r="C64" s="19">
        <f t="shared" si="4"/>
        <v>6.6820000000000004</v>
      </c>
      <c r="D64" s="48">
        <f t="shared" ref="D64:D69" si="5">C64/SQRT(9.8*$B$16)</f>
        <v>0.17698869556640995</v>
      </c>
    </row>
    <row r="65" spans="1:8">
      <c r="A65" s="19" t="str">
        <f t="shared" si="4"/>
        <v>Vs-1</v>
      </c>
      <c r="B65" s="19">
        <f t="shared" si="4"/>
        <v>12</v>
      </c>
      <c r="C65" s="19">
        <f t="shared" si="4"/>
        <v>6.1680000000000001</v>
      </c>
      <c r="D65" s="48">
        <f t="shared" si="5"/>
        <v>0.16337418052283995</v>
      </c>
    </row>
    <row r="66" spans="1:8">
      <c r="A66" s="19" t="str">
        <f t="shared" si="4"/>
        <v>Vs-2</v>
      </c>
      <c r="B66" s="19">
        <f t="shared" si="4"/>
        <v>11</v>
      </c>
      <c r="C66" s="19">
        <f t="shared" si="4"/>
        <v>5.6539999999999999</v>
      </c>
      <c r="D66" s="48">
        <f>C66/SQRT(9.8*$B$16)</f>
        <v>0.14975966547926994</v>
      </c>
    </row>
    <row r="67" spans="1:8">
      <c r="A67" s="19" t="str">
        <f t="shared" si="4"/>
        <v>Vs-3</v>
      </c>
      <c r="B67" s="19">
        <f t="shared" si="4"/>
        <v>10</v>
      </c>
      <c r="C67" s="19">
        <f t="shared" si="4"/>
        <v>5.1400000000000006</v>
      </c>
      <c r="D67" s="48">
        <f t="shared" si="5"/>
        <v>0.13614515043569997</v>
      </c>
    </row>
    <row r="68" spans="1:8">
      <c r="A68" s="19" t="str">
        <f t="shared" si="4"/>
        <v>Vs-4</v>
      </c>
      <c r="B68" s="19">
        <f t="shared" si="4"/>
        <v>9</v>
      </c>
      <c r="C68" s="19">
        <f t="shared" si="4"/>
        <v>4.6260000000000003</v>
      </c>
      <c r="D68" s="48">
        <f t="shared" si="5"/>
        <v>0.12253063539212997</v>
      </c>
    </row>
    <row r="69" spans="1:8">
      <c r="A69" s="19" t="str">
        <f t="shared" si="4"/>
        <v>Vs-5</v>
      </c>
      <c r="B69" s="19">
        <f t="shared" si="4"/>
        <v>8</v>
      </c>
      <c r="C69" s="19">
        <f t="shared" si="4"/>
        <v>4.1120000000000001</v>
      </c>
      <c r="D69" s="48">
        <f t="shared" si="5"/>
        <v>0.10891612034855996</v>
      </c>
    </row>
    <row r="71" spans="1:8" ht="17.399999999999999">
      <c r="A71" s="1" t="s">
        <v>171</v>
      </c>
    </row>
    <row r="73" spans="1:8">
      <c r="C73" s="1">
        <v>4.5</v>
      </c>
    </row>
    <row r="74" spans="1:8">
      <c r="B74" s="49" t="s">
        <v>63</v>
      </c>
      <c r="C74" s="1">
        <f>$B$17/(B23^(1/3))</f>
        <v>4.9742362739858335</v>
      </c>
    </row>
    <row r="75" spans="1:8">
      <c r="C75" s="1">
        <v>5</v>
      </c>
    </row>
    <row r="77" spans="1:8">
      <c r="A77" s="1" t="s">
        <v>172</v>
      </c>
    </row>
    <row r="79" spans="1:8" ht="31.5" customHeight="1">
      <c r="A79" s="19" t="str">
        <f t="shared" ref="A79:D85" si="6">A62</f>
        <v>Data V</v>
      </c>
      <c r="B79" s="19" t="str">
        <f t="shared" si="6"/>
        <v>Knot</v>
      </c>
      <c r="C79" s="19" t="str">
        <f t="shared" si="6"/>
        <v>m/s</v>
      </c>
      <c r="D79" s="19" t="str">
        <f t="shared" si="6"/>
        <v>Fn</v>
      </c>
      <c r="E79" s="50" t="s">
        <v>173</v>
      </c>
      <c r="F79" s="50" t="s">
        <v>174</v>
      </c>
      <c r="G79" s="19" t="s">
        <v>175</v>
      </c>
      <c r="H79" s="19" t="s">
        <v>176</v>
      </c>
    </row>
    <row r="80" spans="1:8">
      <c r="A80" s="19" t="str">
        <f t="shared" si="6"/>
        <v>Vs+1</v>
      </c>
      <c r="B80" s="19">
        <f t="shared" si="6"/>
        <v>14</v>
      </c>
      <c r="C80" s="19">
        <f t="shared" si="6"/>
        <v>7.1959999999999997</v>
      </c>
      <c r="D80" s="48">
        <f t="shared" si="6"/>
        <v>0.19060321060997992</v>
      </c>
      <c r="E80" s="19">
        <v>1.359</v>
      </c>
      <c r="F80" s="19">
        <v>1.179</v>
      </c>
      <c r="G80" s="19">
        <f t="shared" ref="G80:G85" si="7">(($C$74-$C$73)*(F80-E80)/($C$75-$C$73))+E80</f>
        <v>1.1882749413650999</v>
      </c>
      <c r="H80" s="29">
        <f t="shared" ref="H80:H85" si="8">G80/1000</f>
        <v>1.1882749413650998E-3</v>
      </c>
    </row>
    <row r="81" spans="1:8">
      <c r="A81" s="19" t="str">
        <f t="shared" si="6"/>
        <v>Vs</v>
      </c>
      <c r="B81" s="51">
        <f t="shared" si="6"/>
        <v>13</v>
      </c>
      <c r="C81" s="51">
        <f t="shared" si="6"/>
        <v>6.6820000000000004</v>
      </c>
      <c r="D81" s="52">
        <f t="shared" si="6"/>
        <v>0.17698869556640995</v>
      </c>
      <c r="E81" s="51">
        <v>1.143</v>
      </c>
      <c r="F81" s="51">
        <v>0.94899999999999995</v>
      </c>
      <c r="G81" s="51">
        <f t="shared" si="7"/>
        <v>0.95899632569349658</v>
      </c>
      <c r="H81" s="53">
        <f t="shared" si="8"/>
        <v>9.5899632569349652E-4</v>
      </c>
    </row>
    <row r="82" spans="1:8">
      <c r="A82" s="19" t="str">
        <f t="shared" si="6"/>
        <v>Vs-1</v>
      </c>
      <c r="B82" s="19">
        <f t="shared" si="6"/>
        <v>12</v>
      </c>
      <c r="C82" s="19">
        <f t="shared" si="6"/>
        <v>6.1680000000000001</v>
      </c>
      <c r="D82" s="48">
        <f t="shared" si="6"/>
        <v>0.16337418052283995</v>
      </c>
      <c r="E82" s="19">
        <v>0.98299999999999998</v>
      </c>
      <c r="F82" s="19">
        <v>0.79500000000000004</v>
      </c>
      <c r="G82" s="19">
        <f t="shared" si="7"/>
        <v>0.80468716098132664</v>
      </c>
      <c r="H82" s="29">
        <f t="shared" si="8"/>
        <v>8.0468716098132669E-4</v>
      </c>
    </row>
    <row r="83" spans="1:8">
      <c r="A83" s="19" t="str">
        <f t="shared" si="6"/>
        <v>Vs-2</v>
      </c>
      <c r="B83" s="19">
        <f t="shared" si="6"/>
        <v>11</v>
      </c>
      <c r="C83" s="19">
        <f t="shared" si="6"/>
        <v>5.6539999999999999</v>
      </c>
      <c r="D83" s="48">
        <f t="shared" si="6"/>
        <v>0.14975966547926994</v>
      </c>
      <c r="E83" s="19">
        <v>0.86799999999999999</v>
      </c>
      <c r="F83" s="19">
        <v>0.71799999999999997</v>
      </c>
      <c r="G83" s="19">
        <f t="shared" si="7"/>
        <v>0.72572911780424998</v>
      </c>
      <c r="H83" s="29">
        <f t="shared" si="8"/>
        <v>7.2572911780425001E-4</v>
      </c>
    </row>
    <row r="84" spans="1:8">
      <c r="A84" s="19" t="str">
        <f t="shared" si="6"/>
        <v>Vs-3</v>
      </c>
      <c r="B84" s="19">
        <f t="shared" si="6"/>
        <v>10</v>
      </c>
      <c r="C84" s="19">
        <f t="shared" si="6"/>
        <v>5.1400000000000006</v>
      </c>
      <c r="D84" s="48">
        <f t="shared" si="6"/>
        <v>0.13614515043569997</v>
      </c>
      <c r="E84" s="19">
        <v>0.83599999999999997</v>
      </c>
      <c r="F84" s="19">
        <v>0.59699999999999998</v>
      </c>
      <c r="G84" s="19">
        <f t="shared" si="7"/>
        <v>0.60931506103477162</v>
      </c>
      <c r="H84" s="29">
        <f t="shared" si="8"/>
        <v>6.0931506103477167E-4</v>
      </c>
    </row>
    <row r="85" spans="1:8">
      <c r="A85" s="19" t="str">
        <f t="shared" si="6"/>
        <v>Vs-4</v>
      </c>
      <c r="B85" s="19">
        <f t="shared" si="6"/>
        <v>9</v>
      </c>
      <c r="C85" s="19">
        <f t="shared" si="6"/>
        <v>4.6260000000000003</v>
      </c>
      <c r="D85" s="48">
        <f t="shared" si="6"/>
        <v>0.12253063539212997</v>
      </c>
      <c r="E85" s="19">
        <v>0.80200000000000005</v>
      </c>
      <c r="F85" s="19">
        <v>0.54400000000000004</v>
      </c>
      <c r="G85" s="19">
        <f t="shared" si="7"/>
        <v>0.55729408262330993</v>
      </c>
      <c r="H85" s="29">
        <f t="shared" si="8"/>
        <v>5.5729408262330995E-4</v>
      </c>
    </row>
    <row r="86" spans="1:8">
      <c r="D86" s="54"/>
    </row>
    <row r="87" spans="1:8">
      <c r="A87" s="1" t="s">
        <v>177</v>
      </c>
      <c r="D87" s="54"/>
    </row>
    <row r="88" spans="1:8">
      <c r="D88" s="54"/>
    </row>
    <row r="89" spans="1:8">
      <c r="A89" s="10" t="s">
        <v>19</v>
      </c>
      <c r="B89" s="1">
        <f>B12/B14</f>
        <v>2.5994897113887143</v>
      </c>
    </row>
    <row r="91" spans="1:8">
      <c r="A91" s="10" t="s">
        <v>178</v>
      </c>
    </row>
    <row r="92" spans="1:8">
      <c r="A92" s="10" t="s">
        <v>63</v>
      </c>
      <c r="B92" s="1">
        <f>0.16*(B89-2.5)</f>
        <v>1.5918353822194291E-2</v>
      </c>
    </row>
    <row r="94" spans="1:8">
      <c r="A94" s="33" t="s">
        <v>179</v>
      </c>
    </row>
    <row r="96" spans="1:8">
      <c r="A96" s="10" t="s">
        <v>180</v>
      </c>
      <c r="B96" s="55">
        <v>2.15</v>
      </c>
      <c r="C96" s="1" t="s">
        <v>181</v>
      </c>
    </row>
    <row r="97" spans="1:6">
      <c r="A97" s="10" t="s">
        <v>182</v>
      </c>
      <c r="B97" s="56">
        <f>ABS(B96/B15)</f>
        <v>1.5373614587057561E-2</v>
      </c>
    </row>
    <row r="99" spans="1:6">
      <c r="A99" s="19" t="str">
        <f t="shared" ref="A99:D105" si="9">A79</f>
        <v>Data V</v>
      </c>
      <c r="B99" s="19" t="str">
        <f>B79</f>
        <v>Knot</v>
      </c>
      <c r="C99" s="19" t="str">
        <f>C79</f>
        <v>m/s</v>
      </c>
      <c r="D99" s="19" t="str">
        <f>D79</f>
        <v>Fn</v>
      </c>
      <c r="E99" s="19" t="s">
        <v>183</v>
      </c>
      <c r="F99" s="57" t="s">
        <v>184</v>
      </c>
    </row>
    <row r="100" spans="1:6">
      <c r="A100" s="19" t="str">
        <f t="shared" si="9"/>
        <v>Vs+1</v>
      </c>
      <c r="B100" s="19">
        <f t="shared" si="9"/>
        <v>14</v>
      </c>
      <c r="C100" s="19">
        <f t="shared" si="9"/>
        <v>7.1959999999999997</v>
      </c>
      <c r="D100" s="58">
        <f t="shared" si="9"/>
        <v>0.19060321060997992</v>
      </c>
      <c r="E100" s="59">
        <v>0.01</v>
      </c>
      <c r="F100" s="29">
        <f t="shared" ref="F100:F105" si="10">ABS($B$97-E100)</f>
        <v>5.3736145870575611E-3</v>
      </c>
    </row>
    <row r="101" spans="1:6">
      <c r="A101" s="19" t="str">
        <f t="shared" si="9"/>
        <v>Vs</v>
      </c>
      <c r="B101" s="19">
        <f t="shared" si="9"/>
        <v>13</v>
      </c>
      <c r="C101" s="19">
        <f t="shared" si="9"/>
        <v>6.6820000000000004</v>
      </c>
      <c r="D101" s="58">
        <f t="shared" si="9"/>
        <v>0.17698869556640995</v>
      </c>
      <c r="E101" s="60">
        <v>1.5900000000000001E-2</v>
      </c>
      <c r="F101" s="29">
        <f t="shared" si="10"/>
        <v>5.2638541294243966E-4</v>
      </c>
    </row>
    <row r="102" spans="1:6">
      <c r="A102" s="19" t="str">
        <f t="shared" si="9"/>
        <v>Vs-1</v>
      </c>
      <c r="B102" s="19">
        <f t="shared" si="9"/>
        <v>12</v>
      </c>
      <c r="C102" s="19">
        <f t="shared" si="9"/>
        <v>6.1680000000000001</v>
      </c>
      <c r="D102" s="58">
        <f t="shared" si="9"/>
        <v>0.16337418052283995</v>
      </c>
      <c r="E102" s="60">
        <v>2.215E-2</v>
      </c>
      <c r="F102" s="29">
        <f t="shared" si="10"/>
        <v>6.7763854129424383E-3</v>
      </c>
    </row>
    <row r="103" spans="1:6">
      <c r="A103" s="19" t="str">
        <f t="shared" si="9"/>
        <v>Vs-2</v>
      </c>
      <c r="B103" s="19">
        <f t="shared" si="9"/>
        <v>11</v>
      </c>
      <c r="C103" s="19">
        <f t="shared" si="9"/>
        <v>5.6539999999999999</v>
      </c>
      <c r="D103" s="58">
        <f t="shared" si="9"/>
        <v>0.14975966547926994</v>
      </c>
      <c r="E103" s="60">
        <v>2.8000000000000001E-2</v>
      </c>
      <c r="F103" s="29">
        <f t="shared" si="10"/>
        <v>1.2626385412942439E-2</v>
      </c>
    </row>
    <row r="104" spans="1:6">
      <c r="A104" s="19" t="str">
        <f t="shared" si="9"/>
        <v>Vs-3</v>
      </c>
      <c r="B104" s="19">
        <f t="shared" si="9"/>
        <v>10</v>
      </c>
      <c r="C104" s="19">
        <f t="shared" si="9"/>
        <v>5.1400000000000006</v>
      </c>
      <c r="D104" s="58">
        <f t="shared" si="9"/>
        <v>0.13614515043569997</v>
      </c>
      <c r="E104" s="60">
        <v>3.5200000000000002E-2</v>
      </c>
      <c r="F104" s="29">
        <f t="shared" si="10"/>
        <v>1.9826385412942439E-2</v>
      </c>
    </row>
    <row r="105" spans="1:6">
      <c r="A105" s="19" t="str">
        <f t="shared" si="9"/>
        <v>Vs-4</v>
      </c>
      <c r="B105" s="19">
        <f t="shared" si="9"/>
        <v>9</v>
      </c>
      <c r="C105" s="19">
        <f t="shared" si="9"/>
        <v>4.6260000000000003</v>
      </c>
      <c r="D105" s="58">
        <f t="shared" si="9"/>
        <v>0.12253063539212997</v>
      </c>
      <c r="E105" s="60">
        <v>3.7400000000000003E-2</v>
      </c>
      <c r="F105" s="29">
        <f t="shared" si="10"/>
        <v>2.202638541294244E-2</v>
      </c>
    </row>
    <row r="106" spans="1:6">
      <c r="D106" s="61"/>
      <c r="E106" s="62"/>
      <c r="F106" s="63"/>
    </row>
    <row r="107" spans="1:6">
      <c r="A107" s="1" t="s">
        <v>185</v>
      </c>
      <c r="D107" s="61" t="s">
        <v>186</v>
      </c>
      <c r="E107" s="62"/>
      <c r="F107" s="63"/>
    </row>
    <row r="108" spans="1:6">
      <c r="D108" s="61"/>
      <c r="E108" s="62"/>
      <c r="F108" s="63"/>
    </row>
    <row r="109" spans="1:6">
      <c r="D109" s="61"/>
      <c r="E109" s="62"/>
      <c r="F109" s="63"/>
    </row>
    <row r="110" spans="1:6">
      <c r="B110" s="1">
        <v>0.75</v>
      </c>
      <c r="D110" s="61"/>
      <c r="E110" s="62"/>
      <c r="F110" s="63"/>
    </row>
    <row r="111" spans="1:6">
      <c r="A111" s="1" t="s">
        <v>39</v>
      </c>
      <c r="B111" s="1">
        <v>0.78500000000000003</v>
      </c>
      <c r="D111" s="61"/>
      <c r="E111" s="62"/>
      <c r="F111" s="63"/>
    </row>
    <row r="112" spans="1:6">
      <c r="B112" s="1">
        <v>0.8</v>
      </c>
      <c r="D112" s="61"/>
      <c r="E112" s="62"/>
      <c r="F112" s="63"/>
    </row>
    <row r="113" spans="1:7">
      <c r="D113" s="61"/>
      <c r="E113" s="62"/>
      <c r="F113" s="63"/>
    </row>
    <row r="114" spans="1:7" ht="41.25" customHeight="1">
      <c r="A114" s="19" t="str">
        <f t="shared" ref="A114:D120" si="11">A99</f>
        <v>Data V</v>
      </c>
      <c r="B114" s="19" t="str">
        <f t="shared" si="11"/>
        <v>Knot</v>
      </c>
      <c r="C114" s="19" t="str">
        <f t="shared" si="11"/>
        <v>m/s</v>
      </c>
      <c r="D114" s="19" t="str">
        <f t="shared" si="11"/>
        <v>Fn</v>
      </c>
      <c r="E114" s="64">
        <v>0.75</v>
      </c>
      <c r="F114" s="57"/>
      <c r="G114" s="65">
        <v>0.8</v>
      </c>
    </row>
    <row r="115" spans="1:7">
      <c r="A115" s="46" t="str">
        <f t="shared" si="11"/>
        <v>Vs+1</v>
      </c>
      <c r="B115" s="46">
        <f t="shared" si="11"/>
        <v>14</v>
      </c>
      <c r="C115" s="46">
        <f t="shared" si="11"/>
        <v>7.1959999999999997</v>
      </c>
      <c r="D115" s="66">
        <f t="shared" si="11"/>
        <v>0.19060321060997992</v>
      </c>
      <c r="E115" s="66">
        <v>6.2E-2</v>
      </c>
      <c r="F115" s="66">
        <f t="shared" ref="F115:F120" si="12">(($B$111-$B$110)*(G115-E115)/($B$112-$B$110))+E115</f>
        <v>0.15860000000000002</v>
      </c>
      <c r="G115" s="66">
        <v>0.2</v>
      </c>
    </row>
    <row r="116" spans="1:7">
      <c r="A116" s="46" t="str">
        <f t="shared" si="11"/>
        <v>Vs</v>
      </c>
      <c r="B116" s="46">
        <f t="shared" si="11"/>
        <v>13</v>
      </c>
      <c r="C116" s="46">
        <f t="shared" si="11"/>
        <v>6.6820000000000004</v>
      </c>
      <c r="D116" s="66">
        <f t="shared" si="11"/>
        <v>0.17698869556640995</v>
      </c>
      <c r="E116" s="67">
        <v>0</v>
      </c>
      <c r="F116" s="66">
        <f t="shared" si="12"/>
        <v>7.980000000000001E-2</v>
      </c>
      <c r="G116" s="66">
        <v>0.114</v>
      </c>
    </row>
    <row r="117" spans="1:7">
      <c r="A117" s="46" t="str">
        <f t="shared" si="11"/>
        <v>Vs-1</v>
      </c>
      <c r="B117" s="46">
        <f t="shared" si="11"/>
        <v>12</v>
      </c>
      <c r="C117" s="46">
        <f t="shared" si="11"/>
        <v>6.1680000000000001</v>
      </c>
      <c r="D117" s="66">
        <f t="shared" si="11"/>
        <v>0.16337418052283995</v>
      </c>
      <c r="E117" s="67">
        <v>0</v>
      </c>
      <c r="F117" s="66">
        <f t="shared" si="12"/>
        <v>2.3800000000000002E-2</v>
      </c>
      <c r="G117" s="66">
        <v>3.4000000000000002E-2</v>
      </c>
    </row>
    <row r="118" spans="1:7">
      <c r="A118" s="46" t="str">
        <f t="shared" si="11"/>
        <v>Vs-2</v>
      </c>
      <c r="B118" s="46">
        <f t="shared" si="11"/>
        <v>11</v>
      </c>
      <c r="C118" s="46">
        <f t="shared" si="11"/>
        <v>5.6539999999999999</v>
      </c>
      <c r="D118" s="66">
        <f t="shared" si="11"/>
        <v>0.14975966547926994</v>
      </c>
      <c r="E118" s="67">
        <v>0</v>
      </c>
      <c r="F118" s="66">
        <f t="shared" si="12"/>
        <v>0</v>
      </c>
      <c r="G118" s="66">
        <v>0</v>
      </c>
    </row>
    <row r="119" spans="1:7">
      <c r="A119" s="46" t="str">
        <f t="shared" si="11"/>
        <v>Vs-3</v>
      </c>
      <c r="B119" s="46">
        <f t="shared" si="11"/>
        <v>10</v>
      </c>
      <c r="C119" s="46">
        <f t="shared" si="11"/>
        <v>5.1400000000000006</v>
      </c>
      <c r="D119" s="66">
        <f t="shared" si="11"/>
        <v>0.13614515043569997</v>
      </c>
      <c r="E119" s="67">
        <v>0</v>
      </c>
      <c r="F119" s="66">
        <f t="shared" si="12"/>
        <v>0</v>
      </c>
      <c r="G119" s="66">
        <v>0</v>
      </c>
    </row>
    <row r="120" spans="1:7">
      <c r="A120" s="46" t="str">
        <f t="shared" si="11"/>
        <v>Vs-4</v>
      </c>
      <c r="B120" s="46">
        <f t="shared" si="11"/>
        <v>9</v>
      </c>
      <c r="C120" s="46">
        <f t="shared" si="11"/>
        <v>4.6260000000000003</v>
      </c>
      <c r="D120" s="66">
        <f t="shared" si="11"/>
        <v>0.12253063539212997</v>
      </c>
      <c r="E120" s="67">
        <v>0</v>
      </c>
      <c r="F120" s="66">
        <f t="shared" si="12"/>
        <v>0</v>
      </c>
      <c r="G120" s="66">
        <v>0</v>
      </c>
    </row>
    <row r="121" spans="1:7">
      <c r="D121" s="61"/>
      <c r="E121" s="62"/>
      <c r="F121" s="63"/>
    </row>
    <row r="122" spans="1:7">
      <c r="A122" s="1" t="s">
        <v>187</v>
      </c>
      <c r="D122" s="61"/>
      <c r="E122" s="62"/>
      <c r="F122" s="63"/>
    </row>
    <row r="123" spans="1:7" ht="39" customHeight="1">
      <c r="A123" s="19" t="str">
        <f>A114</f>
        <v>Data V</v>
      </c>
      <c r="B123" s="19" t="str">
        <f>B114</f>
        <v>Knot</v>
      </c>
      <c r="C123" s="19" t="str">
        <f>C114</f>
        <v>m/s</v>
      </c>
      <c r="D123" s="19" t="str">
        <f>D114</f>
        <v>Fn</v>
      </c>
      <c r="E123" s="60"/>
      <c r="F123" s="57" t="s">
        <v>184</v>
      </c>
      <c r="G123" s="19" t="s">
        <v>188</v>
      </c>
    </row>
    <row r="124" spans="1:7">
      <c r="A124" s="19" t="str">
        <f t="shared" ref="A124:D128" si="13">A115</f>
        <v>Vs+1</v>
      </c>
      <c r="B124" s="19">
        <f t="shared" si="13"/>
        <v>14</v>
      </c>
      <c r="C124" s="19">
        <f t="shared" si="13"/>
        <v>7.1959999999999997</v>
      </c>
      <c r="D124" s="19">
        <f t="shared" si="13"/>
        <v>0.19060321060997992</v>
      </c>
      <c r="E124" s="48">
        <f t="shared" ref="E124:E129" si="14">F115</f>
        <v>0.15860000000000002</v>
      </c>
      <c r="F124" s="29">
        <f t="shared" ref="F124:F129" si="15">F100</f>
        <v>5.3736145870575611E-3</v>
      </c>
      <c r="G124" s="19">
        <f t="shared" ref="G124:G129" si="16">E124*ABS(F124)</f>
        <v>8.5225527350732931E-4</v>
      </c>
    </row>
    <row r="125" spans="1:7">
      <c r="A125" s="19" t="str">
        <f t="shared" si="13"/>
        <v>Vs</v>
      </c>
      <c r="B125" s="19">
        <f t="shared" si="13"/>
        <v>13</v>
      </c>
      <c r="C125" s="19">
        <f t="shared" si="13"/>
        <v>6.6820000000000004</v>
      </c>
      <c r="D125" s="19">
        <f t="shared" si="13"/>
        <v>0.17698869556640995</v>
      </c>
      <c r="E125" s="48">
        <f t="shared" si="14"/>
        <v>7.980000000000001E-2</v>
      </c>
      <c r="F125" s="29">
        <f t="shared" si="15"/>
        <v>5.2638541294243966E-4</v>
      </c>
      <c r="G125" s="68">
        <f t="shared" si="16"/>
        <v>4.2005555952806688E-5</v>
      </c>
    </row>
    <row r="126" spans="1:7">
      <c r="A126" s="19" t="str">
        <f t="shared" si="13"/>
        <v>Vs-1</v>
      </c>
      <c r="B126" s="19">
        <f t="shared" si="13"/>
        <v>12</v>
      </c>
      <c r="C126" s="19">
        <f t="shared" si="13"/>
        <v>6.1680000000000001</v>
      </c>
      <c r="D126" s="19">
        <f t="shared" si="13"/>
        <v>0.16337418052283995</v>
      </c>
      <c r="E126" s="48">
        <f t="shared" si="14"/>
        <v>2.3800000000000002E-2</v>
      </c>
      <c r="F126" s="29">
        <f t="shared" si="15"/>
        <v>6.7763854129424383E-3</v>
      </c>
      <c r="G126" s="19">
        <f t="shared" si="16"/>
        <v>1.6127797282803005E-4</v>
      </c>
    </row>
    <row r="127" spans="1:7">
      <c r="A127" s="19" t="str">
        <f t="shared" si="13"/>
        <v>Vs-2</v>
      </c>
      <c r="B127" s="19">
        <f t="shared" si="13"/>
        <v>11</v>
      </c>
      <c r="C127" s="19">
        <f t="shared" si="13"/>
        <v>5.6539999999999999</v>
      </c>
      <c r="D127" s="19">
        <f t="shared" si="13"/>
        <v>0.14975966547926994</v>
      </c>
      <c r="E127" s="48">
        <f t="shared" si="14"/>
        <v>0</v>
      </c>
      <c r="F127" s="29">
        <f t="shared" si="15"/>
        <v>1.2626385412942439E-2</v>
      </c>
      <c r="G127" s="69">
        <f t="shared" si="16"/>
        <v>0</v>
      </c>
    </row>
    <row r="128" spans="1:7">
      <c r="A128" s="19" t="str">
        <f t="shared" si="13"/>
        <v>Vs-3</v>
      </c>
      <c r="B128" s="19">
        <f t="shared" si="13"/>
        <v>10</v>
      </c>
      <c r="C128" s="19">
        <f t="shared" si="13"/>
        <v>5.1400000000000006</v>
      </c>
      <c r="D128" s="19">
        <f t="shared" si="13"/>
        <v>0.13614515043569997</v>
      </c>
      <c r="E128" s="48">
        <f t="shared" si="14"/>
        <v>0</v>
      </c>
      <c r="F128" s="29">
        <f t="shared" si="15"/>
        <v>1.9826385412942439E-2</v>
      </c>
      <c r="G128" s="19">
        <f t="shared" si="16"/>
        <v>0</v>
      </c>
    </row>
    <row r="129" spans="1:9">
      <c r="A129" s="19" t="str">
        <f>A120</f>
        <v>Vs-4</v>
      </c>
      <c r="B129" s="19">
        <f>B120</f>
        <v>9</v>
      </c>
      <c r="C129" s="19">
        <f>C120</f>
        <v>4.6260000000000003</v>
      </c>
      <c r="D129" s="19">
        <f>D120</f>
        <v>0.12253063539212997</v>
      </c>
      <c r="E129" s="48">
        <f t="shared" si="14"/>
        <v>0</v>
      </c>
      <c r="F129" s="29">
        <f t="shared" si="15"/>
        <v>2.202638541294244E-2</v>
      </c>
      <c r="G129" s="19">
        <f t="shared" si="16"/>
        <v>0</v>
      </c>
    </row>
    <row r="130" spans="1:9">
      <c r="A130" s="49"/>
      <c r="B130" s="49"/>
      <c r="C130" s="49"/>
      <c r="D130" s="49"/>
      <c r="E130" s="70"/>
      <c r="F130" s="71"/>
      <c r="G130" s="49"/>
    </row>
    <row r="131" spans="1:9">
      <c r="A131" s="72" t="s">
        <v>189</v>
      </c>
      <c r="B131" s="49"/>
      <c r="C131" s="49"/>
      <c r="D131" s="49"/>
      <c r="E131" s="70"/>
      <c r="F131" s="71"/>
      <c r="G131" s="49"/>
    </row>
    <row r="132" spans="1:9">
      <c r="A132" s="46" t="str">
        <f t="shared" ref="A132:D138" si="17">A123</f>
        <v>Data V</v>
      </c>
      <c r="B132" s="46" t="str">
        <f t="shared" si="17"/>
        <v>Knot</v>
      </c>
      <c r="C132" s="46" t="str">
        <f t="shared" si="17"/>
        <v>m/s</v>
      </c>
      <c r="D132" s="46" t="str">
        <f t="shared" si="17"/>
        <v>Fn</v>
      </c>
      <c r="E132" s="46" t="s">
        <v>190</v>
      </c>
      <c r="F132" s="73" t="s">
        <v>191</v>
      </c>
      <c r="G132" s="46" t="s">
        <v>188</v>
      </c>
      <c r="H132" s="46" t="s">
        <v>192</v>
      </c>
      <c r="I132" s="46" t="s">
        <v>193</v>
      </c>
    </row>
    <row r="133" spans="1:9">
      <c r="A133" s="46" t="str">
        <f t="shared" si="17"/>
        <v>Vs+1</v>
      </c>
      <c r="B133" s="46">
        <f t="shared" si="17"/>
        <v>14</v>
      </c>
      <c r="C133" s="46">
        <f t="shared" si="17"/>
        <v>7.1959999999999997</v>
      </c>
      <c r="D133" s="46">
        <f t="shared" si="17"/>
        <v>0.19060321060997992</v>
      </c>
      <c r="E133" s="66">
        <f t="shared" ref="E133:E138" si="18">G80</f>
        <v>1.1882749413650999</v>
      </c>
      <c r="F133" s="73">
        <f t="shared" ref="F133:F138" si="19">$B$92</f>
        <v>1.5918353822194291E-2</v>
      </c>
      <c r="G133" s="46">
        <f t="shared" ref="G133:G138" si="20">G124</f>
        <v>8.5225527350732931E-4</v>
      </c>
      <c r="H133" s="66">
        <f t="shared" ref="H133:H138" si="21">SUM(E133:G133)</f>
        <v>1.2050455504608015</v>
      </c>
      <c r="I133" s="46">
        <f t="shared" ref="I133:I138" si="22">H133/1000</f>
        <v>1.2050455504608016E-3</v>
      </c>
    </row>
    <row r="134" spans="1:9">
      <c r="A134" s="46" t="str">
        <f t="shared" si="17"/>
        <v>Vs</v>
      </c>
      <c r="B134" s="46">
        <f t="shared" si="17"/>
        <v>13</v>
      </c>
      <c r="C134" s="46">
        <f t="shared" si="17"/>
        <v>6.6820000000000004</v>
      </c>
      <c r="D134" s="46">
        <f t="shared" si="17"/>
        <v>0.17698869556640995</v>
      </c>
      <c r="E134" s="66">
        <f t="shared" si="18"/>
        <v>0.95899632569349658</v>
      </c>
      <c r="F134" s="73">
        <f t="shared" si="19"/>
        <v>1.5918353822194291E-2</v>
      </c>
      <c r="G134" s="46">
        <f t="shared" si="20"/>
        <v>4.2005555952806688E-5</v>
      </c>
      <c r="H134" s="66">
        <f t="shared" si="21"/>
        <v>0.97495668507164368</v>
      </c>
      <c r="I134" s="46">
        <f t="shared" si="22"/>
        <v>9.7495668507164364E-4</v>
      </c>
    </row>
    <row r="135" spans="1:9">
      <c r="A135" s="46" t="str">
        <f t="shared" si="17"/>
        <v>Vs-1</v>
      </c>
      <c r="B135" s="46">
        <f t="shared" si="17"/>
        <v>12</v>
      </c>
      <c r="C135" s="46">
        <f t="shared" si="17"/>
        <v>6.1680000000000001</v>
      </c>
      <c r="D135" s="46">
        <f t="shared" si="17"/>
        <v>0.16337418052283995</v>
      </c>
      <c r="E135" s="66">
        <f t="shared" si="18"/>
        <v>0.80468716098132664</v>
      </c>
      <c r="F135" s="73">
        <f t="shared" si="19"/>
        <v>1.5918353822194291E-2</v>
      </c>
      <c r="G135" s="46">
        <f t="shared" si="20"/>
        <v>1.6127797282803005E-4</v>
      </c>
      <c r="H135" s="66">
        <f t="shared" si="21"/>
        <v>0.82076679277634901</v>
      </c>
      <c r="I135" s="46">
        <f t="shared" si="22"/>
        <v>8.2076679277634903E-4</v>
      </c>
    </row>
    <row r="136" spans="1:9">
      <c r="A136" s="46" t="str">
        <f t="shared" si="17"/>
        <v>Vs-2</v>
      </c>
      <c r="B136" s="46">
        <f t="shared" si="17"/>
        <v>11</v>
      </c>
      <c r="C136" s="46">
        <f t="shared" si="17"/>
        <v>5.6539999999999999</v>
      </c>
      <c r="D136" s="46">
        <f t="shared" si="17"/>
        <v>0.14975966547926994</v>
      </c>
      <c r="E136" s="66">
        <f t="shared" si="18"/>
        <v>0.72572911780424998</v>
      </c>
      <c r="F136" s="73">
        <f t="shared" si="19"/>
        <v>1.5918353822194291E-2</v>
      </c>
      <c r="G136" s="46">
        <f t="shared" si="20"/>
        <v>0</v>
      </c>
      <c r="H136" s="66">
        <f t="shared" si="21"/>
        <v>0.74164747162644429</v>
      </c>
      <c r="I136" s="46">
        <f t="shared" si="22"/>
        <v>7.4164747162644429E-4</v>
      </c>
    </row>
    <row r="137" spans="1:9">
      <c r="A137" s="46" t="str">
        <f t="shared" si="17"/>
        <v>Vs-3</v>
      </c>
      <c r="B137" s="46">
        <f t="shared" si="17"/>
        <v>10</v>
      </c>
      <c r="C137" s="46">
        <f t="shared" si="17"/>
        <v>5.1400000000000006</v>
      </c>
      <c r="D137" s="46">
        <f t="shared" si="17"/>
        <v>0.13614515043569997</v>
      </c>
      <c r="E137" s="66">
        <f t="shared" si="18"/>
        <v>0.60931506103477162</v>
      </c>
      <c r="F137" s="73">
        <f t="shared" si="19"/>
        <v>1.5918353822194291E-2</v>
      </c>
      <c r="G137" s="46">
        <f t="shared" si="20"/>
        <v>0</v>
      </c>
      <c r="H137" s="66">
        <f t="shared" si="21"/>
        <v>0.62523341485696593</v>
      </c>
      <c r="I137" s="46">
        <f t="shared" si="22"/>
        <v>6.2523341485696594E-4</v>
      </c>
    </row>
    <row r="138" spans="1:9">
      <c r="A138" s="46" t="str">
        <f t="shared" si="17"/>
        <v>Vs-4</v>
      </c>
      <c r="B138" s="46">
        <f t="shared" si="17"/>
        <v>9</v>
      </c>
      <c r="C138" s="46">
        <f t="shared" si="17"/>
        <v>4.6260000000000003</v>
      </c>
      <c r="D138" s="46">
        <f t="shared" si="17"/>
        <v>0.12253063539212997</v>
      </c>
      <c r="E138" s="66">
        <f t="shared" si="18"/>
        <v>0.55729408262330993</v>
      </c>
      <c r="F138" s="73">
        <f t="shared" si="19"/>
        <v>1.5918353822194291E-2</v>
      </c>
      <c r="G138" s="46">
        <f t="shared" si="20"/>
        <v>0</v>
      </c>
      <c r="H138" s="66">
        <f t="shared" si="21"/>
        <v>0.57321243644550424</v>
      </c>
      <c r="I138" s="46">
        <f t="shared" si="22"/>
        <v>5.7321243644550422E-4</v>
      </c>
    </row>
    <row r="140" spans="1:9">
      <c r="A140" s="1" t="s">
        <v>194</v>
      </c>
    </row>
    <row r="142" spans="1:9">
      <c r="A142" s="1" t="s">
        <v>195</v>
      </c>
    </row>
    <row r="143" spans="1:9">
      <c r="A143" s="46" t="s">
        <v>196</v>
      </c>
      <c r="B143" s="46" t="s">
        <v>197</v>
      </c>
      <c r="C143" s="46" t="s">
        <v>198</v>
      </c>
    </row>
    <row r="144" spans="1:9">
      <c r="A144" s="46">
        <v>100</v>
      </c>
      <c r="B144" s="46">
        <v>0.4</v>
      </c>
      <c r="C144" s="46">
        <f>B144/1000</f>
        <v>4.0000000000000002E-4</v>
      </c>
    </row>
    <row r="145" spans="1:7">
      <c r="A145" s="46">
        <v>145.44399999999999</v>
      </c>
      <c r="B145" s="46">
        <f>((A145-A144)*(B146-B144)/(A146-A144))+B144</f>
        <v>0.21822400000000008</v>
      </c>
      <c r="C145" s="46">
        <f>B145/1000</f>
        <v>2.182240000000001E-4</v>
      </c>
    </row>
    <row r="146" spans="1:7">
      <c r="A146" s="46">
        <v>150</v>
      </c>
      <c r="B146" s="46">
        <v>0.2</v>
      </c>
      <c r="C146" s="46">
        <f>B146/1000</f>
        <v>2.0000000000000001E-4</v>
      </c>
    </row>
    <row r="148" spans="1:7">
      <c r="A148" s="1" t="s">
        <v>199</v>
      </c>
    </row>
    <row r="150" spans="1:7">
      <c r="A150" s="1" t="s">
        <v>200</v>
      </c>
    </row>
    <row r="151" spans="1:7">
      <c r="A151" s="1" t="s">
        <v>201</v>
      </c>
      <c r="B151" s="1">
        <v>6.9999999999999994E-5</v>
      </c>
    </row>
    <row r="153" spans="1:7">
      <c r="A153" s="1" t="s">
        <v>202</v>
      </c>
    </row>
    <row r="155" spans="1:7">
      <c r="A155" s="47" t="s">
        <v>203</v>
      </c>
    </row>
    <row r="156" spans="1:7">
      <c r="A156" s="10" t="s">
        <v>204</v>
      </c>
      <c r="B156" s="1">
        <v>4.0000000000000003E-5</v>
      </c>
    </row>
    <row r="158" spans="1:7">
      <c r="A158" s="664" t="s">
        <v>205</v>
      </c>
      <c r="B158" s="664"/>
      <c r="C158" s="664"/>
      <c r="D158" s="664"/>
      <c r="E158" s="664"/>
      <c r="F158" s="664"/>
      <c r="G158" s="664"/>
    </row>
    <row r="160" spans="1:7">
      <c r="A160" s="2" t="s">
        <v>206</v>
      </c>
    </row>
    <row r="162" spans="1:7">
      <c r="A162" s="1" t="s">
        <v>207</v>
      </c>
    </row>
    <row r="163" spans="1:7">
      <c r="A163" s="1" t="s">
        <v>208</v>
      </c>
    </row>
    <row r="165" spans="1:7">
      <c r="A165" s="19" t="str">
        <f t="shared" ref="A165:B172" si="23">A62</f>
        <v>Data V</v>
      </c>
      <c r="B165" s="19" t="str">
        <f t="shared" si="23"/>
        <v>Knot</v>
      </c>
      <c r="C165" s="19" t="s">
        <v>80</v>
      </c>
      <c r="D165" s="19" t="s">
        <v>209</v>
      </c>
      <c r="E165" s="19" t="s">
        <v>198</v>
      </c>
      <c r="F165" s="19" t="s">
        <v>210</v>
      </c>
      <c r="G165" s="19" t="s">
        <v>211</v>
      </c>
    </row>
    <row r="166" spans="1:7">
      <c r="A166" s="19" t="str">
        <f t="shared" si="23"/>
        <v>Vs+1</v>
      </c>
      <c r="B166" s="19">
        <f t="shared" si="23"/>
        <v>14</v>
      </c>
      <c r="C166" s="19">
        <f t="shared" ref="C166:C172" si="24">E47</f>
        <v>9.1190298361887659E-4</v>
      </c>
      <c r="D166" s="19">
        <f>I133</f>
        <v>1.2050455504608016E-3</v>
      </c>
      <c r="E166" s="19">
        <f>$C$145</f>
        <v>2.182240000000001E-4</v>
      </c>
      <c r="F166" s="19">
        <f>$B$156</f>
        <v>4.0000000000000003E-5</v>
      </c>
      <c r="G166" s="74">
        <f>SUM(C166:F166)</f>
        <v>2.3751725340796781E-3</v>
      </c>
    </row>
    <row r="167" spans="1:7">
      <c r="A167" s="19" t="str">
        <f t="shared" si="23"/>
        <v>Vs</v>
      </c>
      <c r="B167" s="19">
        <f t="shared" si="23"/>
        <v>13</v>
      </c>
      <c r="C167" s="19">
        <f t="shared" si="24"/>
        <v>9.1841009523165496E-4</v>
      </c>
      <c r="D167" s="19">
        <f t="shared" ref="D167:D172" si="25">I134</f>
        <v>9.7495668507164364E-4</v>
      </c>
      <c r="E167" s="19">
        <f t="shared" ref="E167:E172" si="26">$C$145</f>
        <v>2.182240000000001E-4</v>
      </c>
      <c r="F167" s="19">
        <f t="shared" ref="F167:F172" si="27">$B$156</f>
        <v>4.0000000000000003E-5</v>
      </c>
      <c r="G167" s="74">
        <f t="shared" ref="G167:G172" si="28">SUM(C167:F167)</f>
        <v>2.1515907803032986E-3</v>
      </c>
    </row>
    <row r="168" spans="1:7">
      <c r="A168" s="19" t="str">
        <f t="shared" si="23"/>
        <v>Vs-1</v>
      </c>
      <c r="B168" s="19">
        <f t="shared" si="23"/>
        <v>12</v>
      </c>
      <c r="C168" s="19">
        <f t="shared" si="24"/>
        <v>9.2551686083838325E-4</v>
      </c>
      <c r="D168" s="19">
        <f t="shared" si="25"/>
        <v>8.2076679277634903E-4</v>
      </c>
      <c r="E168" s="19">
        <f t="shared" si="26"/>
        <v>2.182240000000001E-4</v>
      </c>
      <c r="F168" s="19">
        <f t="shared" si="27"/>
        <v>4.0000000000000003E-5</v>
      </c>
      <c r="G168" s="74">
        <f t="shared" si="28"/>
        <v>2.0045076536147322E-3</v>
      </c>
    </row>
    <row r="169" spans="1:7">
      <c r="A169" s="19" t="str">
        <f t="shared" si="23"/>
        <v>Vs-2</v>
      </c>
      <c r="B169" s="19">
        <f t="shared" si="23"/>
        <v>11</v>
      </c>
      <c r="C169" s="19">
        <f t="shared" si="24"/>
        <v>9.3333633519521837E-4</v>
      </c>
      <c r="D169" s="19">
        <f t="shared" si="25"/>
        <v>7.4164747162644429E-4</v>
      </c>
      <c r="E169" s="19">
        <f t="shared" si="26"/>
        <v>2.182240000000001E-4</v>
      </c>
      <c r="F169" s="19">
        <f t="shared" si="27"/>
        <v>4.0000000000000003E-5</v>
      </c>
      <c r="G169" s="74">
        <f t="shared" si="28"/>
        <v>1.9332078068216628E-3</v>
      </c>
    </row>
    <row r="170" spans="1:7">
      <c r="A170" s="19" t="str">
        <f t="shared" si="23"/>
        <v>Vs-3</v>
      </c>
      <c r="B170" s="19">
        <f t="shared" si="23"/>
        <v>10</v>
      </c>
      <c r="C170" s="19">
        <f t="shared" si="24"/>
        <v>9.4201586946763909E-4</v>
      </c>
      <c r="D170" s="19">
        <f t="shared" si="25"/>
        <v>6.2523341485696594E-4</v>
      </c>
      <c r="E170" s="19">
        <f t="shared" si="26"/>
        <v>2.182240000000001E-4</v>
      </c>
      <c r="F170" s="19">
        <f t="shared" si="27"/>
        <v>4.0000000000000003E-5</v>
      </c>
      <c r="G170" s="74">
        <f t="shared" si="28"/>
        <v>1.8254732843246053E-3</v>
      </c>
    </row>
    <row r="171" spans="1:7">
      <c r="A171" s="19" t="str">
        <f t="shared" si="23"/>
        <v>Vs-4</v>
      </c>
      <c r="B171" s="19">
        <f t="shared" si="23"/>
        <v>9</v>
      </c>
      <c r="C171" s="19">
        <f t="shared" si="24"/>
        <v>9.5175229649439028E-4</v>
      </c>
      <c r="D171" s="19">
        <f t="shared" si="25"/>
        <v>5.7321243644550422E-4</v>
      </c>
      <c r="E171" s="19">
        <f t="shared" si="26"/>
        <v>2.182240000000001E-4</v>
      </c>
      <c r="F171" s="19">
        <f t="shared" si="27"/>
        <v>4.0000000000000003E-5</v>
      </c>
      <c r="G171" s="74">
        <f t="shared" si="28"/>
        <v>1.7831887329398948E-3</v>
      </c>
    </row>
    <row r="172" spans="1:7">
      <c r="A172" s="19" t="str">
        <f t="shared" si="23"/>
        <v>Vs-5</v>
      </c>
      <c r="B172" s="19">
        <f t="shared" si="23"/>
        <v>8</v>
      </c>
      <c r="C172" s="19">
        <f t="shared" si="24"/>
        <v>9.6281646584401735E-4</v>
      </c>
      <c r="D172" s="19">
        <f t="shared" si="25"/>
        <v>0</v>
      </c>
      <c r="E172" s="19">
        <f t="shared" si="26"/>
        <v>2.182240000000001E-4</v>
      </c>
      <c r="F172" s="19">
        <f t="shared" si="27"/>
        <v>4.0000000000000003E-5</v>
      </c>
      <c r="G172" s="74">
        <f t="shared" si="28"/>
        <v>1.2210404658440175E-3</v>
      </c>
    </row>
    <row r="174" spans="1:7">
      <c r="A174" s="2" t="s">
        <v>212</v>
      </c>
      <c r="B174" s="2"/>
    </row>
    <row r="176" spans="1:7">
      <c r="A176" s="2" t="s">
        <v>213</v>
      </c>
      <c r="B176" s="2"/>
    </row>
    <row r="177" spans="1:7">
      <c r="A177" s="10" t="s">
        <v>72</v>
      </c>
      <c r="B177" s="1" t="s">
        <v>214</v>
      </c>
    </row>
    <row r="178" spans="1:7">
      <c r="A178" s="10" t="s">
        <v>63</v>
      </c>
      <c r="B178" s="1">
        <f>(1.025*B16*((B19*B12)+(1.7*B14)))</f>
        <v>5016.857911429649</v>
      </c>
      <c r="C178" s="1" t="s">
        <v>215</v>
      </c>
    </row>
    <row r="180" spans="1:7">
      <c r="A180" s="2" t="s">
        <v>216</v>
      </c>
    </row>
    <row r="184" spans="1:7">
      <c r="A184" s="19" t="str">
        <f>A165</f>
        <v>Data V</v>
      </c>
      <c r="B184" s="19" t="s">
        <v>217</v>
      </c>
      <c r="C184" s="19" t="s">
        <v>218</v>
      </c>
      <c r="D184" s="19" t="s">
        <v>219</v>
      </c>
      <c r="E184" s="19" t="s">
        <v>220</v>
      </c>
    </row>
    <row r="185" spans="1:7">
      <c r="A185" s="19" t="str">
        <f t="shared" ref="A185:B191" si="29">A166</f>
        <v>Vs+1</v>
      </c>
      <c r="B185" s="19">
        <f t="shared" si="29"/>
        <v>14</v>
      </c>
      <c r="C185" s="74">
        <f t="shared" ref="C185:C191" si="30">C63</f>
        <v>7.1959999999999997</v>
      </c>
      <c r="D185" s="74">
        <f t="shared" ref="D185:D191" si="31">G166</f>
        <v>2.3751725340796781E-3</v>
      </c>
      <c r="E185" s="19">
        <f>0.5*1.025*D185*$B$178*(C185^2)</f>
        <v>316.23005430552263</v>
      </c>
      <c r="G185" s="75">
        <f>(2*E185)/(1.025*$B$178*C185^2)</f>
        <v>2.3751725340796781E-3</v>
      </c>
    </row>
    <row r="186" spans="1:7">
      <c r="A186" s="19" t="str">
        <f t="shared" si="29"/>
        <v>Vs</v>
      </c>
      <c r="B186" s="19">
        <f t="shared" si="29"/>
        <v>13</v>
      </c>
      <c r="C186" s="74">
        <f t="shared" si="30"/>
        <v>6.6820000000000004</v>
      </c>
      <c r="D186" s="74">
        <f t="shared" si="31"/>
        <v>2.1515907803032986E-3</v>
      </c>
      <c r="E186" s="19">
        <f t="shared" ref="E186:E191" si="32">0.5*1.025*D186*$B$178*(C186^2)</f>
        <v>247.00075911046846</v>
      </c>
      <c r="G186" s="75">
        <f t="shared" ref="G186:G191" si="33">(2*E186)/(1.025*$B$178*C186^2)</f>
        <v>2.1515907803032991E-3</v>
      </c>
    </row>
    <row r="187" spans="1:7">
      <c r="A187" s="19" t="str">
        <f t="shared" si="29"/>
        <v>Vs-1</v>
      </c>
      <c r="B187" s="19">
        <f t="shared" si="29"/>
        <v>12</v>
      </c>
      <c r="C187" s="74">
        <f t="shared" si="30"/>
        <v>6.1680000000000001</v>
      </c>
      <c r="D187" s="74">
        <f t="shared" si="31"/>
        <v>2.0045076536147322E-3</v>
      </c>
      <c r="E187" s="19">
        <f t="shared" si="32"/>
        <v>196.0749530288837</v>
      </c>
      <c r="G187" s="75">
        <f t="shared" si="33"/>
        <v>2.0045076536147322E-3</v>
      </c>
    </row>
    <row r="188" spans="1:7">
      <c r="A188" s="19" t="str">
        <f t="shared" si="29"/>
        <v>Vs-2</v>
      </c>
      <c r="B188" s="19">
        <f t="shared" si="29"/>
        <v>11</v>
      </c>
      <c r="C188" s="74">
        <f t="shared" si="30"/>
        <v>5.6539999999999999</v>
      </c>
      <c r="D188" s="74">
        <f t="shared" si="31"/>
        <v>1.9332078068216628E-3</v>
      </c>
      <c r="E188" s="19">
        <f t="shared" si="32"/>
        <v>158.89704448442245</v>
      </c>
      <c r="G188" s="75">
        <f t="shared" si="33"/>
        <v>1.9332078068216632E-3</v>
      </c>
    </row>
    <row r="189" spans="1:7">
      <c r="A189" s="19" t="str">
        <f t="shared" si="29"/>
        <v>Vs-3</v>
      </c>
      <c r="B189" s="19">
        <f t="shared" si="29"/>
        <v>10</v>
      </c>
      <c r="C189" s="74">
        <f t="shared" si="30"/>
        <v>5.1400000000000006</v>
      </c>
      <c r="D189" s="74">
        <f t="shared" si="31"/>
        <v>1.8254732843246053E-3</v>
      </c>
      <c r="E189" s="19">
        <f t="shared" si="32"/>
        <v>124.00162891550607</v>
      </c>
      <c r="G189" s="75">
        <f t="shared" si="33"/>
        <v>1.8254732843246055E-3</v>
      </c>
    </row>
    <row r="190" spans="1:7">
      <c r="A190" s="19" t="str">
        <f t="shared" si="29"/>
        <v>Vs-4</v>
      </c>
      <c r="B190" s="19">
        <f t="shared" si="29"/>
        <v>9</v>
      </c>
      <c r="C190" s="74">
        <f t="shared" si="30"/>
        <v>4.6260000000000003</v>
      </c>
      <c r="D190" s="74">
        <f t="shared" si="31"/>
        <v>1.7831887329398948E-3</v>
      </c>
      <c r="E190" s="19">
        <f t="shared" si="32"/>
        <v>98.1147358617241</v>
      </c>
      <c r="G190" s="75">
        <f t="shared" si="33"/>
        <v>1.7831887329398945E-3</v>
      </c>
    </row>
    <row r="191" spans="1:7">
      <c r="A191" s="19" t="str">
        <f t="shared" si="29"/>
        <v>Vs-5</v>
      </c>
      <c r="B191" s="19">
        <f t="shared" si="29"/>
        <v>8</v>
      </c>
      <c r="C191" s="74">
        <f t="shared" si="30"/>
        <v>4.1120000000000001</v>
      </c>
      <c r="D191" s="74">
        <f t="shared" si="31"/>
        <v>1.2210404658440175E-3</v>
      </c>
      <c r="E191" s="19">
        <f t="shared" si="32"/>
        <v>53.083792101155105</v>
      </c>
      <c r="G191" s="75">
        <f t="shared" si="33"/>
        <v>1.2210404658440175E-3</v>
      </c>
    </row>
    <row r="193" spans="1:13">
      <c r="A193" s="2" t="s">
        <v>221</v>
      </c>
      <c r="B193" s="2"/>
    </row>
    <row r="195" spans="1:13">
      <c r="A195" s="10" t="s">
        <v>72</v>
      </c>
      <c r="B195" s="1" t="s">
        <v>222</v>
      </c>
    </row>
    <row r="196" spans="1:13">
      <c r="A196" s="10" t="s">
        <v>63</v>
      </c>
      <c r="B196" s="1">
        <f>0.5*(B12^2)</f>
        <v>276.94811249999998</v>
      </c>
      <c r="C196" s="1" t="s">
        <v>215</v>
      </c>
    </row>
    <row r="198" spans="1:13">
      <c r="A198" s="2" t="s">
        <v>223</v>
      </c>
    </row>
    <row r="202" spans="1:13">
      <c r="A202" s="19" t="str">
        <f t="shared" ref="A202:C209" si="34">A184</f>
        <v>Data V</v>
      </c>
      <c r="B202" s="19" t="str">
        <f t="shared" si="34"/>
        <v>V (Knot)</v>
      </c>
      <c r="C202" s="19" t="str">
        <f t="shared" si="34"/>
        <v>V (m/s)</v>
      </c>
      <c r="D202" s="19" t="s">
        <v>224</v>
      </c>
      <c r="E202" s="19" t="s">
        <v>225</v>
      </c>
      <c r="H202" s="1">
        <v>1000</v>
      </c>
      <c r="L202" s="1">
        <f>1.2/M202</f>
        <v>1.1999999999999999E-3</v>
      </c>
      <c r="M202" s="1">
        <v>1000</v>
      </c>
    </row>
    <row r="203" spans="1:13">
      <c r="A203" s="19" t="str">
        <f t="shared" si="34"/>
        <v>Vs+1</v>
      </c>
      <c r="B203" s="19">
        <f t="shared" si="34"/>
        <v>14</v>
      </c>
      <c r="C203" s="19">
        <f t="shared" si="34"/>
        <v>7.1959999999999997</v>
      </c>
      <c r="D203" s="19">
        <f>$B$151</f>
        <v>6.9999999999999994E-5</v>
      </c>
      <c r="E203" s="19">
        <f>0.5*0.0012*D203*$B$196*(C203^2)</f>
        <v>6.0232377961937143E-4</v>
      </c>
    </row>
    <row r="204" spans="1:13">
      <c r="A204" s="19" t="str">
        <f t="shared" si="34"/>
        <v>Vs</v>
      </c>
      <c r="B204" s="19">
        <f t="shared" si="34"/>
        <v>13</v>
      </c>
      <c r="C204" s="19">
        <f t="shared" si="34"/>
        <v>6.6820000000000004</v>
      </c>
      <c r="D204" s="19">
        <f t="shared" ref="D204:D209" si="35">$B$151</f>
        <v>6.9999999999999994E-5</v>
      </c>
      <c r="E204" s="19">
        <f t="shared" ref="E204:E209" si="36">0.5*0.0012*D204*$B$196*(C204^2)</f>
        <v>5.1935060589629485E-4</v>
      </c>
    </row>
    <row r="205" spans="1:13">
      <c r="A205" s="19" t="str">
        <f t="shared" si="34"/>
        <v>Vs-1</v>
      </c>
      <c r="B205" s="19">
        <f t="shared" si="34"/>
        <v>12</v>
      </c>
      <c r="C205" s="19">
        <f t="shared" si="34"/>
        <v>6.1680000000000001</v>
      </c>
      <c r="D205" s="19">
        <f t="shared" si="35"/>
        <v>6.9999999999999994E-5</v>
      </c>
      <c r="E205" s="19">
        <f t="shared" si="36"/>
        <v>4.4252359318974229E-4</v>
      </c>
    </row>
    <row r="206" spans="1:13">
      <c r="A206" s="19" t="str">
        <f t="shared" si="34"/>
        <v>Vs-2</v>
      </c>
      <c r="B206" s="19">
        <f t="shared" si="34"/>
        <v>11</v>
      </c>
      <c r="C206" s="19">
        <f t="shared" si="34"/>
        <v>5.6539999999999999</v>
      </c>
      <c r="D206" s="19">
        <f t="shared" si="35"/>
        <v>6.9999999999999994E-5</v>
      </c>
      <c r="E206" s="19">
        <f t="shared" si="36"/>
        <v>3.71842741499714E-4</v>
      </c>
    </row>
    <row r="207" spans="1:13">
      <c r="A207" s="19" t="str">
        <f t="shared" si="34"/>
        <v>Vs-3</v>
      </c>
      <c r="B207" s="19">
        <f t="shared" si="34"/>
        <v>10</v>
      </c>
      <c r="C207" s="19">
        <f t="shared" si="34"/>
        <v>5.1400000000000006</v>
      </c>
      <c r="D207" s="19">
        <f t="shared" si="35"/>
        <v>6.9999999999999994E-5</v>
      </c>
      <c r="E207" s="19">
        <f t="shared" si="36"/>
        <v>3.0730805082621E-4</v>
      </c>
    </row>
    <row r="208" spans="1:13">
      <c r="A208" s="19" t="str">
        <f t="shared" si="34"/>
        <v>Vs-4</v>
      </c>
      <c r="B208" s="19">
        <f t="shared" si="34"/>
        <v>9</v>
      </c>
      <c r="C208" s="19">
        <f t="shared" si="34"/>
        <v>4.6260000000000003</v>
      </c>
      <c r="D208" s="19">
        <f t="shared" si="35"/>
        <v>6.9999999999999994E-5</v>
      </c>
      <c r="E208" s="19">
        <f t="shared" si="36"/>
        <v>2.4891952116923007E-4</v>
      </c>
    </row>
    <row r="209" spans="1:7">
      <c r="A209" s="19" t="str">
        <f t="shared" si="34"/>
        <v>Vs-5</v>
      </c>
      <c r="B209" s="19">
        <f t="shared" si="34"/>
        <v>8</v>
      </c>
      <c r="C209" s="19">
        <f t="shared" si="34"/>
        <v>4.1120000000000001</v>
      </c>
      <c r="D209" s="19">
        <f t="shared" si="35"/>
        <v>6.9999999999999994E-5</v>
      </c>
      <c r="E209" s="19">
        <f t="shared" si="36"/>
        <v>1.9667715252877433E-4</v>
      </c>
    </row>
    <row r="211" spans="1:7">
      <c r="A211" s="662" t="s">
        <v>226</v>
      </c>
      <c r="B211" s="662"/>
      <c r="C211" s="662"/>
      <c r="D211" s="662"/>
      <c r="E211" s="662"/>
      <c r="F211" s="662"/>
      <c r="G211" s="662"/>
    </row>
    <row r="213" spans="1:7">
      <c r="A213" s="19" t="str">
        <f>A202</f>
        <v>Data V</v>
      </c>
      <c r="B213" s="46" t="str">
        <f>B202</f>
        <v>V (Knot)</v>
      </c>
      <c r="C213" s="46" t="str">
        <f>C202</f>
        <v>V (m/s)</v>
      </c>
      <c r="D213" s="46" t="s">
        <v>227</v>
      </c>
      <c r="E213" s="46" t="s">
        <v>228</v>
      </c>
      <c r="F213" s="46" t="s">
        <v>229</v>
      </c>
      <c r="G213" s="46" t="s">
        <v>230</v>
      </c>
    </row>
    <row r="214" spans="1:7">
      <c r="A214" s="19" t="str">
        <f t="shared" ref="A214:C220" si="37">A203</f>
        <v>Vs+1</v>
      </c>
      <c r="B214" s="46">
        <f t="shared" si="37"/>
        <v>14</v>
      </c>
      <c r="C214" s="46">
        <f t="shared" si="37"/>
        <v>7.1959999999999997</v>
      </c>
      <c r="D214" s="46">
        <f t="shared" ref="D214:D220" si="38">E185</f>
        <v>316.23005430552263</v>
      </c>
      <c r="E214" s="46">
        <f t="shared" ref="E214:E220" si="39">E203</f>
        <v>6.0232377961937143E-4</v>
      </c>
      <c r="F214" s="46">
        <f>D214+E214</f>
        <v>316.23065662930225</v>
      </c>
      <c r="G214" s="46">
        <f>120%*F214</f>
        <v>379.47678795516271</v>
      </c>
    </row>
    <row r="215" spans="1:7">
      <c r="A215" s="38" t="str">
        <f t="shared" si="37"/>
        <v>Vs</v>
      </c>
      <c r="B215" s="76">
        <f t="shared" si="37"/>
        <v>13</v>
      </c>
      <c r="C215" s="76">
        <f t="shared" si="37"/>
        <v>6.6820000000000004</v>
      </c>
      <c r="D215" s="76">
        <f t="shared" si="38"/>
        <v>247.00075911046846</v>
      </c>
      <c r="E215" s="76">
        <f t="shared" si="39"/>
        <v>5.1935060589629485E-4</v>
      </c>
      <c r="F215" s="76">
        <f t="shared" ref="F215:F220" si="40">D215+E215</f>
        <v>247.00127846107435</v>
      </c>
      <c r="G215" s="76">
        <f t="shared" ref="G215:G220" si="41">120%*F215</f>
        <v>296.40153415328922</v>
      </c>
    </row>
    <row r="216" spans="1:7">
      <c r="A216" s="19" t="str">
        <f t="shared" si="37"/>
        <v>Vs-1</v>
      </c>
      <c r="B216" s="46">
        <f t="shared" si="37"/>
        <v>12</v>
      </c>
      <c r="C216" s="46">
        <f t="shared" si="37"/>
        <v>6.1680000000000001</v>
      </c>
      <c r="D216" s="46">
        <f t="shared" si="38"/>
        <v>196.0749530288837</v>
      </c>
      <c r="E216" s="46">
        <f t="shared" si="39"/>
        <v>4.4252359318974229E-4</v>
      </c>
      <c r="F216" s="46">
        <f t="shared" si="40"/>
        <v>196.07539555247689</v>
      </c>
      <c r="G216" s="46">
        <f t="shared" si="41"/>
        <v>235.29047466297226</v>
      </c>
    </row>
    <row r="217" spans="1:7">
      <c r="A217" s="19" t="str">
        <f t="shared" si="37"/>
        <v>Vs-2</v>
      </c>
      <c r="B217" s="46">
        <f t="shared" si="37"/>
        <v>11</v>
      </c>
      <c r="C217" s="46">
        <f t="shared" si="37"/>
        <v>5.6539999999999999</v>
      </c>
      <c r="D217" s="46">
        <f t="shared" si="38"/>
        <v>158.89704448442245</v>
      </c>
      <c r="E217" s="46">
        <f t="shared" si="39"/>
        <v>3.71842741499714E-4</v>
      </c>
      <c r="F217" s="46">
        <f t="shared" si="40"/>
        <v>158.89741632716394</v>
      </c>
      <c r="G217" s="46">
        <f t="shared" si="41"/>
        <v>190.67689959259673</v>
      </c>
    </row>
    <row r="218" spans="1:7">
      <c r="A218" s="19" t="str">
        <f t="shared" si="37"/>
        <v>Vs-3</v>
      </c>
      <c r="B218" s="46">
        <f t="shared" si="37"/>
        <v>10</v>
      </c>
      <c r="C218" s="46">
        <f t="shared" si="37"/>
        <v>5.1400000000000006</v>
      </c>
      <c r="D218" s="46">
        <f t="shared" si="38"/>
        <v>124.00162891550607</v>
      </c>
      <c r="E218" s="46">
        <f t="shared" si="39"/>
        <v>3.0730805082621E-4</v>
      </c>
      <c r="F218" s="46">
        <f t="shared" si="40"/>
        <v>124.0019362235569</v>
      </c>
      <c r="G218" s="46">
        <f t="shared" si="41"/>
        <v>148.80232346826827</v>
      </c>
    </row>
    <row r="219" spans="1:7">
      <c r="A219" s="19" t="str">
        <f t="shared" si="37"/>
        <v>Vs-4</v>
      </c>
      <c r="B219" s="46">
        <f t="shared" si="37"/>
        <v>9</v>
      </c>
      <c r="C219" s="46">
        <f t="shared" si="37"/>
        <v>4.6260000000000003</v>
      </c>
      <c r="D219" s="46">
        <f t="shared" si="38"/>
        <v>98.1147358617241</v>
      </c>
      <c r="E219" s="46">
        <f t="shared" si="39"/>
        <v>2.4891952116923007E-4</v>
      </c>
      <c r="F219" s="46">
        <f t="shared" si="40"/>
        <v>98.114984781245269</v>
      </c>
      <c r="G219" s="46">
        <f t="shared" si="41"/>
        <v>117.73798173749432</v>
      </c>
    </row>
    <row r="220" spans="1:7">
      <c r="A220" s="19" t="str">
        <f t="shared" si="37"/>
        <v>Vs-5</v>
      </c>
      <c r="B220" s="46">
        <f t="shared" si="37"/>
        <v>8</v>
      </c>
      <c r="C220" s="46">
        <f t="shared" si="37"/>
        <v>4.1120000000000001</v>
      </c>
      <c r="D220" s="46">
        <f t="shared" si="38"/>
        <v>53.083792101155105</v>
      </c>
      <c r="E220" s="46">
        <f t="shared" si="39"/>
        <v>1.9667715252877433E-4</v>
      </c>
      <c r="F220" s="46">
        <f t="shared" si="40"/>
        <v>53.083988778307635</v>
      </c>
      <c r="G220" s="46">
        <f t="shared" si="41"/>
        <v>63.700786533969158</v>
      </c>
    </row>
    <row r="227" spans="8:9">
      <c r="H227" s="56"/>
      <c r="I227" s="56"/>
    </row>
  </sheetData>
  <mergeCells count="7">
    <mergeCell ref="A211:G211"/>
    <mergeCell ref="A1:G1"/>
    <mergeCell ref="A10:G10"/>
    <mergeCell ref="A27:G27"/>
    <mergeCell ref="E43:F44"/>
    <mergeCell ref="A55:G55"/>
    <mergeCell ref="A158:G158"/>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9E2A-F45F-40CA-8647-016161230FAE}">
  <dimension ref="A1:E45"/>
  <sheetViews>
    <sheetView view="pageBreakPreview" zoomScale="60" zoomScaleNormal="96" workbookViewId="0">
      <selection activeCell="E16" sqref="E16"/>
    </sheetView>
  </sheetViews>
  <sheetFormatPr defaultColWidth="9.109375" defaultRowHeight="15.6"/>
  <cols>
    <col min="1" max="4" width="9.109375" style="1"/>
    <col min="5" max="5" width="19.6640625" style="1" customWidth="1"/>
    <col min="6" max="16384" width="9.109375" style="1"/>
  </cols>
  <sheetData>
    <row r="1" spans="1:5">
      <c r="A1" s="662" t="s">
        <v>556</v>
      </c>
      <c r="B1" s="662"/>
      <c r="C1" s="662"/>
      <c r="D1" s="662"/>
      <c r="E1" s="662"/>
    </row>
    <row r="3" spans="1:5">
      <c r="A3" s="38" t="s">
        <v>217</v>
      </c>
      <c r="B3" s="38" t="s">
        <v>231</v>
      </c>
      <c r="C3" s="38" t="s">
        <v>232</v>
      </c>
      <c r="D3" s="38" t="s">
        <v>233</v>
      </c>
      <c r="E3" s="38" t="s">
        <v>234</v>
      </c>
    </row>
    <row r="4" spans="1:5">
      <c r="A4" s="19">
        <v>8</v>
      </c>
      <c r="B4" s="19">
        <v>0.109</v>
      </c>
      <c r="C4" s="19">
        <v>0.246</v>
      </c>
      <c r="D4" s="19">
        <v>106.3</v>
      </c>
      <c r="E4" s="19">
        <f>120%*D4</f>
        <v>127.55999999999999</v>
      </c>
    </row>
    <row r="5" spans="1:5">
      <c r="A5" s="19">
        <v>8.15</v>
      </c>
      <c r="B5" s="19">
        <v>0.111</v>
      </c>
      <c r="C5" s="19">
        <v>0.251</v>
      </c>
      <c r="D5" s="19">
        <v>110.1</v>
      </c>
      <c r="E5" s="19">
        <f t="shared" ref="E5:E45" si="0">120%*D5</f>
        <v>132.11999999999998</v>
      </c>
    </row>
    <row r="6" spans="1:5">
      <c r="A6" s="19">
        <v>8.3000000000000007</v>
      </c>
      <c r="B6" s="19">
        <v>0.113</v>
      </c>
      <c r="C6" s="19">
        <v>0.255</v>
      </c>
      <c r="D6" s="19">
        <v>114</v>
      </c>
      <c r="E6" s="19">
        <f t="shared" si="0"/>
        <v>136.79999999999998</v>
      </c>
    </row>
    <row r="7" spans="1:5">
      <c r="A7" s="19">
        <v>8.4499999999999993</v>
      </c>
      <c r="B7" s="19">
        <v>0.115</v>
      </c>
      <c r="C7" s="19">
        <v>0.26</v>
      </c>
      <c r="D7" s="19">
        <v>118</v>
      </c>
      <c r="E7" s="19">
        <f t="shared" si="0"/>
        <v>141.6</v>
      </c>
    </row>
    <row r="8" spans="1:5">
      <c r="A8" s="19">
        <v>8.6</v>
      </c>
      <c r="B8" s="19">
        <v>0.11799999999999999</v>
      </c>
      <c r="C8" s="19">
        <v>0.26400000000000001</v>
      </c>
      <c r="D8" s="19">
        <v>122.1</v>
      </c>
      <c r="E8" s="19">
        <f t="shared" si="0"/>
        <v>146.51999999999998</v>
      </c>
    </row>
    <row r="9" spans="1:5">
      <c r="A9" s="19">
        <v>8.75</v>
      </c>
      <c r="B9" s="19">
        <v>0.12</v>
      </c>
      <c r="C9" s="19">
        <v>0.26900000000000002</v>
      </c>
      <c r="D9" s="19">
        <v>126.2</v>
      </c>
      <c r="E9" s="19">
        <f t="shared" si="0"/>
        <v>151.44</v>
      </c>
    </row>
    <row r="10" spans="1:5">
      <c r="A10" s="19">
        <v>8.9</v>
      </c>
      <c r="B10" s="19">
        <v>0.122</v>
      </c>
      <c r="C10" s="19">
        <v>0.27400000000000002</v>
      </c>
      <c r="D10" s="19">
        <v>130.4</v>
      </c>
      <c r="E10" s="19">
        <f t="shared" si="0"/>
        <v>156.47999999999999</v>
      </c>
    </row>
    <row r="11" spans="1:5">
      <c r="A11" s="19">
        <v>9.0500000000000007</v>
      </c>
      <c r="B11" s="19">
        <v>0.124</v>
      </c>
      <c r="C11" s="19">
        <v>0.27800000000000002</v>
      </c>
      <c r="D11" s="19">
        <v>134.80000000000001</v>
      </c>
      <c r="E11" s="19">
        <f t="shared" si="0"/>
        <v>161.76000000000002</v>
      </c>
    </row>
    <row r="12" spans="1:5">
      <c r="A12" s="19">
        <v>9.1999999999999993</v>
      </c>
      <c r="B12" s="19">
        <v>0.126</v>
      </c>
      <c r="C12" s="19">
        <v>0.28299999999999997</v>
      </c>
      <c r="D12" s="19">
        <v>139.1</v>
      </c>
      <c r="E12" s="19">
        <f t="shared" si="0"/>
        <v>166.92</v>
      </c>
    </row>
    <row r="13" spans="1:5">
      <c r="A13" s="19">
        <v>9.35</v>
      </c>
      <c r="B13" s="19">
        <v>0.128</v>
      </c>
      <c r="C13" s="19">
        <v>0.28699999999999998</v>
      </c>
      <c r="D13" s="19">
        <v>143.6</v>
      </c>
      <c r="E13" s="19">
        <f t="shared" si="0"/>
        <v>172.32</v>
      </c>
    </row>
    <row r="14" spans="1:5">
      <c r="A14" s="19">
        <v>9.5</v>
      </c>
      <c r="B14" s="19">
        <v>0.13</v>
      </c>
      <c r="C14" s="19">
        <v>0.29199999999999998</v>
      </c>
      <c r="D14" s="19">
        <v>148.19999999999999</v>
      </c>
      <c r="E14" s="19">
        <f t="shared" si="0"/>
        <v>177.83999999999997</v>
      </c>
    </row>
    <row r="15" spans="1:5">
      <c r="A15" s="19">
        <v>9.65</v>
      </c>
      <c r="B15" s="19">
        <v>0.13200000000000001</v>
      </c>
      <c r="C15" s="19">
        <v>0.29699999999999999</v>
      </c>
      <c r="D15" s="19">
        <v>152.9</v>
      </c>
      <c r="E15" s="19">
        <f t="shared" si="0"/>
        <v>183.48</v>
      </c>
    </row>
    <row r="16" spans="1:5">
      <c r="A16" s="19">
        <v>9.8000000000000007</v>
      </c>
      <c r="B16" s="19">
        <v>0.13400000000000001</v>
      </c>
      <c r="C16" s="19">
        <v>0.30099999999999999</v>
      </c>
      <c r="D16" s="19">
        <v>157.6</v>
      </c>
      <c r="E16" s="19">
        <f t="shared" si="0"/>
        <v>189.11999999999998</v>
      </c>
    </row>
    <row r="17" spans="1:5">
      <c r="A17" s="19">
        <v>9.9499999999999993</v>
      </c>
      <c r="B17" s="19">
        <v>0.13600000000000001</v>
      </c>
      <c r="C17" s="19">
        <v>0.30599999999999999</v>
      </c>
      <c r="D17" s="19">
        <v>162.5</v>
      </c>
      <c r="E17" s="19">
        <f t="shared" si="0"/>
        <v>195</v>
      </c>
    </row>
    <row r="18" spans="1:5">
      <c r="A18" s="19">
        <v>10.1</v>
      </c>
      <c r="B18" s="19">
        <v>0.13800000000000001</v>
      </c>
      <c r="C18" s="19">
        <v>0.31</v>
      </c>
      <c r="D18" s="19">
        <v>167.5</v>
      </c>
      <c r="E18" s="19">
        <f t="shared" si="0"/>
        <v>201</v>
      </c>
    </row>
    <row r="19" spans="1:5">
      <c r="A19" s="19">
        <v>10.25</v>
      </c>
      <c r="B19" s="19">
        <v>0.14000000000000001</v>
      </c>
      <c r="C19" s="19">
        <v>0.315</v>
      </c>
      <c r="D19" s="19">
        <v>172.6</v>
      </c>
      <c r="E19" s="19">
        <f t="shared" si="0"/>
        <v>207.11999999999998</v>
      </c>
    </row>
    <row r="20" spans="1:5">
      <c r="A20" s="19">
        <v>10.4</v>
      </c>
      <c r="B20" s="19">
        <v>0.14199999999999999</v>
      </c>
      <c r="C20" s="19">
        <v>0.32</v>
      </c>
      <c r="D20" s="19">
        <v>177.8</v>
      </c>
      <c r="E20" s="19">
        <f t="shared" si="0"/>
        <v>213.36</v>
      </c>
    </row>
    <row r="21" spans="1:5">
      <c r="A21" s="19">
        <v>10.55</v>
      </c>
      <c r="B21" s="19">
        <v>0.14399999999999999</v>
      </c>
      <c r="C21" s="19">
        <v>0.32400000000000001</v>
      </c>
      <c r="D21" s="19">
        <v>183.2</v>
      </c>
      <c r="E21" s="19">
        <f t="shared" si="0"/>
        <v>219.83999999999997</v>
      </c>
    </row>
    <row r="22" spans="1:5">
      <c r="A22" s="19">
        <v>10.7</v>
      </c>
      <c r="B22" s="19">
        <v>0.14599999999999999</v>
      </c>
      <c r="C22" s="19">
        <v>0.32900000000000001</v>
      </c>
      <c r="D22" s="19">
        <v>188.7</v>
      </c>
      <c r="E22" s="19">
        <f t="shared" si="0"/>
        <v>226.43999999999997</v>
      </c>
    </row>
    <row r="23" spans="1:5">
      <c r="A23" s="19">
        <v>10.85</v>
      </c>
      <c r="B23" s="19">
        <v>0.14799999999999999</v>
      </c>
      <c r="C23" s="19">
        <v>0.33400000000000002</v>
      </c>
      <c r="D23" s="19">
        <v>194.4</v>
      </c>
      <c r="E23" s="19">
        <f t="shared" si="0"/>
        <v>233.28</v>
      </c>
    </row>
    <row r="24" spans="1:5">
      <c r="A24" s="19">
        <v>11</v>
      </c>
      <c r="B24" s="19">
        <v>0.15</v>
      </c>
      <c r="C24" s="19">
        <v>0.33800000000000002</v>
      </c>
      <c r="D24" s="19">
        <v>200.2</v>
      </c>
      <c r="E24" s="19">
        <f t="shared" si="0"/>
        <v>240.23999999999998</v>
      </c>
    </row>
    <row r="25" spans="1:5">
      <c r="A25" s="19">
        <v>11.15</v>
      </c>
      <c r="B25" s="19">
        <v>0.152</v>
      </c>
      <c r="C25" s="19">
        <v>0.34300000000000003</v>
      </c>
      <c r="D25" s="19">
        <v>206.1</v>
      </c>
      <c r="E25" s="19">
        <f t="shared" si="0"/>
        <v>247.32</v>
      </c>
    </row>
    <row r="26" spans="1:5">
      <c r="A26" s="19">
        <v>11.3</v>
      </c>
      <c r="B26" s="19">
        <v>0.154</v>
      </c>
      <c r="C26" s="19">
        <v>0.34699999999999998</v>
      </c>
      <c r="D26" s="19">
        <v>212.3</v>
      </c>
      <c r="E26" s="19">
        <f t="shared" si="0"/>
        <v>254.76</v>
      </c>
    </row>
    <row r="27" spans="1:5">
      <c r="A27" s="19">
        <v>11.45</v>
      </c>
      <c r="B27" s="19">
        <v>0.156</v>
      </c>
      <c r="C27" s="19">
        <v>0.35199999999999998</v>
      </c>
      <c r="D27" s="19">
        <v>218.6</v>
      </c>
      <c r="E27" s="19">
        <f t="shared" si="0"/>
        <v>262.32</v>
      </c>
    </row>
    <row r="28" spans="1:5">
      <c r="A28" s="19">
        <v>11.6</v>
      </c>
      <c r="B28" s="19">
        <v>0.159</v>
      </c>
      <c r="C28" s="19">
        <v>0.35699999999999998</v>
      </c>
      <c r="D28" s="19">
        <v>225.1</v>
      </c>
      <c r="E28" s="19">
        <f t="shared" si="0"/>
        <v>270.12</v>
      </c>
    </row>
    <row r="29" spans="1:5">
      <c r="A29" s="19">
        <v>11.75</v>
      </c>
      <c r="B29" s="19">
        <v>0.161</v>
      </c>
      <c r="C29" s="19">
        <v>0.36099999999999999</v>
      </c>
      <c r="D29" s="19">
        <v>231.8</v>
      </c>
      <c r="E29" s="19">
        <f t="shared" si="0"/>
        <v>278.16000000000003</v>
      </c>
    </row>
    <row r="30" spans="1:5">
      <c r="A30" s="19">
        <v>11.9</v>
      </c>
      <c r="B30" s="19">
        <v>0.16300000000000001</v>
      </c>
      <c r="C30" s="19">
        <v>0.36599999999999999</v>
      </c>
      <c r="D30" s="19">
        <v>238.7</v>
      </c>
      <c r="E30" s="19">
        <f t="shared" si="0"/>
        <v>286.44</v>
      </c>
    </row>
    <row r="31" spans="1:5">
      <c r="A31" s="19">
        <v>12.05</v>
      </c>
      <c r="B31" s="19">
        <v>0.16500000000000001</v>
      </c>
      <c r="C31" s="19">
        <v>0.37</v>
      </c>
      <c r="D31" s="19">
        <v>245.8</v>
      </c>
      <c r="E31" s="19">
        <f t="shared" si="0"/>
        <v>294.95999999999998</v>
      </c>
    </row>
    <row r="32" spans="1:5">
      <c r="A32" s="19">
        <v>12.2</v>
      </c>
      <c r="B32" s="19">
        <v>0.16700000000000001</v>
      </c>
      <c r="C32" s="19">
        <v>0.375</v>
      </c>
      <c r="D32" s="19">
        <v>253.2</v>
      </c>
      <c r="E32" s="19">
        <f t="shared" si="0"/>
        <v>303.83999999999997</v>
      </c>
    </row>
    <row r="33" spans="1:5">
      <c r="A33" s="19">
        <v>12.35</v>
      </c>
      <c r="B33" s="19">
        <v>0.16900000000000001</v>
      </c>
      <c r="C33" s="19">
        <v>0.38</v>
      </c>
      <c r="D33" s="19">
        <v>260.8</v>
      </c>
      <c r="E33" s="19">
        <f t="shared" si="0"/>
        <v>312.95999999999998</v>
      </c>
    </row>
    <row r="34" spans="1:5">
      <c r="A34" s="19">
        <v>12.5</v>
      </c>
      <c r="B34" s="19">
        <v>0.17100000000000001</v>
      </c>
      <c r="C34" s="19">
        <v>0.38400000000000001</v>
      </c>
      <c r="D34" s="19">
        <v>268.60000000000002</v>
      </c>
      <c r="E34" s="19">
        <f t="shared" si="0"/>
        <v>322.32</v>
      </c>
    </row>
    <row r="35" spans="1:5">
      <c r="A35" s="19">
        <v>12.65</v>
      </c>
      <c r="B35" s="19">
        <v>0.17299999999999999</v>
      </c>
      <c r="C35" s="19">
        <v>0.38900000000000001</v>
      </c>
      <c r="D35" s="19">
        <v>276.8</v>
      </c>
      <c r="E35" s="19">
        <f t="shared" si="0"/>
        <v>332.16</v>
      </c>
    </row>
    <row r="36" spans="1:5">
      <c r="A36" s="77">
        <v>12.8</v>
      </c>
      <c r="B36" s="77">
        <v>0.17499999999999999</v>
      </c>
      <c r="C36" s="77">
        <v>0.39300000000000002</v>
      </c>
      <c r="D36" s="77">
        <v>285.2</v>
      </c>
      <c r="E36" s="19">
        <f t="shared" si="0"/>
        <v>342.23999999999995</v>
      </c>
    </row>
    <row r="37" spans="1:5">
      <c r="A37" s="19">
        <v>12.95</v>
      </c>
      <c r="B37" s="19">
        <v>0.17699999999999999</v>
      </c>
      <c r="C37" s="19">
        <v>0.39800000000000002</v>
      </c>
      <c r="D37" s="19">
        <v>293.89999999999998</v>
      </c>
      <c r="E37" s="19">
        <f t="shared" si="0"/>
        <v>352.67999999999995</v>
      </c>
    </row>
    <row r="38" spans="1:5">
      <c r="A38" s="38">
        <v>13</v>
      </c>
      <c r="B38" s="38">
        <v>0.17799999999999999</v>
      </c>
      <c r="C38" s="38">
        <v>0.4</v>
      </c>
      <c r="D38" s="38">
        <v>296.89999999999998</v>
      </c>
      <c r="E38" s="38">
        <f t="shared" si="0"/>
        <v>356.28</v>
      </c>
    </row>
    <row r="39" spans="1:5">
      <c r="A39" s="19">
        <v>13.1</v>
      </c>
      <c r="B39" s="19">
        <v>0.17899999999999999</v>
      </c>
      <c r="C39" s="19">
        <v>0.40300000000000002</v>
      </c>
      <c r="D39" s="19">
        <v>302.89999999999998</v>
      </c>
      <c r="E39" s="19">
        <f t="shared" si="0"/>
        <v>363.47999999999996</v>
      </c>
    </row>
    <row r="40" spans="1:5">
      <c r="A40" s="19">
        <v>13.25</v>
      </c>
      <c r="B40" s="19">
        <v>0.18099999999999999</v>
      </c>
      <c r="C40" s="19">
        <v>0.40699999999999997</v>
      </c>
      <c r="D40" s="19">
        <v>312.3</v>
      </c>
      <c r="E40" s="19">
        <f t="shared" si="0"/>
        <v>374.76</v>
      </c>
    </row>
    <row r="41" spans="1:5">
      <c r="A41" s="19">
        <v>13.4</v>
      </c>
      <c r="B41" s="19">
        <v>0.183</v>
      </c>
      <c r="C41" s="19">
        <v>0.41199999999999998</v>
      </c>
      <c r="D41" s="19">
        <v>322</v>
      </c>
      <c r="E41" s="19">
        <f t="shared" si="0"/>
        <v>386.4</v>
      </c>
    </row>
    <row r="42" spans="1:5">
      <c r="A42" s="19">
        <v>13.55</v>
      </c>
      <c r="B42" s="19">
        <v>0.185</v>
      </c>
      <c r="C42" s="19">
        <v>0.41699999999999998</v>
      </c>
      <c r="D42" s="19">
        <v>332</v>
      </c>
      <c r="E42" s="19">
        <f t="shared" si="0"/>
        <v>398.4</v>
      </c>
    </row>
    <row r="43" spans="1:5">
      <c r="A43" s="19">
        <v>13.7</v>
      </c>
      <c r="B43" s="19">
        <v>0.187</v>
      </c>
      <c r="C43" s="19">
        <v>0.42099999999999999</v>
      </c>
      <c r="D43" s="19">
        <v>342.4</v>
      </c>
      <c r="E43" s="19">
        <f t="shared" si="0"/>
        <v>410.87999999999994</v>
      </c>
    </row>
    <row r="44" spans="1:5">
      <c r="A44" s="19">
        <v>13.85</v>
      </c>
      <c r="B44" s="19">
        <v>0.189</v>
      </c>
      <c r="C44" s="19">
        <v>0.42599999999999999</v>
      </c>
      <c r="D44" s="19">
        <v>353.2</v>
      </c>
      <c r="E44" s="19">
        <f t="shared" si="0"/>
        <v>423.84</v>
      </c>
    </row>
    <row r="45" spans="1:5">
      <c r="A45" s="19">
        <v>14</v>
      </c>
      <c r="B45" s="19">
        <v>0.191</v>
      </c>
      <c r="C45" s="19">
        <v>0.43</v>
      </c>
      <c r="D45" s="19">
        <v>364.4</v>
      </c>
      <c r="E45" s="19">
        <f t="shared" si="0"/>
        <v>437.28</v>
      </c>
    </row>
  </sheetData>
  <mergeCells count="1">
    <mergeCell ref="A1:E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3564-BDFA-4328-9527-E3A3AFFAC1D7}">
  <dimension ref="A1:AJ475"/>
  <sheetViews>
    <sheetView view="pageBreakPreview" topLeftCell="A40" zoomScale="84" zoomScaleNormal="100" zoomScaleSheetLayoutView="84" workbookViewId="0">
      <selection activeCell="K6" sqref="K6"/>
    </sheetView>
  </sheetViews>
  <sheetFormatPr defaultColWidth="9.109375" defaultRowHeight="15.6"/>
  <cols>
    <col min="1" max="1" width="9.109375" style="1"/>
    <col min="2" max="2" width="16.109375" style="1" customWidth="1"/>
    <col min="3" max="3" width="15.44140625" style="1" customWidth="1"/>
    <col min="4" max="5" width="9.109375" style="1"/>
    <col min="6" max="6" width="13.6640625" style="1" customWidth="1"/>
    <col min="7" max="8" width="9.109375" style="1"/>
    <col min="9" max="9" width="13.44140625" style="1" customWidth="1"/>
    <col min="10" max="10" width="13.5546875" style="1" customWidth="1"/>
    <col min="11" max="11" width="12.109375" style="1" customWidth="1"/>
    <col min="12" max="12" width="14.44140625" style="1" customWidth="1"/>
    <col min="13" max="14" width="9.109375" style="1"/>
    <col min="15" max="15" width="12.44140625" style="1" customWidth="1"/>
    <col min="16" max="16" width="12.6640625" style="1" customWidth="1"/>
    <col min="17" max="26" width="9.109375" style="1"/>
    <col min="27" max="27" width="13.6640625" style="1" customWidth="1"/>
    <col min="28" max="32" width="9.109375" style="1"/>
    <col min="33" max="33" width="16.88671875" style="1" customWidth="1"/>
    <col min="34" max="16384" width="9.109375" style="1"/>
  </cols>
  <sheetData>
    <row r="1" spans="1:30">
      <c r="A1" s="664" t="s">
        <v>235</v>
      </c>
      <c r="B1" s="664"/>
      <c r="C1" s="664"/>
      <c r="D1" s="664"/>
      <c r="E1" s="664"/>
      <c r="F1" s="664"/>
      <c r="G1" s="664"/>
      <c r="H1" s="664"/>
      <c r="I1" s="664"/>
      <c r="J1" s="664"/>
      <c r="K1" s="664"/>
      <c r="L1" s="664"/>
      <c r="M1" s="664"/>
      <c r="N1" s="664"/>
      <c r="O1" s="664"/>
      <c r="P1" s="664"/>
      <c r="Q1" s="664"/>
      <c r="R1" s="664"/>
      <c r="S1" s="78"/>
      <c r="T1" s="78"/>
      <c r="U1" s="78"/>
      <c r="V1" s="78"/>
      <c r="W1" s="78"/>
      <c r="X1" s="42"/>
    </row>
    <row r="2" spans="1:30">
      <c r="A2" s="78"/>
      <c r="B2" s="78"/>
      <c r="C2" s="760" t="s">
        <v>236</v>
      </c>
      <c r="D2" s="760"/>
      <c r="E2" s="760"/>
      <c r="F2" s="760"/>
      <c r="G2" s="78"/>
      <c r="H2" s="78"/>
      <c r="I2" s="79"/>
      <c r="J2" s="78"/>
      <c r="K2" s="78"/>
      <c r="L2" s="760" t="s">
        <v>237</v>
      </c>
      <c r="M2" s="760"/>
      <c r="N2" s="760"/>
      <c r="O2" s="760"/>
      <c r="P2" s="760"/>
      <c r="Q2" s="78"/>
      <c r="R2" s="78"/>
      <c r="S2" s="78"/>
      <c r="T2" s="78"/>
      <c r="U2" s="78"/>
      <c r="V2" s="78"/>
      <c r="W2" s="78"/>
      <c r="X2" s="42"/>
    </row>
    <row r="3" spans="1:30">
      <c r="A3" s="42"/>
      <c r="B3" s="42"/>
      <c r="C3" s="42"/>
      <c r="D3" s="42"/>
      <c r="E3" s="42"/>
      <c r="F3" s="42"/>
      <c r="G3" s="42"/>
      <c r="H3" s="42"/>
      <c r="I3" s="80"/>
      <c r="J3" s="42"/>
      <c r="K3" s="42"/>
      <c r="L3" s="42"/>
      <c r="M3" s="42"/>
      <c r="N3" s="42"/>
      <c r="O3" s="42"/>
      <c r="P3" s="42"/>
      <c r="Q3" s="42"/>
      <c r="R3" s="42"/>
      <c r="S3" s="42"/>
      <c r="T3" s="42"/>
      <c r="U3" s="42"/>
      <c r="V3" s="42"/>
      <c r="W3" s="42"/>
      <c r="X3" s="42"/>
    </row>
    <row r="4" spans="1:30">
      <c r="A4" s="81" t="s">
        <v>238</v>
      </c>
      <c r="B4" s="82"/>
      <c r="C4" s="82"/>
      <c r="D4" s="82"/>
      <c r="E4" s="82"/>
      <c r="F4" s="82"/>
      <c r="G4" s="82"/>
      <c r="H4" s="42"/>
      <c r="I4" s="80"/>
      <c r="J4" s="81" t="s">
        <v>238</v>
      </c>
      <c r="K4" s="82"/>
      <c r="L4" s="82"/>
      <c r="M4" s="82"/>
      <c r="N4" s="82"/>
      <c r="O4" s="82"/>
      <c r="P4" s="82"/>
      <c r="Q4" s="42"/>
      <c r="R4" s="42"/>
      <c r="S4" s="42"/>
      <c r="T4" s="42"/>
      <c r="U4" s="42"/>
      <c r="V4" s="42"/>
      <c r="W4" s="42"/>
      <c r="X4" s="42"/>
      <c r="Y4" s="10" t="s">
        <v>239</v>
      </c>
      <c r="Z4" s="49">
        <v>1.8520000000000001</v>
      </c>
      <c r="AA4" s="33" t="s">
        <v>240</v>
      </c>
    </row>
    <row r="5" spans="1:30">
      <c r="A5" s="82" t="s">
        <v>241</v>
      </c>
      <c r="B5" s="82"/>
      <c r="C5" s="82"/>
      <c r="D5" s="82"/>
      <c r="E5" s="42"/>
      <c r="F5" s="82"/>
      <c r="G5" s="82"/>
      <c r="H5" s="42"/>
      <c r="I5" s="80"/>
      <c r="J5" s="82" t="s">
        <v>242</v>
      </c>
      <c r="K5" s="82"/>
      <c r="L5" s="82"/>
      <c r="M5" s="82"/>
      <c r="N5" s="42"/>
      <c r="O5" s="82"/>
      <c r="P5" s="82"/>
      <c r="Q5" s="42"/>
      <c r="R5" s="42"/>
      <c r="S5" s="42"/>
      <c r="T5" s="42"/>
      <c r="U5" s="42"/>
      <c r="V5" s="42"/>
      <c r="W5" s="42"/>
      <c r="X5" s="42"/>
      <c r="Y5" s="10" t="s">
        <v>243</v>
      </c>
      <c r="Z5" s="83">
        <v>3.28084</v>
      </c>
      <c r="AA5" s="72" t="s">
        <v>244</v>
      </c>
    </row>
    <row r="6" spans="1:30">
      <c r="A6" s="84" t="s">
        <v>245</v>
      </c>
      <c r="B6" s="85">
        <f>HOLTROP!E292</f>
        <v>549.60659299685699</v>
      </c>
      <c r="C6" s="82" t="s">
        <v>246</v>
      </c>
      <c r="D6" s="82" t="s">
        <v>236</v>
      </c>
      <c r="E6" s="84"/>
      <c r="F6" s="82"/>
      <c r="G6" s="82"/>
      <c r="H6" s="42"/>
      <c r="I6" s="80"/>
      <c r="J6" s="84" t="s">
        <v>245</v>
      </c>
      <c r="K6" s="85">
        <f>MAXSURF!E38</f>
        <v>356.28</v>
      </c>
      <c r="L6" s="82" t="s">
        <v>246</v>
      </c>
      <c r="M6" s="82" t="s">
        <v>237</v>
      </c>
      <c r="N6" s="84"/>
      <c r="O6" s="82"/>
      <c r="P6" s="82"/>
      <c r="Q6" s="42"/>
      <c r="R6" s="42"/>
      <c r="S6" s="42"/>
      <c r="T6" s="42"/>
      <c r="U6" s="42"/>
      <c r="V6" s="42"/>
      <c r="W6" s="42"/>
      <c r="X6" s="42"/>
      <c r="Y6" s="10" t="s">
        <v>247</v>
      </c>
      <c r="Z6" s="49">
        <v>0.51400000000000001</v>
      </c>
      <c r="AA6" s="72" t="s">
        <v>45</v>
      </c>
    </row>
    <row r="7" spans="1:30">
      <c r="A7" s="84" t="s">
        <v>248</v>
      </c>
      <c r="B7" s="82">
        <f>13</f>
        <v>13</v>
      </c>
      <c r="C7" s="82" t="s">
        <v>11</v>
      </c>
      <c r="D7" s="82"/>
      <c r="E7" s="84"/>
      <c r="F7" s="82"/>
      <c r="G7" s="82"/>
      <c r="H7" s="42"/>
      <c r="I7" s="80"/>
      <c r="J7" s="84" t="s">
        <v>248</v>
      </c>
      <c r="K7" s="82">
        <v>13</v>
      </c>
      <c r="L7" s="82" t="s">
        <v>11</v>
      </c>
      <c r="M7" s="82"/>
      <c r="N7" s="84"/>
      <c r="O7" s="82"/>
      <c r="P7" s="82"/>
      <c r="Q7" s="42"/>
      <c r="R7" s="42"/>
      <c r="S7" s="42"/>
      <c r="T7" s="42"/>
      <c r="U7" s="42"/>
      <c r="V7" s="42"/>
      <c r="W7" s="42"/>
      <c r="X7" s="42"/>
      <c r="Y7" s="86" t="s">
        <v>249</v>
      </c>
      <c r="Z7" s="87">
        <v>0.73550000000000004</v>
      </c>
      <c r="AA7" s="88" t="s">
        <v>250</v>
      </c>
    </row>
    <row r="8" spans="1:30">
      <c r="A8" s="82"/>
      <c r="B8" s="82">
        <f>B7*(1852/3600)</f>
        <v>6.6877777777777787</v>
      </c>
      <c r="C8" s="82" t="s">
        <v>45</v>
      </c>
      <c r="D8" s="82"/>
      <c r="E8" s="84"/>
      <c r="F8" s="82"/>
      <c r="G8" s="82"/>
      <c r="H8" s="42"/>
      <c r="I8" s="80"/>
      <c r="J8" s="82"/>
      <c r="K8" s="82">
        <f>K7*(1852/3600)</f>
        <v>6.6877777777777787</v>
      </c>
      <c r="L8" s="82" t="s">
        <v>45</v>
      </c>
      <c r="M8" s="82"/>
      <c r="N8" s="84"/>
      <c r="O8" s="82"/>
      <c r="P8" s="82"/>
      <c r="Q8" s="42"/>
      <c r="R8" s="42"/>
      <c r="S8" s="42"/>
      <c r="T8" s="42"/>
      <c r="U8" s="42"/>
      <c r="V8" s="42"/>
      <c r="W8" s="42"/>
      <c r="X8" s="42"/>
      <c r="Y8" s="86" t="s">
        <v>251</v>
      </c>
      <c r="Z8" s="87">
        <v>1.3404799999999999</v>
      </c>
      <c r="AA8" s="88" t="s">
        <v>252</v>
      </c>
    </row>
    <row r="9" spans="1:30">
      <c r="A9" s="82"/>
      <c r="B9" s="82"/>
      <c r="C9" s="82"/>
      <c r="D9" s="82"/>
      <c r="E9" s="82"/>
      <c r="F9" s="82"/>
      <c r="G9" s="82"/>
      <c r="H9" s="42"/>
      <c r="I9" s="80"/>
      <c r="J9" s="82"/>
      <c r="K9" s="82"/>
      <c r="L9" s="82"/>
      <c r="M9" s="82"/>
      <c r="N9" s="82"/>
      <c r="O9" s="82"/>
      <c r="P9" s="82"/>
      <c r="Q9" s="42"/>
      <c r="R9" s="42"/>
      <c r="S9" s="42"/>
      <c r="T9" s="42"/>
      <c r="U9" s="42"/>
      <c r="V9" s="42"/>
      <c r="W9" s="42"/>
      <c r="X9" s="42"/>
      <c r="Y9" s="10" t="s">
        <v>253</v>
      </c>
      <c r="Z9" s="49">
        <v>1000</v>
      </c>
      <c r="AA9" s="33" t="s">
        <v>254</v>
      </c>
      <c r="AB9" s="89"/>
      <c r="AC9" s="90">
        <v>264172</v>
      </c>
      <c r="AD9" s="1" t="s">
        <v>255</v>
      </c>
    </row>
    <row r="10" spans="1:30">
      <c r="A10" s="82"/>
      <c r="B10" s="84" t="s">
        <v>256</v>
      </c>
      <c r="C10" s="82" t="s">
        <v>257</v>
      </c>
      <c r="D10" s="82"/>
      <c r="E10" s="82"/>
      <c r="F10" s="82"/>
      <c r="G10" s="82"/>
      <c r="H10" s="42"/>
      <c r="I10" s="80"/>
      <c r="J10" s="82"/>
      <c r="K10" s="84" t="s">
        <v>256</v>
      </c>
      <c r="L10" s="91" t="s">
        <v>257</v>
      </c>
      <c r="M10" s="82"/>
      <c r="N10" s="82"/>
      <c r="O10" s="82"/>
      <c r="P10" s="82"/>
      <c r="Q10" s="42"/>
      <c r="R10" s="42"/>
      <c r="S10" s="42"/>
      <c r="T10" s="42"/>
      <c r="U10" s="42"/>
      <c r="V10" s="42"/>
      <c r="W10" s="42"/>
      <c r="X10" s="42"/>
    </row>
    <row r="11" spans="1:30">
      <c r="A11" s="82"/>
      <c r="B11" s="84" t="s">
        <v>256</v>
      </c>
      <c r="C11" s="92">
        <f>B6*B8</f>
        <v>3675.6467591645364</v>
      </c>
      <c r="D11" s="82" t="s">
        <v>258</v>
      </c>
      <c r="E11" s="82"/>
      <c r="F11" s="82"/>
      <c r="G11" s="82"/>
      <c r="H11" s="42"/>
      <c r="I11" s="80"/>
      <c r="J11" s="82"/>
      <c r="K11" s="84" t="s">
        <v>256</v>
      </c>
      <c r="L11" s="93">
        <f>$K$6*$K$8</f>
        <v>2382.7214666666669</v>
      </c>
      <c r="M11" s="82" t="s">
        <v>258</v>
      </c>
      <c r="N11" s="82"/>
      <c r="O11" s="82"/>
      <c r="P11" s="82"/>
      <c r="Q11" s="42"/>
      <c r="R11" s="42"/>
      <c r="S11" s="42"/>
      <c r="T11" s="42"/>
      <c r="U11" s="42"/>
      <c r="V11" s="42"/>
      <c r="W11" s="42"/>
      <c r="X11" s="42"/>
    </row>
    <row r="12" spans="1:30">
      <c r="A12" s="82"/>
      <c r="B12" s="84" t="s">
        <v>256</v>
      </c>
      <c r="C12" s="82">
        <f>C11*Z8</f>
        <v>4927.1309677248773</v>
      </c>
      <c r="D12" s="82" t="s">
        <v>252</v>
      </c>
      <c r="E12" s="82"/>
      <c r="F12" s="82"/>
      <c r="G12" s="82"/>
      <c r="H12" s="42"/>
      <c r="I12" s="80"/>
      <c r="J12" s="82"/>
      <c r="K12" s="84" t="s">
        <v>256</v>
      </c>
      <c r="L12" s="82">
        <f>$Z$8*$L$11</f>
        <v>3193.9904716373335</v>
      </c>
      <c r="M12" s="82" t="s">
        <v>252</v>
      </c>
      <c r="N12" s="82"/>
      <c r="O12" s="82"/>
      <c r="P12" s="82"/>
      <c r="Q12" s="42"/>
      <c r="R12" s="42"/>
      <c r="S12" s="42"/>
      <c r="T12" s="42"/>
      <c r="U12" s="42"/>
      <c r="V12" s="42"/>
      <c r="W12" s="42"/>
      <c r="X12" s="42"/>
    </row>
    <row r="13" spans="1:30">
      <c r="A13" s="42"/>
      <c r="B13" s="42"/>
      <c r="C13" s="42"/>
      <c r="D13" s="42"/>
      <c r="E13" s="42"/>
      <c r="F13" s="42"/>
      <c r="G13" s="42"/>
      <c r="H13" s="42"/>
      <c r="I13" s="80"/>
      <c r="J13" s="42"/>
      <c r="K13" s="42"/>
      <c r="L13" s="42"/>
      <c r="M13" s="42"/>
      <c r="N13" s="42"/>
      <c r="O13" s="42"/>
      <c r="P13" s="42"/>
      <c r="Q13" s="42"/>
      <c r="R13" s="42"/>
      <c r="S13" s="42"/>
      <c r="T13" s="42"/>
      <c r="U13" s="42"/>
      <c r="V13" s="42"/>
      <c r="W13" s="42"/>
      <c r="X13" s="42"/>
    </row>
    <row r="14" spans="1:30">
      <c r="A14" s="81" t="s">
        <v>259</v>
      </c>
      <c r="B14" s="42"/>
      <c r="C14" s="42"/>
      <c r="D14" s="42"/>
      <c r="E14" s="42"/>
      <c r="F14" s="42"/>
      <c r="G14" s="42"/>
      <c r="H14" s="42"/>
      <c r="I14" s="80"/>
      <c r="J14" s="81" t="s">
        <v>259</v>
      </c>
      <c r="K14" s="42"/>
      <c r="L14" s="42"/>
      <c r="M14" s="42"/>
      <c r="N14" s="42"/>
      <c r="O14" s="42"/>
      <c r="P14" s="42"/>
      <c r="Q14" s="42"/>
      <c r="R14" s="42"/>
      <c r="S14" s="42"/>
      <c r="T14" s="42"/>
      <c r="U14" s="42"/>
      <c r="V14" s="42"/>
      <c r="W14" s="42"/>
      <c r="X14" s="42"/>
    </row>
    <row r="15" spans="1:30">
      <c r="A15" s="761" t="s">
        <v>260</v>
      </c>
      <c r="B15" s="761"/>
      <c r="C15" s="761"/>
      <c r="D15" s="761"/>
      <c r="E15" s="761"/>
      <c r="F15" s="761"/>
      <c r="G15" s="761"/>
      <c r="H15" s="761"/>
      <c r="I15" s="762"/>
      <c r="J15" s="761" t="s">
        <v>260</v>
      </c>
      <c r="K15" s="761"/>
      <c r="L15" s="761"/>
      <c r="M15" s="761"/>
      <c r="N15" s="761"/>
      <c r="O15" s="761"/>
      <c r="P15" s="761"/>
      <c r="Q15" s="761"/>
      <c r="R15" s="761"/>
      <c r="S15" s="94"/>
      <c r="T15" s="94"/>
      <c r="U15" s="94"/>
      <c r="V15" s="94"/>
      <c r="W15" s="94"/>
      <c r="X15" s="42"/>
    </row>
    <row r="16" spans="1:30">
      <c r="A16" s="761"/>
      <c r="B16" s="761"/>
      <c r="C16" s="761"/>
      <c r="D16" s="761"/>
      <c r="E16" s="761"/>
      <c r="F16" s="761"/>
      <c r="G16" s="761"/>
      <c r="H16" s="761"/>
      <c r="I16" s="762"/>
      <c r="J16" s="761"/>
      <c r="K16" s="761"/>
      <c r="L16" s="761"/>
      <c r="M16" s="761"/>
      <c r="N16" s="761"/>
      <c r="O16" s="761"/>
      <c r="P16" s="761"/>
      <c r="Q16" s="761"/>
      <c r="R16" s="761"/>
      <c r="S16" s="94"/>
      <c r="T16" s="94"/>
      <c r="U16" s="94"/>
      <c r="V16" s="94"/>
      <c r="W16" s="94"/>
      <c r="X16" s="42"/>
    </row>
    <row r="17" spans="1:24">
      <c r="A17" s="95"/>
      <c r="B17" s="95"/>
      <c r="C17" s="95"/>
      <c r="D17" s="95"/>
      <c r="E17" s="95"/>
      <c r="F17" s="95"/>
      <c r="G17" s="95"/>
      <c r="H17" s="95"/>
      <c r="I17" s="96"/>
      <c r="J17" s="95"/>
      <c r="K17" s="95"/>
      <c r="L17" s="95"/>
      <c r="M17" s="95"/>
      <c r="N17" s="95"/>
      <c r="O17" s="95"/>
      <c r="P17" s="95"/>
      <c r="Q17" s="95"/>
      <c r="R17" s="95"/>
      <c r="S17" s="95"/>
      <c r="T17" s="95"/>
      <c r="U17" s="95"/>
      <c r="V17" s="95"/>
      <c r="W17" s="95"/>
      <c r="X17" s="42"/>
    </row>
    <row r="18" spans="1:24">
      <c r="A18" s="2"/>
      <c r="B18" s="86" t="s">
        <v>261</v>
      </c>
      <c r="C18" s="2" t="s">
        <v>262</v>
      </c>
      <c r="D18" s="2"/>
      <c r="E18" s="97"/>
      <c r="F18" s="751" t="s">
        <v>263</v>
      </c>
      <c r="G18" s="751"/>
      <c r="H18" s="751"/>
      <c r="I18" s="752"/>
      <c r="J18" s="2"/>
      <c r="K18" s="86" t="s">
        <v>261</v>
      </c>
      <c r="L18" s="2" t="s">
        <v>262</v>
      </c>
      <c r="M18" s="2"/>
      <c r="N18" s="97"/>
      <c r="O18" s="751" t="s">
        <v>263</v>
      </c>
      <c r="P18" s="751"/>
      <c r="Q18" s="751"/>
      <c r="R18" s="751"/>
      <c r="S18" s="98"/>
      <c r="T18" s="98"/>
      <c r="U18" s="98"/>
      <c r="V18" s="98"/>
      <c r="W18" s="98"/>
      <c r="X18" s="42"/>
    </row>
    <row r="19" spans="1:24">
      <c r="A19" s="2"/>
      <c r="B19" s="2"/>
      <c r="C19" s="2"/>
      <c r="D19" s="2"/>
      <c r="E19" s="2"/>
      <c r="F19" s="2" t="s">
        <v>264</v>
      </c>
      <c r="G19" s="2"/>
      <c r="H19" s="2"/>
      <c r="I19" s="99"/>
      <c r="J19" s="2"/>
      <c r="K19" s="2"/>
      <c r="L19" s="2"/>
      <c r="M19" s="2"/>
      <c r="N19" s="2"/>
      <c r="O19" s="2" t="s">
        <v>264</v>
      </c>
      <c r="P19" s="2"/>
      <c r="Q19" s="2"/>
      <c r="R19" s="2"/>
      <c r="S19" s="2"/>
      <c r="T19" s="2"/>
      <c r="U19" s="2"/>
      <c r="V19" s="2"/>
      <c r="W19" s="2"/>
      <c r="X19" s="42"/>
    </row>
    <row r="20" spans="1:24">
      <c r="A20" s="98" t="s">
        <v>265</v>
      </c>
      <c r="B20" s="100"/>
      <c r="C20" s="2"/>
      <c r="D20" s="2"/>
      <c r="E20" s="2"/>
      <c r="F20" s="2"/>
      <c r="G20" s="2"/>
      <c r="H20" s="2"/>
      <c r="I20" s="99"/>
      <c r="J20" s="98" t="s">
        <v>265</v>
      </c>
      <c r="K20" s="100"/>
      <c r="L20" s="2"/>
      <c r="M20" s="2"/>
      <c r="N20" s="2"/>
      <c r="O20" s="2"/>
      <c r="P20" s="2"/>
      <c r="Q20" s="2"/>
      <c r="R20" s="2"/>
      <c r="S20" s="2"/>
      <c r="T20" s="2"/>
      <c r="U20" s="2"/>
      <c r="V20" s="2"/>
      <c r="W20" s="2"/>
      <c r="X20" s="42"/>
    </row>
    <row r="21" spans="1:24">
      <c r="A21" s="2"/>
      <c r="B21" s="86" t="s">
        <v>266</v>
      </c>
      <c r="C21" s="2" t="s">
        <v>267</v>
      </c>
      <c r="D21" s="42"/>
      <c r="E21" s="84" t="s">
        <v>268</v>
      </c>
      <c r="F21" s="82" t="s">
        <v>269</v>
      </c>
      <c r="G21" s="82"/>
      <c r="H21" s="82"/>
      <c r="I21" s="99"/>
      <c r="J21" s="2"/>
      <c r="K21" s="86" t="s">
        <v>266</v>
      </c>
      <c r="L21" s="2" t="s">
        <v>267</v>
      </c>
      <c r="M21" s="42"/>
      <c r="N21" s="84" t="s">
        <v>268</v>
      </c>
      <c r="O21" s="82" t="s">
        <v>269</v>
      </c>
      <c r="P21" s="82"/>
      <c r="Q21" s="82"/>
      <c r="R21" s="2"/>
      <c r="S21" s="2"/>
      <c r="T21" s="2"/>
      <c r="U21" s="2"/>
      <c r="V21" s="2"/>
      <c r="W21" s="2"/>
      <c r="X21" s="42"/>
    </row>
    <row r="22" spans="1:24">
      <c r="A22" s="42"/>
      <c r="B22" s="42"/>
      <c r="C22" s="42"/>
      <c r="D22" s="42"/>
      <c r="E22" s="84" t="s">
        <v>270</v>
      </c>
      <c r="F22" s="82" t="s">
        <v>271</v>
      </c>
      <c r="G22" s="82"/>
      <c r="H22" s="82"/>
      <c r="I22" s="80"/>
      <c r="J22" s="42"/>
      <c r="K22" s="42"/>
      <c r="L22" s="42"/>
      <c r="M22" s="42"/>
      <c r="N22" s="84" t="s">
        <v>270</v>
      </c>
      <c r="O22" s="82" t="s">
        <v>271</v>
      </c>
      <c r="P22" s="82"/>
      <c r="Q22" s="82"/>
      <c r="R22" s="42"/>
      <c r="S22" s="42"/>
      <c r="T22" s="42"/>
      <c r="U22" s="42"/>
      <c r="V22" s="42"/>
      <c r="W22" s="42"/>
      <c r="X22" s="42"/>
    </row>
    <row r="23" spans="1:24">
      <c r="A23" s="86" t="s">
        <v>272</v>
      </c>
      <c r="B23" s="101" t="s">
        <v>273</v>
      </c>
      <c r="C23" s="2"/>
      <c r="D23" s="2"/>
      <c r="E23" s="2"/>
      <c r="F23" s="2"/>
      <c r="G23" s="2"/>
      <c r="H23" s="2"/>
      <c r="I23" s="99"/>
      <c r="J23" s="86" t="s">
        <v>272</v>
      </c>
      <c r="K23" s="101" t="s">
        <v>273</v>
      </c>
      <c r="L23" s="2"/>
      <c r="M23" s="2"/>
      <c r="N23" s="2"/>
      <c r="O23" s="2"/>
      <c r="P23" s="2"/>
      <c r="Q23" s="2"/>
      <c r="R23" s="2"/>
      <c r="S23" s="2"/>
      <c r="T23" s="2"/>
      <c r="U23" s="2"/>
      <c r="V23" s="2"/>
      <c r="W23" s="2"/>
      <c r="X23" s="42"/>
    </row>
    <row r="24" spans="1:24">
      <c r="A24" s="86"/>
      <c r="B24" s="747" t="s">
        <v>274</v>
      </c>
      <c r="C24" s="747"/>
      <c r="D24" s="747"/>
      <c r="E24" s="747"/>
      <c r="F24" s="747"/>
      <c r="G24" s="747"/>
      <c r="H24" s="747"/>
      <c r="I24" s="749"/>
      <c r="J24" s="86"/>
      <c r="K24" s="747" t="s">
        <v>274</v>
      </c>
      <c r="L24" s="747"/>
      <c r="M24" s="747"/>
      <c r="N24" s="747"/>
      <c r="O24" s="747"/>
      <c r="P24" s="747"/>
      <c r="Q24" s="747"/>
      <c r="R24" s="747"/>
      <c r="S24" s="102"/>
      <c r="T24" s="102"/>
      <c r="U24" s="102"/>
      <c r="V24" s="102"/>
      <c r="W24" s="102"/>
      <c r="X24" s="42"/>
    </row>
    <row r="25" spans="1:24">
      <c r="A25" s="86"/>
      <c r="B25" s="747"/>
      <c r="C25" s="747"/>
      <c r="D25" s="747"/>
      <c r="E25" s="747"/>
      <c r="F25" s="747"/>
      <c r="G25" s="747"/>
      <c r="H25" s="747"/>
      <c r="I25" s="749"/>
      <c r="J25" s="86"/>
      <c r="K25" s="747"/>
      <c r="L25" s="747"/>
      <c r="M25" s="747"/>
      <c r="N25" s="747"/>
      <c r="O25" s="747"/>
      <c r="P25" s="747"/>
      <c r="Q25" s="747"/>
      <c r="R25" s="747"/>
      <c r="S25" s="102"/>
      <c r="T25" s="102"/>
      <c r="U25" s="102"/>
      <c r="V25" s="102"/>
      <c r="W25" s="102"/>
      <c r="X25" s="42"/>
    </row>
    <row r="26" spans="1:24">
      <c r="A26" s="86"/>
      <c r="B26" s="747"/>
      <c r="C26" s="747"/>
      <c r="D26" s="747"/>
      <c r="E26" s="747"/>
      <c r="F26" s="747"/>
      <c r="G26" s="747"/>
      <c r="H26" s="747"/>
      <c r="I26" s="749"/>
      <c r="J26" s="86"/>
      <c r="K26" s="747"/>
      <c r="L26" s="747"/>
      <c r="M26" s="747"/>
      <c r="N26" s="747"/>
      <c r="O26" s="747"/>
      <c r="P26" s="747"/>
      <c r="Q26" s="747"/>
      <c r="R26" s="747"/>
      <c r="S26" s="102"/>
      <c r="T26" s="102"/>
      <c r="U26" s="102"/>
      <c r="V26" s="102"/>
      <c r="W26" s="102"/>
      <c r="X26" s="42"/>
    </row>
    <row r="27" spans="1:24">
      <c r="A27" s="42"/>
      <c r="E27" s="757" t="s">
        <v>275</v>
      </c>
      <c r="F27" s="757"/>
      <c r="G27" s="757"/>
      <c r="H27" s="757"/>
      <c r="I27" s="758"/>
      <c r="N27" s="757" t="s">
        <v>275</v>
      </c>
      <c r="O27" s="757"/>
      <c r="P27" s="757"/>
      <c r="Q27" s="757"/>
      <c r="R27" s="757"/>
      <c r="S27" s="103"/>
      <c r="T27" s="103"/>
      <c r="U27" s="103"/>
      <c r="V27" s="103"/>
      <c r="W27" s="103"/>
      <c r="X27" s="42"/>
    </row>
    <row r="28" spans="1:24">
      <c r="A28" s="42"/>
      <c r="B28" s="42"/>
      <c r="C28" s="42"/>
      <c r="D28" s="42"/>
      <c r="E28" s="757"/>
      <c r="F28" s="757"/>
      <c r="G28" s="757"/>
      <c r="H28" s="757"/>
      <c r="I28" s="758"/>
      <c r="J28" s="42"/>
      <c r="K28" s="42"/>
      <c r="L28" s="42"/>
      <c r="M28" s="42"/>
      <c r="N28" s="757"/>
      <c r="O28" s="757"/>
      <c r="P28" s="757"/>
      <c r="Q28" s="757"/>
      <c r="R28" s="757"/>
      <c r="S28" s="103"/>
      <c r="T28" s="103"/>
      <c r="U28" s="103"/>
      <c r="V28" s="103"/>
      <c r="W28" s="103"/>
      <c r="X28" s="42"/>
    </row>
    <row r="29" spans="1:24">
      <c r="A29" s="42"/>
      <c r="B29" s="42"/>
      <c r="C29" s="42"/>
      <c r="D29" s="42"/>
      <c r="E29" s="42"/>
      <c r="F29" s="46" t="s">
        <v>12</v>
      </c>
      <c r="G29" s="46" t="s">
        <v>276</v>
      </c>
      <c r="H29" s="42"/>
      <c r="I29" s="80"/>
      <c r="J29" s="42"/>
      <c r="K29" s="42"/>
      <c r="L29" s="42"/>
      <c r="M29" s="42"/>
      <c r="N29" s="42"/>
      <c r="O29" s="46" t="s">
        <v>12</v>
      </c>
      <c r="P29" s="46" t="s">
        <v>276</v>
      </c>
      <c r="Q29" s="42"/>
      <c r="R29" s="42"/>
      <c r="S29" s="42"/>
      <c r="T29" s="42"/>
      <c r="U29" s="42"/>
      <c r="V29" s="42"/>
      <c r="W29" s="42"/>
      <c r="X29" s="42"/>
    </row>
    <row r="30" spans="1:24">
      <c r="A30" s="42"/>
      <c r="B30" s="42"/>
      <c r="C30" s="42"/>
      <c r="D30" s="42"/>
      <c r="E30" s="42"/>
      <c r="F30" s="19">
        <v>0.75</v>
      </c>
      <c r="G30" s="19">
        <v>0.314</v>
      </c>
      <c r="H30" s="42"/>
      <c r="I30" s="80"/>
      <c r="J30" s="42"/>
      <c r="K30" s="42"/>
      <c r="L30" s="42"/>
      <c r="M30" s="42"/>
      <c r="N30" s="42"/>
      <c r="O30" s="19">
        <f>F30</f>
        <v>0.75</v>
      </c>
      <c r="P30" s="19">
        <f>G30</f>
        <v>0.314</v>
      </c>
      <c r="Q30" s="42"/>
      <c r="R30" s="42"/>
      <c r="S30" s="42"/>
      <c r="T30" s="42"/>
      <c r="U30" s="42"/>
      <c r="V30" s="42"/>
      <c r="W30" s="42"/>
      <c r="X30" s="42"/>
    </row>
    <row r="31" spans="1:24">
      <c r="A31" s="42"/>
      <c r="B31" s="42"/>
      <c r="C31" s="42"/>
      <c r="D31" s="42"/>
      <c r="E31" s="42"/>
      <c r="F31" s="19">
        <v>0.77590000000000003</v>
      </c>
      <c r="G31" s="19" t="s">
        <v>277</v>
      </c>
      <c r="H31" s="42"/>
      <c r="I31" s="80"/>
      <c r="J31" s="42"/>
      <c r="K31" s="42"/>
      <c r="L31" s="42"/>
      <c r="M31" s="42"/>
      <c r="N31" s="42"/>
      <c r="O31" s="19">
        <f t="shared" ref="O31:Q36" si="0">F31</f>
        <v>0.77590000000000003</v>
      </c>
      <c r="P31" s="19" t="str">
        <f t="shared" si="0"/>
        <v>x</v>
      </c>
      <c r="Q31" s="42"/>
      <c r="R31" s="42"/>
      <c r="S31" s="42"/>
      <c r="T31" s="42"/>
      <c r="U31" s="42"/>
      <c r="V31" s="42"/>
      <c r="W31" s="42"/>
      <c r="X31" s="42"/>
    </row>
    <row r="32" spans="1:24">
      <c r="A32" s="42"/>
      <c r="B32" s="42"/>
      <c r="C32" s="42"/>
      <c r="D32" s="42"/>
      <c r="E32" s="42"/>
      <c r="F32" s="19">
        <v>0.8</v>
      </c>
      <c r="G32" s="19">
        <v>0.35399999999999998</v>
      </c>
      <c r="H32" s="42"/>
      <c r="I32" s="80"/>
      <c r="J32" s="42"/>
      <c r="K32" s="42"/>
      <c r="L32" s="42"/>
      <c r="M32" s="42"/>
      <c r="N32" s="42"/>
      <c r="O32" s="19">
        <f t="shared" si="0"/>
        <v>0.8</v>
      </c>
      <c r="P32" s="19">
        <f t="shared" si="0"/>
        <v>0.35399999999999998</v>
      </c>
      <c r="Q32" s="49"/>
      <c r="R32" s="42"/>
      <c r="S32" s="42"/>
      <c r="T32" s="42"/>
      <c r="U32" s="42"/>
      <c r="V32" s="42"/>
      <c r="W32" s="42"/>
      <c r="X32" s="42"/>
    </row>
    <row r="33" spans="1:24">
      <c r="A33" s="42"/>
      <c r="B33" s="42"/>
      <c r="C33" s="42"/>
      <c r="D33" s="42"/>
      <c r="E33" s="42"/>
      <c r="F33" s="89" t="s">
        <v>278</v>
      </c>
      <c r="G33" s="89" t="s">
        <v>63</v>
      </c>
      <c r="H33" s="89" t="s">
        <v>279</v>
      </c>
      <c r="I33" s="80"/>
      <c r="J33" s="42"/>
      <c r="K33" s="42"/>
      <c r="L33" s="42"/>
      <c r="M33" s="42"/>
      <c r="N33" s="42"/>
      <c r="O33" s="104" t="str">
        <f t="shared" si="0"/>
        <v>0.7759 - 0.75</v>
      </c>
      <c r="P33" s="49" t="str">
        <f t="shared" si="0"/>
        <v>=</v>
      </c>
      <c r="Q33" s="105" t="str">
        <f t="shared" si="0"/>
        <v>w - 0.314</v>
      </c>
      <c r="R33" s="42"/>
      <c r="S33" s="42"/>
      <c r="T33" s="42"/>
      <c r="U33" s="42"/>
      <c r="V33" s="42"/>
      <c r="W33" s="42"/>
      <c r="X33" s="42"/>
    </row>
    <row r="34" spans="1:24">
      <c r="A34" s="42"/>
      <c r="B34" s="42"/>
      <c r="C34" s="42"/>
      <c r="D34" s="42"/>
      <c r="E34" s="42"/>
      <c r="F34" s="106" t="s">
        <v>280</v>
      </c>
      <c r="G34" s="89"/>
      <c r="H34" s="106" t="s">
        <v>281</v>
      </c>
      <c r="I34" s="80"/>
      <c r="J34" s="42"/>
      <c r="K34" s="42"/>
      <c r="L34" s="42"/>
      <c r="M34" s="42"/>
      <c r="N34" s="42"/>
      <c r="O34" s="49" t="str">
        <f t="shared" si="0"/>
        <v>0.8-0,75</v>
      </c>
      <c r="P34" s="49"/>
      <c r="Q34" s="49" t="str">
        <f>H34</f>
        <v>0.354-0,314</v>
      </c>
      <c r="R34" s="42"/>
      <c r="S34" s="42"/>
      <c r="T34" s="42"/>
      <c r="U34" s="42"/>
      <c r="V34" s="42"/>
      <c r="W34" s="42"/>
      <c r="X34" s="42"/>
    </row>
    <row r="35" spans="1:24">
      <c r="A35" s="86"/>
      <c r="B35" s="2"/>
      <c r="C35" s="2"/>
      <c r="D35" s="2"/>
      <c r="E35" s="42"/>
      <c r="F35" s="89">
        <f>F31-F30</f>
        <v>2.5900000000000034E-2</v>
      </c>
      <c r="G35" s="89" t="s">
        <v>63</v>
      </c>
      <c r="H35" s="89" t="s">
        <v>279</v>
      </c>
      <c r="I35" s="99"/>
      <c r="J35" s="86"/>
      <c r="K35" s="2"/>
      <c r="L35" s="2"/>
      <c r="M35" s="2"/>
      <c r="N35" s="42"/>
      <c r="O35" s="105">
        <f t="shared" si="0"/>
        <v>2.5900000000000034E-2</v>
      </c>
      <c r="P35" s="49" t="str">
        <f>G35</f>
        <v>=</v>
      </c>
      <c r="Q35" s="105" t="str">
        <f>H35</f>
        <v>w - 0.314</v>
      </c>
      <c r="R35" s="2"/>
      <c r="S35" s="2"/>
      <c r="T35" s="2"/>
      <c r="U35" s="2"/>
      <c r="V35" s="2"/>
      <c r="W35" s="2"/>
      <c r="X35" s="42"/>
    </row>
    <row r="36" spans="1:24">
      <c r="A36" s="86"/>
      <c r="B36" s="2"/>
      <c r="C36" s="2"/>
      <c r="D36" s="2"/>
      <c r="E36" s="42"/>
      <c r="F36" s="106">
        <f>F32-F30</f>
        <v>5.0000000000000044E-2</v>
      </c>
      <c r="G36" s="89" t="s">
        <v>63</v>
      </c>
      <c r="H36" s="106">
        <f>G32-G30</f>
        <v>3.999999999999998E-2</v>
      </c>
      <c r="I36" s="99"/>
      <c r="J36" s="86"/>
      <c r="K36" s="2"/>
      <c r="L36" s="2"/>
      <c r="M36" s="2"/>
      <c r="N36" s="42"/>
      <c r="O36" s="49">
        <f t="shared" si="0"/>
        <v>5.0000000000000044E-2</v>
      </c>
      <c r="P36" s="49" t="str">
        <f>G36</f>
        <v>=</v>
      </c>
      <c r="Q36" s="49">
        <f>H36</f>
        <v>3.999999999999998E-2</v>
      </c>
      <c r="R36" s="2"/>
      <c r="S36" s="2"/>
      <c r="T36" s="2"/>
      <c r="U36" s="2"/>
      <c r="V36" s="2"/>
      <c r="W36" s="2"/>
      <c r="X36" s="42"/>
    </row>
    <row r="37" spans="1:24" ht="15.75" customHeight="1">
      <c r="A37" s="42"/>
      <c r="B37" s="759" t="s">
        <v>282</v>
      </c>
      <c r="C37" s="759"/>
      <c r="D37" s="759"/>
      <c r="E37" s="759"/>
      <c r="F37" s="759"/>
      <c r="G37" s="10" t="s">
        <v>283</v>
      </c>
      <c r="H37" s="72">
        <v>0.77590000000000003</v>
      </c>
      <c r="I37" s="80"/>
      <c r="J37" s="86"/>
      <c r="K37" s="759" t="s">
        <v>282</v>
      </c>
      <c r="L37" s="759"/>
      <c r="M37" s="759"/>
      <c r="N37" s="759"/>
      <c r="O37" s="759"/>
      <c r="P37" s="107" t="str">
        <f>G37</f>
        <v>Cb =</v>
      </c>
      <c r="Q37" s="72">
        <f>H37</f>
        <v>0.77590000000000003</v>
      </c>
      <c r="R37" s="42"/>
      <c r="S37" s="42"/>
      <c r="T37" s="42"/>
      <c r="U37" s="42"/>
      <c r="V37" s="42"/>
      <c r="W37" s="42"/>
      <c r="X37" s="42"/>
    </row>
    <row r="38" spans="1:24">
      <c r="A38" s="2"/>
      <c r="B38" s="759"/>
      <c r="C38" s="759"/>
      <c r="D38" s="759"/>
      <c r="E38" s="759"/>
      <c r="F38" s="759"/>
      <c r="G38" s="107" t="s">
        <v>270</v>
      </c>
      <c r="H38" s="108">
        <f>G30+((H36*F35)/F36)</f>
        <v>0.33472000000000002</v>
      </c>
      <c r="I38" s="80"/>
      <c r="J38" s="2"/>
      <c r="K38" s="759"/>
      <c r="L38" s="759"/>
      <c r="M38" s="759"/>
      <c r="N38" s="759"/>
      <c r="O38" s="759"/>
      <c r="P38" s="107" t="str">
        <f>G38</f>
        <v>w =</v>
      </c>
      <c r="Q38" s="72">
        <f>H38</f>
        <v>0.33472000000000002</v>
      </c>
      <c r="R38" s="42"/>
      <c r="S38" s="42"/>
      <c r="T38" s="42"/>
      <c r="U38" s="42"/>
      <c r="V38" s="42"/>
      <c r="W38" s="42"/>
      <c r="X38" s="42"/>
    </row>
    <row r="39" spans="1:24">
      <c r="A39" s="2"/>
      <c r="B39" s="86"/>
      <c r="C39" s="109"/>
      <c r="D39" s="98"/>
      <c r="E39" s="110"/>
      <c r="F39" s="42"/>
      <c r="G39" s="42"/>
      <c r="H39" s="42"/>
      <c r="I39" s="99"/>
      <c r="J39" s="2"/>
      <c r="K39" s="86"/>
      <c r="L39" s="109"/>
      <c r="M39" s="98"/>
      <c r="N39" s="2"/>
      <c r="O39" s="2"/>
      <c r="P39" s="2"/>
      <c r="Q39" s="2"/>
      <c r="R39" s="2"/>
      <c r="S39" s="2"/>
      <c r="T39" s="2"/>
      <c r="U39" s="2"/>
      <c r="V39" s="2"/>
      <c r="W39" s="2"/>
      <c r="X39" s="42"/>
    </row>
    <row r="40" spans="1:24">
      <c r="A40" s="86" t="s">
        <v>284</v>
      </c>
      <c r="B40" s="101" t="s">
        <v>285</v>
      </c>
      <c r="C40" s="2"/>
      <c r="D40" s="2"/>
      <c r="E40" s="2"/>
      <c r="F40" s="2"/>
      <c r="G40" s="2"/>
      <c r="H40" s="2"/>
      <c r="I40" s="99"/>
      <c r="J40" s="86" t="s">
        <v>284</v>
      </c>
      <c r="K40" s="101" t="s">
        <v>285</v>
      </c>
      <c r="L40" s="2"/>
      <c r="M40" s="2"/>
      <c r="N40" s="2"/>
      <c r="O40" s="2"/>
      <c r="P40" s="2"/>
      <c r="Q40" s="2"/>
      <c r="R40" s="2"/>
      <c r="S40" s="2"/>
      <c r="T40" s="2"/>
      <c r="U40" s="2"/>
      <c r="V40" s="2"/>
      <c r="W40" s="2"/>
      <c r="X40" s="42"/>
    </row>
    <row r="41" spans="1:24">
      <c r="A41" s="86"/>
      <c r="B41" s="751" t="s">
        <v>286</v>
      </c>
      <c r="C41" s="751"/>
      <c r="D41" s="751"/>
      <c r="E41" s="751"/>
      <c r="F41" s="751"/>
      <c r="G41" s="751"/>
      <c r="H41" s="751"/>
      <c r="I41" s="752"/>
      <c r="J41" s="86"/>
      <c r="K41" s="751" t="s">
        <v>286</v>
      </c>
      <c r="L41" s="751"/>
      <c r="M41" s="751"/>
      <c r="N41" s="751"/>
      <c r="O41" s="751"/>
      <c r="P41" s="751"/>
      <c r="Q41" s="751"/>
      <c r="R41" s="751"/>
      <c r="S41" s="98"/>
      <c r="T41" s="98"/>
      <c r="U41" s="98"/>
      <c r="V41" s="98"/>
      <c r="W41" s="98"/>
      <c r="X41" s="42"/>
    </row>
    <row r="42" spans="1:24">
      <c r="A42" s="86"/>
      <c r="B42" s="2"/>
      <c r="C42" s="2"/>
      <c r="D42" s="2"/>
      <c r="E42" s="2" t="s">
        <v>287</v>
      </c>
      <c r="F42" s="2"/>
      <c r="G42" s="2"/>
      <c r="H42" s="2"/>
      <c r="I42" s="99"/>
      <c r="J42" s="86"/>
      <c r="K42" s="2"/>
      <c r="L42" s="2"/>
      <c r="M42" s="2"/>
      <c r="N42" s="2" t="s">
        <v>287</v>
      </c>
      <c r="O42" s="2"/>
      <c r="P42" s="2"/>
      <c r="Q42" s="2"/>
      <c r="R42" s="2"/>
      <c r="S42" s="2"/>
      <c r="T42" s="2"/>
      <c r="U42" s="2"/>
      <c r="V42" s="2"/>
      <c r="W42" s="2"/>
      <c r="X42" s="42"/>
    </row>
    <row r="43" spans="1:24">
      <c r="A43" s="86"/>
      <c r="B43" s="86" t="s">
        <v>268</v>
      </c>
      <c r="C43" s="2" t="s">
        <v>288</v>
      </c>
      <c r="D43" s="2"/>
      <c r="E43" s="2" t="s">
        <v>289</v>
      </c>
      <c r="F43" s="2"/>
      <c r="G43" s="2"/>
      <c r="H43" s="2"/>
      <c r="I43" s="111">
        <v>0.7</v>
      </c>
      <c r="J43" s="86"/>
      <c r="K43" s="86" t="s">
        <v>268</v>
      </c>
      <c r="L43" s="2" t="s">
        <v>288</v>
      </c>
      <c r="M43" s="2"/>
      <c r="N43" s="2" t="s">
        <v>290</v>
      </c>
      <c r="O43" s="2"/>
      <c r="P43" s="2"/>
      <c r="Q43" s="86" t="s">
        <v>291</v>
      </c>
      <c r="R43" s="98">
        <v>0.7</v>
      </c>
      <c r="S43" s="98"/>
      <c r="T43" s="98"/>
      <c r="U43" s="98"/>
      <c r="V43" s="98"/>
      <c r="W43" s="98"/>
      <c r="X43" s="42"/>
    </row>
    <row r="44" spans="1:24">
      <c r="A44" s="86"/>
      <c r="B44" s="86" t="s">
        <v>63</v>
      </c>
      <c r="C44" s="2">
        <f>I43*H38</f>
        <v>0.23430399999999998</v>
      </c>
      <c r="D44" s="2"/>
      <c r="E44" s="753" t="s">
        <v>292</v>
      </c>
      <c r="F44" s="753"/>
      <c r="G44" s="753"/>
      <c r="H44" s="753"/>
      <c r="I44" s="754"/>
      <c r="J44" s="86"/>
      <c r="K44" s="86" t="s">
        <v>63</v>
      </c>
      <c r="L44" s="98">
        <f>R43*Q38</f>
        <v>0.23430399999999998</v>
      </c>
      <c r="M44" s="2"/>
      <c r="N44" s="753" t="s">
        <v>282</v>
      </c>
      <c r="O44" s="753"/>
      <c r="P44" s="753"/>
      <c r="Q44" s="753"/>
      <c r="R44" s="753"/>
      <c r="S44" s="112"/>
      <c r="T44" s="112"/>
      <c r="U44" s="112"/>
      <c r="V44" s="112"/>
      <c r="W44" s="112"/>
      <c r="X44" s="42"/>
    </row>
    <row r="45" spans="1:24">
      <c r="A45" s="2"/>
      <c r="B45" s="2"/>
      <c r="C45" s="2"/>
      <c r="D45" s="2"/>
      <c r="E45" s="2"/>
      <c r="F45" s="2"/>
      <c r="G45" s="2"/>
      <c r="H45" s="2"/>
      <c r="I45" s="99"/>
      <c r="J45" s="2"/>
      <c r="K45" s="2"/>
      <c r="L45" s="2"/>
      <c r="M45" s="2"/>
      <c r="N45" s="2"/>
      <c r="O45" s="2"/>
      <c r="P45" s="2"/>
      <c r="Q45" s="2"/>
      <c r="R45" s="2"/>
      <c r="S45" s="2"/>
      <c r="T45" s="2"/>
      <c r="U45" s="2"/>
      <c r="V45" s="2"/>
      <c r="W45" s="2"/>
      <c r="X45" s="42"/>
    </row>
    <row r="46" spans="1:24">
      <c r="A46" s="2"/>
      <c r="B46" s="86" t="s">
        <v>293</v>
      </c>
      <c r="C46" s="2" t="s">
        <v>267</v>
      </c>
      <c r="D46" s="2"/>
      <c r="E46" s="2"/>
      <c r="F46" s="2"/>
      <c r="G46" s="2"/>
      <c r="H46" s="2"/>
      <c r="I46" s="99"/>
      <c r="J46" s="2"/>
      <c r="K46" s="86" t="s">
        <v>293</v>
      </c>
      <c r="L46" s="2" t="s">
        <v>267</v>
      </c>
      <c r="M46" s="2"/>
      <c r="N46" s="2"/>
      <c r="O46" s="2"/>
      <c r="P46" s="2"/>
      <c r="Q46" s="2"/>
      <c r="R46" s="2"/>
      <c r="S46" s="2"/>
      <c r="T46" s="2"/>
      <c r="U46" s="2"/>
      <c r="V46" s="2"/>
      <c r="W46" s="2"/>
      <c r="X46" s="42"/>
    </row>
    <row r="47" spans="1:24">
      <c r="A47" s="2"/>
      <c r="B47" s="86" t="s">
        <v>63</v>
      </c>
      <c r="C47" s="113">
        <f>(1-C44)/(1-H38)</f>
        <v>1.1509379509379509</v>
      </c>
      <c r="D47" s="2"/>
      <c r="E47" s="2"/>
      <c r="F47" s="2"/>
      <c r="G47" s="2"/>
      <c r="H47" s="2"/>
      <c r="I47" s="99"/>
      <c r="J47" s="2"/>
      <c r="K47" s="86" t="s">
        <v>63</v>
      </c>
      <c r="L47" s="113">
        <f>(1-L44)/(1-Q38)</f>
        <v>1.1509379509379509</v>
      </c>
      <c r="M47" s="2"/>
      <c r="N47" s="2"/>
      <c r="O47" s="2"/>
      <c r="P47" s="2"/>
      <c r="Q47" s="2"/>
      <c r="R47" s="2"/>
      <c r="S47" s="2"/>
      <c r="T47" s="2"/>
      <c r="U47" s="2"/>
      <c r="V47" s="2"/>
      <c r="W47" s="2"/>
      <c r="X47" s="42"/>
    </row>
    <row r="48" spans="1:24">
      <c r="A48" s="2"/>
      <c r="B48" s="2"/>
      <c r="C48" s="2"/>
      <c r="D48" s="2"/>
      <c r="E48" s="2"/>
      <c r="F48" s="2"/>
      <c r="G48" s="2"/>
      <c r="H48" s="2"/>
      <c r="I48" s="99"/>
      <c r="J48" s="2"/>
      <c r="K48" s="2"/>
      <c r="L48" s="2"/>
      <c r="M48" s="2"/>
      <c r="N48" s="2"/>
      <c r="O48" s="2"/>
      <c r="P48" s="2"/>
      <c r="Q48" s="2"/>
      <c r="R48" s="2"/>
      <c r="S48" s="2"/>
      <c r="T48" s="2"/>
      <c r="U48" s="2"/>
      <c r="V48" s="2"/>
      <c r="W48" s="2"/>
      <c r="X48" s="42"/>
    </row>
    <row r="49" spans="1:24">
      <c r="A49" s="2" t="s">
        <v>294</v>
      </c>
      <c r="B49" s="100"/>
      <c r="C49" s="2"/>
      <c r="D49" s="2"/>
      <c r="E49" s="2"/>
      <c r="F49" s="2"/>
      <c r="G49" s="2"/>
      <c r="H49" s="2"/>
      <c r="I49" s="99"/>
      <c r="J49" s="2" t="s">
        <v>294</v>
      </c>
      <c r="K49" s="100"/>
      <c r="L49" s="2"/>
      <c r="M49" s="2"/>
      <c r="N49" s="2"/>
      <c r="O49" s="2"/>
      <c r="P49" s="2"/>
      <c r="Q49" s="2"/>
      <c r="R49" s="2"/>
      <c r="S49" s="2"/>
      <c r="T49" s="2"/>
      <c r="U49" s="2"/>
      <c r="V49" s="2"/>
      <c r="W49" s="2"/>
      <c r="X49" s="42"/>
    </row>
    <row r="50" spans="1:24">
      <c r="A50" s="755" t="s">
        <v>295</v>
      </c>
      <c r="B50" s="755"/>
      <c r="C50" s="755"/>
      <c r="D50" s="755"/>
      <c r="E50" s="755"/>
      <c r="F50" s="755"/>
      <c r="G50" s="755"/>
      <c r="H50" s="755"/>
      <c r="I50" s="756"/>
      <c r="J50" s="755" t="s">
        <v>295</v>
      </c>
      <c r="K50" s="755"/>
      <c r="L50" s="755"/>
      <c r="M50" s="755"/>
      <c r="N50" s="755"/>
      <c r="O50" s="755"/>
      <c r="P50" s="755"/>
      <c r="Q50" s="755"/>
      <c r="R50" s="755"/>
      <c r="S50" s="114"/>
      <c r="T50" s="114"/>
      <c r="U50" s="114"/>
      <c r="V50" s="114"/>
      <c r="W50" s="114"/>
      <c r="X50" s="42"/>
    </row>
    <row r="51" spans="1:24">
      <c r="A51" s="755"/>
      <c r="B51" s="755"/>
      <c r="C51" s="755"/>
      <c r="D51" s="755"/>
      <c r="E51" s="755"/>
      <c r="F51" s="755"/>
      <c r="G51" s="755"/>
      <c r="H51" s="755"/>
      <c r="I51" s="756"/>
      <c r="J51" s="755"/>
      <c r="K51" s="755"/>
      <c r="L51" s="755"/>
      <c r="M51" s="755"/>
      <c r="N51" s="755"/>
      <c r="O51" s="755"/>
      <c r="P51" s="755"/>
      <c r="Q51" s="755"/>
      <c r="R51" s="755"/>
      <c r="S51" s="114"/>
      <c r="T51" s="114"/>
      <c r="U51" s="114"/>
      <c r="V51" s="114"/>
      <c r="W51" s="114"/>
      <c r="X51" s="42"/>
    </row>
    <row r="52" spans="1:24">
      <c r="A52" s="115" t="s">
        <v>296</v>
      </c>
      <c r="B52" s="98">
        <v>1.05</v>
      </c>
      <c r="C52" s="2"/>
      <c r="D52" s="2"/>
      <c r="E52" s="116"/>
      <c r="F52" s="116"/>
      <c r="G52" s="116"/>
      <c r="H52" s="116"/>
      <c r="I52" s="99"/>
      <c r="J52" s="115" t="s">
        <v>296</v>
      </c>
      <c r="K52" s="98">
        <v>1.05</v>
      </c>
      <c r="L52" s="2"/>
      <c r="M52" s="2"/>
      <c r="N52" s="116"/>
      <c r="O52" s="116"/>
      <c r="P52" s="116"/>
      <c r="Q52" s="116"/>
      <c r="R52" s="2"/>
      <c r="S52" s="2"/>
      <c r="T52" s="2"/>
      <c r="U52" s="2"/>
      <c r="V52" s="2"/>
      <c r="W52" s="2"/>
      <c r="X52" s="42"/>
    </row>
    <row r="53" spans="1:24">
      <c r="A53" s="2"/>
      <c r="B53" s="2"/>
      <c r="C53" s="2"/>
      <c r="D53" s="2"/>
      <c r="E53" s="2"/>
      <c r="F53" s="2"/>
      <c r="G53" s="2"/>
      <c r="H53" s="2"/>
      <c r="I53" s="99"/>
      <c r="J53" s="2"/>
      <c r="K53" s="2"/>
      <c r="L53" s="2"/>
      <c r="M53" s="2"/>
      <c r="N53" s="2"/>
      <c r="O53" s="2"/>
      <c r="P53" s="2"/>
      <c r="Q53" s="2"/>
      <c r="R53" s="2"/>
      <c r="S53" s="2"/>
      <c r="T53" s="2"/>
      <c r="U53" s="2"/>
      <c r="V53" s="2"/>
      <c r="W53" s="2"/>
      <c r="X53" s="42"/>
    </row>
    <row r="54" spans="1:24">
      <c r="A54" s="2"/>
      <c r="B54" s="2"/>
      <c r="C54" s="2"/>
      <c r="D54" s="2"/>
      <c r="E54" s="2"/>
      <c r="F54" s="2"/>
      <c r="G54" s="2"/>
      <c r="H54" s="2"/>
      <c r="I54" s="99"/>
      <c r="J54" s="2"/>
      <c r="K54" s="2"/>
      <c r="L54" s="2"/>
      <c r="M54" s="2"/>
      <c r="N54" s="2"/>
      <c r="O54" s="2"/>
      <c r="P54" s="2"/>
      <c r="Q54" s="2"/>
      <c r="R54" s="2"/>
      <c r="S54" s="2"/>
      <c r="T54" s="2"/>
      <c r="U54" s="2"/>
      <c r="V54" s="2"/>
      <c r="W54" s="2"/>
      <c r="X54" s="42"/>
    </row>
    <row r="55" spans="1:24">
      <c r="A55" s="2" t="s">
        <v>297</v>
      </c>
      <c r="B55" s="2"/>
      <c r="C55" s="2"/>
      <c r="D55" s="2"/>
      <c r="E55" s="2"/>
      <c r="F55" s="2"/>
      <c r="G55" s="2"/>
      <c r="H55" s="2"/>
      <c r="I55" s="99"/>
      <c r="J55" s="2" t="s">
        <v>297</v>
      </c>
      <c r="K55" s="2"/>
      <c r="L55" s="2"/>
      <c r="M55" s="2"/>
      <c r="N55" s="2"/>
      <c r="O55" s="2"/>
      <c r="P55" s="2"/>
      <c r="Q55" s="2"/>
      <c r="R55" s="2"/>
      <c r="S55" s="2"/>
      <c r="T55" s="2"/>
      <c r="U55" s="2"/>
      <c r="V55" s="2"/>
      <c r="W55" s="2"/>
      <c r="X55" s="42"/>
    </row>
    <row r="56" spans="1:24">
      <c r="A56" s="747" t="s">
        <v>298</v>
      </c>
      <c r="B56" s="747"/>
      <c r="C56" s="747"/>
      <c r="D56" s="747"/>
      <c r="E56" s="747"/>
      <c r="F56" s="747"/>
      <c r="G56" s="747"/>
      <c r="H56" s="747"/>
      <c r="I56" s="749"/>
      <c r="J56" s="747" t="s">
        <v>298</v>
      </c>
      <c r="K56" s="747"/>
      <c r="L56" s="747"/>
      <c r="M56" s="747"/>
      <c r="N56" s="747"/>
      <c r="O56" s="747"/>
      <c r="P56" s="747"/>
      <c r="Q56" s="747"/>
      <c r="R56" s="747"/>
      <c r="S56" s="102"/>
      <c r="T56" s="102"/>
      <c r="U56" s="102"/>
      <c r="V56" s="102"/>
      <c r="W56" s="102"/>
      <c r="X56" s="42"/>
    </row>
    <row r="57" spans="1:24">
      <c r="A57" s="747"/>
      <c r="B57" s="747"/>
      <c r="C57" s="747"/>
      <c r="D57" s="747"/>
      <c r="E57" s="747"/>
      <c r="F57" s="747"/>
      <c r="G57" s="747"/>
      <c r="H57" s="747"/>
      <c r="I57" s="749"/>
      <c r="J57" s="747"/>
      <c r="K57" s="747"/>
      <c r="L57" s="747"/>
      <c r="M57" s="747"/>
      <c r="N57" s="747"/>
      <c r="O57" s="747"/>
      <c r="P57" s="747"/>
      <c r="Q57" s="747"/>
      <c r="R57" s="747"/>
      <c r="S57" s="102"/>
      <c r="T57" s="102"/>
      <c r="U57" s="102"/>
      <c r="V57" s="102"/>
      <c r="W57" s="102"/>
      <c r="X57" s="42"/>
    </row>
    <row r="58" spans="1:24">
      <c r="A58" s="86" t="s">
        <v>299</v>
      </c>
      <c r="B58" s="117">
        <v>0.55000000000000004</v>
      </c>
      <c r="C58" s="98"/>
      <c r="D58" s="118"/>
      <c r="E58" s="118"/>
      <c r="F58" s="118"/>
      <c r="G58" s="118"/>
      <c r="H58" s="118"/>
      <c r="I58" s="99"/>
      <c r="J58" s="86" t="s">
        <v>299</v>
      </c>
      <c r="K58" s="119">
        <v>0.5</v>
      </c>
      <c r="L58" s="98"/>
      <c r="M58" s="118"/>
      <c r="N58" s="118"/>
      <c r="O58" s="118"/>
      <c r="P58" s="118"/>
      <c r="Q58" s="118"/>
      <c r="R58" s="2"/>
      <c r="S58" s="2"/>
      <c r="T58" s="2"/>
      <c r="U58" s="2"/>
      <c r="V58" s="2"/>
      <c r="W58" s="2"/>
      <c r="X58" s="42"/>
    </row>
    <row r="59" spans="1:24">
      <c r="A59" s="2"/>
      <c r="B59" s="2"/>
      <c r="C59" s="2"/>
      <c r="D59" s="2"/>
      <c r="E59" s="2"/>
      <c r="F59" s="2"/>
      <c r="G59" s="2"/>
      <c r="H59" s="2"/>
      <c r="I59" s="99"/>
      <c r="J59" s="2"/>
      <c r="K59" s="2"/>
      <c r="L59" s="2"/>
      <c r="M59" s="2"/>
      <c r="N59" s="2"/>
      <c r="O59" s="2"/>
      <c r="P59" s="2"/>
      <c r="Q59" s="2"/>
      <c r="R59" s="2"/>
      <c r="S59" s="2"/>
      <c r="T59" s="2"/>
      <c r="U59" s="2"/>
      <c r="V59" s="2"/>
      <c r="W59" s="2"/>
      <c r="X59" s="42"/>
    </row>
    <row r="60" spans="1:24">
      <c r="A60" s="2" t="s">
        <v>300</v>
      </c>
      <c r="B60" s="2"/>
      <c r="C60" s="2"/>
      <c r="D60" s="2"/>
      <c r="E60" s="2"/>
      <c r="F60" s="2"/>
      <c r="G60" s="2"/>
      <c r="H60" s="2"/>
      <c r="I60" s="99"/>
      <c r="J60" s="2" t="s">
        <v>300</v>
      </c>
      <c r="K60" s="2"/>
      <c r="L60" s="2"/>
      <c r="M60" s="2"/>
      <c r="N60" s="2"/>
      <c r="O60" s="2"/>
      <c r="P60" s="2"/>
      <c r="Q60" s="2"/>
      <c r="R60" s="2"/>
      <c r="S60" s="2"/>
      <c r="T60" s="2"/>
      <c r="U60" s="2"/>
      <c r="V60" s="2"/>
      <c r="W60" s="2"/>
      <c r="X60" s="42"/>
    </row>
    <row r="61" spans="1:24">
      <c r="A61" s="86" t="s">
        <v>301</v>
      </c>
      <c r="B61" s="2" t="s">
        <v>302</v>
      </c>
      <c r="C61" s="2"/>
      <c r="D61" s="2"/>
      <c r="E61" s="2"/>
      <c r="F61" s="2"/>
      <c r="G61" s="2"/>
      <c r="H61" s="2"/>
      <c r="I61" s="99"/>
      <c r="J61" s="86" t="s">
        <v>301</v>
      </c>
      <c r="K61" s="2" t="s">
        <v>302</v>
      </c>
      <c r="L61" s="2"/>
      <c r="M61" s="2"/>
      <c r="N61" s="2"/>
      <c r="O61" s="2"/>
      <c r="P61" s="2"/>
      <c r="Q61" s="2"/>
      <c r="R61" s="2"/>
      <c r="S61" s="2"/>
      <c r="T61" s="2"/>
      <c r="U61" s="2"/>
      <c r="V61" s="2"/>
      <c r="W61" s="2"/>
      <c r="X61" s="42"/>
    </row>
    <row r="62" spans="1:24">
      <c r="A62" s="86" t="s">
        <v>63</v>
      </c>
      <c r="B62" s="120">
        <f>C47*B52*B58</f>
        <v>0.66466666666666674</v>
      </c>
      <c r="C62" s="2"/>
      <c r="D62" s="2"/>
      <c r="E62" s="2"/>
      <c r="F62" s="2"/>
      <c r="G62" s="2"/>
      <c r="H62" s="2"/>
      <c r="I62" s="99"/>
      <c r="J62" s="86" t="s">
        <v>63</v>
      </c>
      <c r="K62" s="120">
        <f>L47*K52*K58</f>
        <v>0.60424242424242425</v>
      </c>
      <c r="L62" s="2"/>
      <c r="M62" s="2"/>
      <c r="N62" s="2"/>
      <c r="O62" s="2"/>
      <c r="P62" s="2"/>
      <c r="Q62" s="2"/>
      <c r="R62" s="2"/>
      <c r="S62" s="2"/>
      <c r="T62" s="2"/>
      <c r="U62" s="2"/>
      <c r="V62" s="2"/>
      <c r="W62" s="2"/>
      <c r="X62" s="42"/>
    </row>
    <row r="63" spans="1:24">
      <c r="A63" s="42"/>
      <c r="B63" s="42"/>
      <c r="C63" s="42"/>
      <c r="D63" s="42"/>
      <c r="E63" s="42"/>
      <c r="F63" s="42"/>
      <c r="G63" s="42"/>
      <c r="H63" s="42"/>
      <c r="I63" s="80"/>
      <c r="J63" s="42"/>
      <c r="K63" s="42"/>
      <c r="L63" s="42"/>
      <c r="M63" s="42"/>
      <c r="N63" s="42"/>
      <c r="O63" s="42"/>
      <c r="P63" s="42"/>
      <c r="Q63" s="42"/>
      <c r="R63" s="42"/>
      <c r="S63" s="42"/>
      <c r="T63" s="42"/>
      <c r="U63" s="42"/>
      <c r="V63" s="42"/>
      <c r="W63" s="42"/>
      <c r="X63" s="42"/>
    </row>
    <row r="64" spans="1:24">
      <c r="A64" s="42" t="s">
        <v>303</v>
      </c>
      <c r="B64" s="42"/>
      <c r="C64" s="42"/>
      <c r="D64" s="42"/>
      <c r="E64" s="42"/>
      <c r="F64" s="42"/>
      <c r="G64" s="42"/>
      <c r="H64" s="42"/>
      <c r="I64" s="80"/>
      <c r="J64" s="42" t="s">
        <v>303</v>
      </c>
      <c r="K64" s="42"/>
      <c r="L64" s="42"/>
      <c r="M64" s="42"/>
      <c r="N64" s="42"/>
      <c r="O64" s="42"/>
      <c r="P64" s="42"/>
      <c r="Q64" s="42"/>
      <c r="R64" s="42"/>
      <c r="S64" s="42"/>
      <c r="T64" s="42"/>
      <c r="U64" s="42"/>
      <c r="V64" s="42"/>
      <c r="W64" s="42"/>
      <c r="X64" s="42"/>
    </row>
    <row r="65" spans="1:24">
      <c r="A65" s="747" t="s">
        <v>304</v>
      </c>
      <c r="B65" s="747"/>
      <c r="C65" s="747"/>
      <c r="D65" s="747"/>
      <c r="E65" s="747"/>
      <c r="F65" s="747"/>
      <c r="G65" s="747"/>
      <c r="H65" s="747"/>
      <c r="I65" s="747"/>
      <c r="J65" s="748" t="s">
        <v>304</v>
      </c>
      <c r="K65" s="747"/>
      <c r="L65" s="747"/>
      <c r="M65" s="747"/>
      <c r="N65" s="747"/>
      <c r="O65" s="747"/>
      <c r="P65" s="747"/>
      <c r="Q65" s="747"/>
      <c r="R65" s="747"/>
      <c r="S65" s="102"/>
      <c r="T65" s="102"/>
      <c r="U65" s="102"/>
      <c r="V65" s="102"/>
      <c r="W65" s="102"/>
      <c r="X65" s="42"/>
    </row>
    <row r="66" spans="1:24">
      <c r="A66" s="747"/>
      <c r="B66" s="747"/>
      <c r="C66" s="747"/>
      <c r="D66" s="747"/>
      <c r="E66" s="747"/>
      <c r="F66" s="747"/>
      <c r="G66" s="747"/>
      <c r="H66" s="747"/>
      <c r="I66" s="747"/>
      <c r="J66" s="748"/>
      <c r="K66" s="747"/>
      <c r="L66" s="747"/>
      <c r="M66" s="747"/>
      <c r="N66" s="747"/>
      <c r="O66" s="747"/>
      <c r="P66" s="747"/>
      <c r="Q66" s="747"/>
      <c r="R66" s="747"/>
      <c r="S66" s="102"/>
      <c r="T66" s="102"/>
      <c r="U66" s="102"/>
      <c r="V66" s="102"/>
      <c r="W66" s="102"/>
      <c r="X66" s="42"/>
    </row>
    <row r="67" spans="1:24">
      <c r="A67" s="86" t="s">
        <v>261</v>
      </c>
      <c r="B67" s="116" t="s">
        <v>262</v>
      </c>
      <c r="C67" s="116"/>
      <c r="D67" s="116"/>
      <c r="E67" s="116"/>
      <c r="F67" s="116"/>
      <c r="G67" s="116"/>
      <c r="H67" s="116"/>
      <c r="I67" s="99"/>
      <c r="J67" s="86" t="s">
        <v>261</v>
      </c>
      <c r="K67" s="116" t="s">
        <v>262</v>
      </c>
      <c r="L67" s="116"/>
      <c r="M67" s="116"/>
      <c r="N67" s="116"/>
      <c r="O67" s="116"/>
      <c r="P67" s="116"/>
      <c r="Q67" s="116"/>
      <c r="R67" s="2"/>
      <c r="S67" s="2"/>
      <c r="T67" s="2"/>
      <c r="U67" s="2"/>
      <c r="V67" s="2"/>
      <c r="W67" s="2"/>
      <c r="X67" s="42"/>
    </row>
    <row r="68" spans="1:24">
      <c r="A68" s="86" t="s">
        <v>63</v>
      </c>
      <c r="B68" s="121">
        <f>C11/B62</f>
        <v>5530.0603197059218</v>
      </c>
      <c r="C68" s="2" t="s">
        <v>258</v>
      </c>
      <c r="D68" s="2"/>
      <c r="E68" s="2"/>
      <c r="F68" s="2"/>
      <c r="G68" s="2"/>
      <c r="H68" s="2"/>
      <c r="I68" s="99"/>
      <c r="J68" s="86" t="s">
        <v>63</v>
      </c>
      <c r="K68" s="121">
        <f>L11/K62</f>
        <v>3943.3203811434305</v>
      </c>
      <c r="L68" s="2" t="s">
        <v>258</v>
      </c>
      <c r="M68" s="2"/>
      <c r="N68" s="2"/>
      <c r="O68" s="2"/>
      <c r="P68" s="2"/>
      <c r="Q68" s="2"/>
      <c r="R68" s="2"/>
      <c r="S68" s="2"/>
      <c r="T68" s="2"/>
      <c r="U68" s="2"/>
      <c r="V68" s="2"/>
      <c r="W68" s="2"/>
      <c r="X68" s="42"/>
    </row>
    <row r="69" spans="1:24">
      <c r="A69" s="107" t="s">
        <v>63</v>
      </c>
      <c r="B69" s="72">
        <f>B68*Z8</f>
        <v>7412.9352573593933</v>
      </c>
      <c r="C69" s="42" t="s">
        <v>252</v>
      </c>
      <c r="D69" s="42"/>
      <c r="E69" s="42"/>
      <c r="F69" s="42"/>
      <c r="G69" s="42"/>
      <c r="H69" s="42"/>
      <c r="I69" s="80"/>
      <c r="J69" s="107" t="s">
        <v>63</v>
      </c>
      <c r="K69" s="72">
        <f>K68*Z8</f>
        <v>5285.9421045151457</v>
      </c>
      <c r="L69" s="42" t="s">
        <v>252</v>
      </c>
      <c r="M69" s="42"/>
      <c r="N69" s="42"/>
      <c r="O69" s="42"/>
      <c r="P69" s="42"/>
      <c r="Q69" s="42"/>
      <c r="R69" s="42"/>
      <c r="S69" s="42"/>
      <c r="T69" s="42"/>
      <c r="U69" s="42"/>
      <c r="V69" s="42"/>
      <c r="W69" s="42"/>
      <c r="X69" s="42"/>
    </row>
    <row r="70" spans="1:24">
      <c r="A70" s="42"/>
      <c r="B70" s="42"/>
      <c r="C70" s="42"/>
      <c r="D70" s="42"/>
      <c r="E70" s="42"/>
      <c r="F70" s="42"/>
      <c r="G70" s="42"/>
      <c r="H70" s="42"/>
      <c r="I70" s="80"/>
      <c r="J70" s="42"/>
      <c r="K70" s="42"/>
      <c r="L70" s="42"/>
      <c r="M70" s="42"/>
      <c r="N70" s="42"/>
      <c r="O70" s="42"/>
      <c r="P70" s="42"/>
      <c r="Q70" s="42"/>
      <c r="R70" s="42"/>
      <c r="S70" s="42"/>
      <c r="T70" s="42"/>
      <c r="U70" s="42"/>
      <c r="V70" s="42"/>
      <c r="W70" s="42"/>
      <c r="X70" s="42"/>
    </row>
    <row r="71" spans="1:24">
      <c r="A71" s="81" t="s">
        <v>305</v>
      </c>
      <c r="B71" s="42"/>
      <c r="C71" s="42"/>
      <c r="D71" s="42"/>
      <c r="E71" s="42"/>
      <c r="F71" s="42"/>
      <c r="G71" s="42"/>
      <c r="H71" s="42"/>
      <c r="I71" s="80"/>
      <c r="J71" s="81" t="s">
        <v>305</v>
      </c>
      <c r="K71" s="42"/>
      <c r="L71" s="42"/>
      <c r="M71" s="42"/>
      <c r="N71" s="42"/>
      <c r="O71" s="42"/>
      <c r="P71" s="42"/>
      <c r="Q71" s="42"/>
      <c r="R71" s="42"/>
      <c r="S71" s="42"/>
      <c r="T71" s="42"/>
      <c r="U71" s="42"/>
      <c r="V71" s="42"/>
      <c r="W71" s="42"/>
      <c r="X71" s="42"/>
    </row>
    <row r="72" spans="1:24">
      <c r="A72" s="750" t="s">
        <v>306</v>
      </c>
      <c r="B72" s="750"/>
      <c r="C72" s="750"/>
      <c r="D72" s="750"/>
      <c r="E72" s="750"/>
      <c r="F72" s="750"/>
      <c r="G72" s="750"/>
      <c r="H72" s="750"/>
      <c r="I72" s="80"/>
      <c r="J72" s="750" t="s">
        <v>306</v>
      </c>
      <c r="K72" s="750"/>
      <c r="L72" s="750"/>
      <c r="M72" s="750"/>
      <c r="N72" s="750"/>
      <c r="O72" s="750"/>
      <c r="P72" s="750"/>
      <c r="Q72" s="750"/>
      <c r="R72" s="42"/>
      <c r="S72" s="42"/>
      <c r="T72" s="42"/>
      <c r="U72" s="42"/>
      <c r="V72" s="42"/>
      <c r="W72" s="42"/>
      <c r="X72" s="42"/>
    </row>
    <row r="73" spans="1:24">
      <c r="A73" s="750"/>
      <c r="B73" s="750"/>
      <c r="C73" s="750"/>
      <c r="D73" s="750"/>
      <c r="E73" s="750"/>
      <c r="F73" s="750"/>
      <c r="G73" s="750"/>
      <c r="H73" s="750"/>
      <c r="I73" s="80"/>
      <c r="J73" s="750"/>
      <c r="K73" s="750"/>
      <c r="L73" s="750"/>
      <c r="M73" s="750"/>
      <c r="N73" s="750"/>
      <c r="O73" s="750"/>
      <c r="P73" s="750"/>
      <c r="Q73" s="750"/>
      <c r="R73" s="42"/>
      <c r="S73" s="42"/>
      <c r="T73" s="42"/>
      <c r="U73" s="42"/>
      <c r="V73" s="42"/>
      <c r="W73" s="42"/>
      <c r="X73" s="42"/>
    </row>
    <row r="74" spans="1:24">
      <c r="A74" s="86" t="s">
        <v>307</v>
      </c>
      <c r="B74" s="2" t="s">
        <v>308</v>
      </c>
      <c r="C74" s="107" t="s">
        <v>309</v>
      </c>
      <c r="D74" s="122" t="s">
        <v>310</v>
      </c>
      <c r="E74" s="82" t="s">
        <v>311</v>
      </c>
      <c r="F74" s="82"/>
      <c r="G74" s="42"/>
      <c r="H74" s="42"/>
      <c r="I74" s="80"/>
      <c r="J74" s="86" t="s">
        <v>307</v>
      </c>
      <c r="K74" s="2" t="s">
        <v>308</v>
      </c>
      <c r="L74" s="107" t="s">
        <v>309</v>
      </c>
      <c r="M74" s="122" t="s">
        <v>310</v>
      </c>
      <c r="N74" s="82" t="s">
        <v>311</v>
      </c>
      <c r="O74" s="82"/>
      <c r="P74" s="42"/>
      <c r="Q74" s="42"/>
      <c r="R74" s="42"/>
      <c r="S74" s="42"/>
      <c r="T74" s="42"/>
      <c r="U74" s="42"/>
      <c r="V74" s="42"/>
      <c r="W74" s="42"/>
      <c r="X74" s="42"/>
    </row>
    <row r="75" spans="1:24">
      <c r="A75" s="42"/>
      <c r="B75" s="42"/>
      <c r="C75" s="42"/>
      <c r="D75" s="122" t="s">
        <v>312</v>
      </c>
      <c r="E75" s="82" t="s">
        <v>313</v>
      </c>
      <c r="F75" s="82"/>
      <c r="G75" s="42"/>
      <c r="H75" s="42"/>
      <c r="I75" s="80"/>
      <c r="J75" s="42"/>
      <c r="K75" s="42"/>
      <c r="L75" s="42"/>
      <c r="M75" s="122" t="s">
        <v>312</v>
      </c>
      <c r="N75" s="82" t="s">
        <v>313</v>
      </c>
      <c r="O75" s="82"/>
      <c r="P75" s="42"/>
      <c r="Q75" s="42"/>
      <c r="R75" s="42"/>
      <c r="S75" s="42"/>
      <c r="T75" s="42"/>
      <c r="U75" s="42"/>
      <c r="V75" s="42"/>
      <c r="W75" s="42"/>
      <c r="X75" s="42"/>
    </row>
    <row r="76" spans="1:24">
      <c r="A76" s="743" t="s">
        <v>314</v>
      </c>
      <c r="B76" s="743"/>
      <c r="C76" s="743"/>
      <c r="D76" s="743"/>
      <c r="E76" s="743"/>
      <c r="F76" s="743"/>
      <c r="G76" s="743"/>
      <c r="H76" s="743"/>
      <c r="I76" s="743"/>
      <c r="J76" s="744" t="s">
        <v>314</v>
      </c>
      <c r="K76" s="743"/>
      <c r="L76" s="743"/>
      <c r="M76" s="743"/>
      <c r="N76" s="743"/>
      <c r="O76" s="743"/>
      <c r="P76" s="743"/>
      <c r="Q76" s="743"/>
      <c r="R76" s="743"/>
      <c r="S76" s="123"/>
      <c r="T76" s="123"/>
      <c r="U76" s="123"/>
      <c r="V76" s="123"/>
      <c r="W76" s="123"/>
      <c r="X76" s="42"/>
    </row>
    <row r="77" spans="1:24">
      <c r="A77" s="743"/>
      <c r="B77" s="743"/>
      <c r="C77" s="743"/>
      <c r="D77" s="743"/>
      <c r="E77" s="743"/>
      <c r="F77" s="743"/>
      <c r="G77" s="743"/>
      <c r="H77" s="743"/>
      <c r="I77" s="743"/>
      <c r="J77" s="744"/>
      <c r="K77" s="743"/>
      <c r="L77" s="743"/>
      <c r="M77" s="743"/>
      <c r="N77" s="743"/>
      <c r="O77" s="743"/>
      <c r="P77" s="743"/>
      <c r="Q77" s="743"/>
      <c r="R77" s="743"/>
      <c r="S77" s="123"/>
      <c r="T77" s="123"/>
      <c r="U77" s="123"/>
      <c r="V77" s="123"/>
      <c r="W77" s="123"/>
      <c r="X77" s="42"/>
    </row>
    <row r="78" spans="1:24">
      <c r="A78" s="743"/>
      <c r="B78" s="743"/>
      <c r="C78" s="743"/>
      <c r="D78" s="743"/>
      <c r="E78" s="743"/>
      <c r="F78" s="743"/>
      <c r="G78" s="743"/>
      <c r="H78" s="743"/>
      <c r="I78" s="743"/>
      <c r="J78" s="744"/>
      <c r="K78" s="743"/>
      <c r="L78" s="743"/>
      <c r="M78" s="743"/>
      <c r="N78" s="743"/>
      <c r="O78" s="743"/>
      <c r="P78" s="743"/>
      <c r="Q78" s="743"/>
      <c r="R78" s="743"/>
      <c r="S78" s="123"/>
      <c r="T78" s="123"/>
      <c r="U78" s="123"/>
      <c r="V78" s="123"/>
      <c r="W78" s="123"/>
      <c r="X78" s="42"/>
    </row>
    <row r="79" spans="1:24">
      <c r="A79" s="743"/>
      <c r="B79" s="743"/>
      <c r="C79" s="743"/>
      <c r="D79" s="743"/>
      <c r="E79" s="743"/>
      <c r="F79" s="743"/>
      <c r="G79" s="743"/>
      <c r="H79" s="743"/>
      <c r="I79" s="743"/>
      <c r="J79" s="744"/>
      <c r="K79" s="743"/>
      <c r="L79" s="743"/>
      <c r="M79" s="743"/>
      <c r="N79" s="743"/>
      <c r="O79" s="743"/>
      <c r="P79" s="743"/>
      <c r="Q79" s="743"/>
      <c r="R79" s="743"/>
      <c r="S79" s="123"/>
      <c r="T79" s="123"/>
      <c r="U79" s="123"/>
      <c r="V79" s="123"/>
      <c r="W79" s="123"/>
      <c r="X79" s="42"/>
    </row>
    <row r="80" spans="1:24">
      <c r="A80" s="743"/>
      <c r="B80" s="743"/>
      <c r="C80" s="743"/>
      <c r="D80" s="743"/>
      <c r="E80" s="743"/>
      <c r="F80" s="743"/>
      <c r="G80" s="743"/>
      <c r="H80" s="743"/>
      <c r="I80" s="743"/>
      <c r="J80" s="744"/>
      <c r="K80" s="743"/>
      <c r="L80" s="743"/>
      <c r="M80" s="743"/>
      <c r="N80" s="743"/>
      <c r="O80" s="743"/>
      <c r="P80" s="743"/>
      <c r="Q80" s="743"/>
      <c r="R80" s="743"/>
      <c r="S80" s="123"/>
      <c r="T80" s="123"/>
      <c r="U80" s="123"/>
      <c r="V80" s="123"/>
      <c r="W80" s="123"/>
      <c r="X80" s="42"/>
    </row>
    <row r="81" spans="1:24">
      <c r="A81" s="42" t="s">
        <v>315</v>
      </c>
      <c r="B81" s="42"/>
      <c r="C81" s="124">
        <v>0.98</v>
      </c>
      <c r="D81" s="42" t="s">
        <v>316</v>
      </c>
      <c r="E81" s="42"/>
      <c r="F81" s="42"/>
      <c r="G81" s="42"/>
      <c r="H81" s="122"/>
      <c r="I81" s="80"/>
      <c r="J81" s="42" t="s">
        <v>315</v>
      </c>
      <c r="K81" s="42"/>
      <c r="L81" s="125">
        <v>0.98</v>
      </c>
      <c r="M81" s="42" t="s">
        <v>316</v>
      </c>
      <c r="N81" s="42"/>
      <c r="O81" s="42"/>
      <c r="P81" s="42"/>
      <c r="Q81" s="122"/>
      <c r="R81" s="42"/>
      <c r="S81" s="42"/>
      <c r="T81" s="42"/>
      <c r="U81" s="42"/>
      <c r="V81" s="42"/>
      <c r="W81" s="42"/>
      <c r="X81" s="42"/>
    </row>
    <row r="82" spans="1:24">
      <c r="A82" s="86" t="s">
        <v>307</v>
      </c>
      <c r="B82" s="2">
        <f>B68/C81</f>
        <v>5642.9186935774715</v>
      </c>
      <c r="C82" s="42" t="s">
        <v>250</v>
      </c>
      <c r="D82" s="42"/>
      <c r="E82" s="42"/>
      <c r="F82" s="42"/>
      <c r="G82" s="42"/>
      <c r="H82" s="42"/>
      <c r="I82" s="80"/>
      <c r="J82" s="86" t="s">
        <v>307</v>
      </c>
      <c r="K82" s="2">
        <f>K68/L81</f>
        <v>4023.7963072892148</v>
      </c>
      <c r="L82" s="42" t="s">
        <v>250</v>
      </c>
      <c r="M82" s="42"/>
      <c r="N82" s="42"/>
      <c r="O82" s="42"/>
      <c r="P82" s="42"/>
      <c r="Q82" s="42"/>
      <c r="R82" s="42"/>
      <c r="S82" s="42"/>
      <c r="T82" s="42"/>
      <c r="U82" s="42"/>
      <c r="V82" s="42"/>
      <c r="W82" s="42"/>
      <c r="X82" s="42"/>
    </row>
    <row r="83" spans="1:24">
      <c r="A83" s="107" t="s">
        <v>63</v>
      </c>
      <c r="B83" s="42">
        <f>B69/C81</f>
        <v>7564.2196503667283</v>
      </c>
      <c r="C83" s="42" t="s">
        <v>252</v>
      </c>
      <c r="D83" s="42"/>
      <c r="E83" s="42"/>
      <c r="F83" s="42"/>
      <c r="G83" s="42"/>
      <c r="H83" s="42"/>
      <c r="I83" s="80"/>
      <c r="J83" s="107" t="s">
        <v>63</v>
      </c>
      <c r="K83" s="42">
        <f>K69/L81</f>
        <v>5393.8184739950466</v>
      </c>
      <c r="L83" s="42" t="s">
        <v>252</v>
      </c>
      <c r="M83" s="42"/>
      <c r="N83" s="42"/>
      <c r="O83" s="42"/>
      <c r="P83" s="42"/>
      <c r="Q83" s="42"/>
      <c r="R83" s="42"/>
      <c r="S83" s="42"/>
      <c r="T83" s="42"/>
      <c r="U83" s="42"/>
      <c r="V83" s="42"/>
      <c r="W83" s="42"/>
      <c r="X83" s="42"/>
    </row>
    <row r="84" spans="1:24">
      <c r="A84" s="42"/>
      <c r="B84" s="42"/>
      <c r="C84" s="42"/>
      <c r="D84" s="42"/>
      <c r="E84" s="42"/>
      <c r="F84" s="42"/>
      <c r="G84" s="42"/>
      <c r="H84" s="42"/>
      <c r="I84" s="80"/>
      <c r="J84" s="42"/>
      <c r="K84" s="42"/>
      <c r="L84" s="42"/>
      <c r="M84" s="42"/>
      <c r="N84" s="42"/>
      <c r="O84" s="42"/>
      <c r="P84" s="42"/>
      <c r="Q84" s="42"/>
      <c r="R84" s="42"/>
      <c r="S84" s="42"/>
      <c r="T84" s="42"/>
      <c r="U84" s="42"/>
      <c r="V84" s="42"/>
      <c r="W84" s="42"/>
      <c r="X84" s="42"/>
    </row>
    <row r="85" spans="1:24">
      <c r="A85" s="81" t="s">
        <v>317</v>
      </c>
      <c r="B85" s="42"/>
      <c r="C85" s="42"/>
      <c r="D85" s="42"/>
      <c r="E85" s="42"/>
      <c r="F85" s="42"/>
      <c r="G85" s="42"/>
      <c r="H85" s="42"/>
      <c r="I85" s="80"/>
      <c r="J85" s="81" t="s">
        <v>317</v>
      </c>
      <c r="K85" s="42"/>
      <c r="L85" s="42"/>
      <c r="M85" s="42"/>
      <c r="N85" s="42"/>
      <c r="O85" s="42"/>
      <c r="P85" s="42"/>
      <c r="Q85" s="42"/>
      <c r="R85" s="42"/>
      <c r="S85" s="42"/>
      <c r="T85" s="42"/>
      <c r="U85" s="42"/>
      <c r="V85" s="42"/>
      <c r="W85" s="42"/>
      <c r="X85" s="42"/>
    </row>
    <row r="86" spans="1:24">
      <c r="A86" s="107" t="s">
        <v>318</v>
      </c>
      <c r="B86" s="82"/>
      <c r="C86" s="42"/>
      <c r="D86" s="82"/>
      <c r="E86" s="42"/>
      <c r="F86" s="42"/>
      <c r="G86" s="42"/>
      <c r="H86" s="42"/>
      <c r="I86" s="80"/>
      <c r="J86" s="107" t="s">
        <v>318</v>
      </c>
      <c r="K86" s="82"/>
      <c r="L86" s="42"/>
      <c r="M86" s="82"/>
      <c r="N86" s="42"/>
      <c r="O86" s="42"/>
      <c r="P86" s="42"/>
      <c r="Q86" s="42"/>
      <c r="R86" s="42"/>
      <c r="S86" s="42"/>
      <c r="T86" s="42"/>
      <c r="U86" s="42"/>
      <c r="V86" s="42"/>
      <c r="W86" s="42"/>
      <c r="X86" s="42"/>
    </row>
    <row r="87" spans="1:24">
      <c r="A87" s="745" t="s">
        <v>319</v>
      </c>
      <c r="B87" s="745"/>
      <c r="C87" s="745"/>
      <c r="D87" s="745"/>
      <c r="E87" s="745"/>
      <c r="F87" s="745"/>
      <c r="G87" s="745"/>
      <c r="H87" s="745"/>
      <c r="I87" s="745"/>
      <c r="J87" s="746" t="s">
        <v>319</v>
      </c>
      <c r="K87" s="745"/>
      <c r="L87" s="745"/>
      <c r="M87" s="745"/>
      <c r="N87" s="745"/>
      <c r="O87" s="745"/>
      <c r="P87" s="745"/>
      <c r="Q87" s="745"/>
      <c r="R87" s="745"/>
      <c r="S87" s="126"/>
      <c r="T87" s="126"/>
      <c r="U87" s="126"/>
      <c r="V87" s="126"/>
      <c r="W87" s="126"/>
      <c r="X87" s="42"/>
    </row>
    <row r="88" spans="1:24">
      <c r="A88" s="745"/>
      <c r="B88" s="745"/>
      <c r="C88" s="745"/>
      <c r="D88" s="745"/>
      <c r="E88" s="745"/>
      <c r="F88" s="745"/>
      <c r="G88" s="745"/>
      <c r="H88" s="745"/>
      <c r="I88" s="745"/>
      <c r="J88" s="746"/>
      <c r="K88" s="745"/>
      <c r="L88" s="745"/>
      <c r="M88" s="745"/>
      <c r="N88" s="745"/>
      <c r="O88" s="745"/>
      <c r="P88" s="745"/>
      <c r="Q88" s="745"/>
      <c r="R88" s="745"/>
      <c r="S88" s="126"/>
      <c r="T88" s="126"/>
      <c r="U88" s="126"/>
      <c r="V88" s="126"/>
      <c r="W88" s="126"/>
      <c r="X88" s="42"/>
    </row>
    <row r="89" spans="1:24">
      <c r="A89" s="42"/>
      <c r="B89" s="42"/>
      <c r="C89" s="42"/>
      <c r="D89" s="42"/>
      <c r="E89" s="42"/>
      <c r="F89" s="42"/>
      <c r="G89" s="42"/>
      <c r="H89" s="42"/>
      <c r="I89" s="80"/>
      <c r="J89" s="42"/>
      <c r="K89" s="42"/>
      <c r="L89" s="42"/>
      <c r="M89" s="42"/>
      <c r="N89" s="42"/>
      <c r="O89" s="42"/>
      <c r="P89" s="42"/>
      <c r="Q89" s="42"/>
      <c r="R89" s="42"/>
      <c r="S89" s="42"/>
      <c r="T89" s="42"/>
      <c r="U89" s="42"/>
      <c r="V89" s="42"/>
      <c r="W89" s="42"/>
      <c r="X89" s="42"/>
    </row>
    <row r="90" spans="1:24">
      <c r="A90" s="86" t="s">
        <v>320</v>
      </c>
      <c r="B90" s="2" t="s">
        <v>321</v>
      </c>
      <c r="C90" s="2"/>
      <c r="D90" s="2"/>
      <c r="E90" s="2"/>
      <c r="F90" s="42"/>
      <c r="G90" s="42"/>
      <c r="H90" s="42"/>
      <c r="I90" s="80"/>
      <c r="J90" s="86" t="s">
        <v>320</v>
      </c>
      <c r="K90" s="2" t="s">
        <v>321</v>
      </c>
      <c r="L90" s="2"/>
      <c r="M90" s="2"/>
      <c r="N90" s="2"/>
      <c r="O90" s="42"/>
      <c r="P90" s="42"/>
      <c r="Q90" s="42"/>
      <c r="R90" s="42"/>
      <c r="S90" s="42"/>
      <c r="T90" s="42"/>
      <c r="U90" s="42"/>
      <c r="V90" s="42"/>
      <c r="W90" s="42"/>
      <c r="X90" s="42"/>
    </row>
    <row r="91" spans="1:24">
      <c r="A91" s="747" t="s">
        <v>322</v>
      </c>
      <c r="B91" s="747"/>
      <c r="C91" s="747"/>
      <c r="D91" s="747"/>
      <c r="E91" s="747"/>
      <c r="F91" s="747"/>
      <c r="G91" s="747"/>
      <c r="H91" s="747"/>
      <c r="I91" s="747"/>
      <c r="J91" s="748" t="s">
        <v>322</v>
      </c>
      <c r="K91" s="747"/>
      <c r="L91" s="747"/>
      <c r="M91" s="747"/>
      <c r="N91" s="747"/>
      <c r="O91" s="747"/>
      <c r="P91" s="747"/>
      <c r="Q91" s="747"/>
      <c r="R91" s="747"/>
      <c r="S91" s="102"/>
      <c r="T91" s="102"/>
      <c r="U91" s="102"/>
      <c r="V91" s="102"/>
      <c r="W91" s="102"/>
      <c r="X91" s="42"/>
    </row>
    <row r="92" spans="1:24">
      <c r="A92" s="747"/>
      <c r="B92" s="747"/>
      <c r="C92" s="747"/>
      <c r="D92" s="747"/>
      <c r="E92" s="747"/>
      <c r="F92" s="747"/>
      <c r="G92" s="747"/>
      <c r="H92" s="747"/>
      <c r="I92" s="747"/>
      <c r="J92" s="748"/>
      <c r="K92" s="747"/>
      <c r="L92" s="747"/>
      <c r="M92" s="747"/>
      <c r="N92" s="747"/>
      <c r="O92" s="747"/>
      <c r="P92" s="747"/>
      <c r="Q92" s="747"/>
      <c r="R92" s="747"/>
      <c r="S92" s="102"/>
      <c r="T92" s="102"/>
      <c r="U92" s="102"/>
      <c r="V92" s="102"/>
      <c r="W92" s="102"/>
      <c r="X92" s="42"/>
    </row>
    <row r="93" spans="1:24">
      <c r="A93" s="86" t="s">
        <v>320</v>
      </c>
      <c r="B93" s="121">
        <f>B82/0.98</f>
        <v>5758.0802995688482</v>
      </c>
      <c r="C93" s="2" t="s">
        <v>250</v>
      </c>
      <c r="D93" s="42"/>
      <c r="E93" s="42"/>
      <c r="F93" s="42"/>
      <c r="G93" s="42"/>
      <c r="H93" s="42"/>
      <c r="I93" s="80"/>
      <c r="J93" s="86" t="s">
        <v>320</v>
      </c>
      <c r="K93" s="121">
        <f>K82/0.98</f>
        <v>4105.914599274709</v>
      </c>
      <c r="L93" s="2" t="s">
        <v>250</v>
      </c>
      <c r="M93" s="42"/>
      <c r="N93" s="42"/>
      <c r="O93" s="42"/>
      <c r="P93" s="42"/>
      <c r="Q93" s="42"/>
      <c r="R93" s="42"/>
      <c r="S93" s="42"/>
      <c r="T93" s="42"/>
      <c r="U93" s="42"/>
      <c r="V93" s="42"/>
      <c r="W93" s="42"/>
      <c r="X93" s="42"/>
    </row>
    <row r="94" spans="1:24">
      <c r="A94" s="107" t="s">
        <v>63</v>
      </c>
      <c r="B94" s="121">
        <f>B83/0.98</f>
        <v>7718.5914799660495</v>
      </c>
      <c r="C94" s="42" t="s">
        <v>252</v>
      </c>
      <c r="D94" s="42"/>
      <c r="E94" s="42"/>
      <c r="F94" s="42"/>
      <c r="G94" s="42"/>
      <c r="H94" s="42"/>
      <c r="I94" s="80"/>
      <c r="J94" s="107" t="s">
        <v>63</v>
      </c>
      <c r="K94" s="121">
        <f>K83/1</f>
        <v>5393.8184739950466</v>
      </c>
      <c r="L94" s="42" t="s">
        <v>252</v>
      </c>
      <c r="M94" s="42"/>
      <c r="N94" s="42"/>
      <c r="O94" s="42"/>
      <c r="P94" s="42"/>
      <c r="Q94" s="42"/>
      <c r="R94" s="42"/>
      <c r="S94" s="42"/>
      <c r="T94" s="42"/>
      <c r="U94" s="42"/>
      <c r="V94" s="42"/>
      <c r="W94" s="42"/>
      <c r="X94" s="42"/>
    </row>
    <row r="95" spans="1:24">
      <c r="A95" s="42"/>
      <c r="B95" s="42"/>
      <c r="C95" s="42"/>
      <c r="D95" s="42"/>
      <c r="E95" s="42"/>
      <c r="F95" s="42"/>
      <c r="G95" s="42"/>
      <c r="H95" s="42"/>
      <c r="I95" s="80"/>
      <c r="J95" s="42"/>
      <c r="K95" s="42"/>
      <c r="L95" s="42"/>
      <c r="M95" s="42"/>
      <c r="N95" s="42"/>
      <c r="O95" s="42"/>
      <c r="P95" s="42"/>
      <c r="Q95" s="42"/>
      <c r="R95" s="42"/>
      <c r="S95" s="42"/>
      <c r="T95" s="42"/>
      <c r="U95" s="42"/>
      <c r="V95" s="42"/>
      <c r="W95" s="42"/>
      <c r="X95" s="42"/>
    </row>
    <row r="96" spans="1:24">
      <c r="A96" s="82" t="s">
        <v>323</v>
      </c>
      <c r="B96" s="42"/>
      <c r="C96" s="42"/>
      <c r="D96" s="42"/>
      <c r="E96" s="42"/>
      <c r="F96" s="42"/>
      <c r="G96" s="42"/>
      <c r="H96" s="42"/>
      <c r="I96" s="80"/>
      <c r="J96" s="82" t="s">
        <v>324</v>
      </c>
      <c r="K96" s="42"/>
      <c r="L96" s="42"/>
      <c r="M96" s="42"/>
      <c r="N96" s="42"/>
      <c r="O96" s="42"/>
      <c r="P96" s="42"/>
      <c r="Q96" s="42"/>
      <c r="R96" s="42"/>
      <c r="S96" s="42"/>
      <c r="T96" s="42"/>
      <c r="U96" s="42"/>
      <c r="V96" s="42"/>
      <c r="W96" s="42"/>
      <c r="X96" s="42"/>
    </row>
    <row r="97" spans="1:24" ht="15.6" customHeight="1">
      <c r="A97" s="741" t="s">
        <v>325</v>
      </c>
      <c r="B97" s="741"/>
      <c r="C97" s="741"/>
      <c r="D97" s="741"/>
      <c r="E97" s="741"/>
      <c r="F97" s="741"/>
      <c r="G97" s="741"/>
      <c r="H97" s="741"/>
      <c r="I97" s="741"/>
      <c r="J97" s="742" t="s">
        <v>326</v>
      </c>
      <c r="K97" s="741"/>
      <c r="L97" s="741"/>
      <c r="M97" s="741"/>
      <c r="N97" s="741"/>
      <c r="O97" s="741"/>
      <c r="P97" s="741"/>
      <c r="Q97" s="741"/>
      <c r="R97" s="741"/>
      <c r="S97" s="127"/>
      <c r="T97" s="127"/>
      <c r="U97" s="127"/>
      <c r="V97" s="127"/>
      <c r="W97" s="127"/>
      <c r="X97" s="42"/>
    </row>
    <row r="98" spans="1:24" ht="32.4" customHeight="1">
      <c r="A98" s="741"/>
      <c r="B98" s="741"/>
      <c r="C98" s="741"/>
      <c r="D98" s="741"/>
      <c r="E98" s="741"/>
      <c r="F98" s="741"/>
      <c r="G98" s="741"/>
      <c r="H98" s="741"/>
      <c r="I98" s="741"/>
      <c r="J98" s="742"/>
      <c r="K98" s="741"/>
      <c r="L98" s="741"/>
      <c r="M98" s="741"/>
      <c r="N98" s="741"/>
      <c r="O98" s="741"/>
      <c r="P98" s="741"/>
      <c r="Q98" s="741"/>
      <c r="R98" s="741"/>
      <c r="S98" s="127"/>
      <c r="T98" s="127"/>
      <c r="U98" s="127"/>
      <c r="V98" s="127"/>
      <c r="W98" s="127"/>
      <c r="X98" s="42"/>
    </row>
    <row r="99" spans="1:24">
      <c r="A99" s="741"/>
      <c r="B99" s="741"/>
      <c r="C99" s="741"/>
      <c r="D99" s="741"/>
      <c r="E99" s="741"/>
      <c r="F99" s="741"/>
      <c r="G99" s="741"/>
      <c r="H99" s="741"/>
      <c r="I99" s="741"/>
      <c r="J99" s="742"/>
      <c r="K99" s="741"/>
      <c r="L99" s="741"/>
      <c r="M99" s="741"/>
      <c r="N99" s="741"/>
      <c r="O99" s="741"/>
      <c r="P99" s="741"/>
      <c r="Q99" s="741"/>
      <c r="R99" s="741"/>
      <c r="S99" s="127"/>
      <c r="T99" s="127"/>
      <c r="U99" s="127"/>
      <c r="V99" s="127"/>
      <c r="W99" s="127"/>
      <c r="X99" s="42"/>
    </row>
    <row r="100" spans="1:24">
      <c r="A100" s="42"/>
      <c r="B100" s="42"/>
      <c r="C100" s="107" t="s">
        <v>327</v>
      </c>
      <c r="D100" s="42"/>
      <c r="E100" s="42"/>
      <c r="F100" s="42"/>
      <c r="G100" s="42"/>
      <c r="H100" s="42"/>
      <c r="I100" s="80"/>
      <c r="J100" s="42"/>
      <c r="K100" s="42"/>
      <c r="L100" s="107" t="s">
        <v>327</v>
      </c>
      <c r="M100" s="42"/>
      <c r="O100" s="42"/>
      <c r="P100" s="42"/>
      <c r="Q100" s="42"/>
      <c r="R100" s="42"/>
      <c r="S100" s="42"/>
      <c r="T100" s="42"/>
      <c r="U100" s="42"/>
      <c r="V100" s="42"/>
      <c r="W100" s="42"/>
      <c r="X100" s="42"/>
    </row>
    <row r="101" spans="1:24">
      <c r="A101" s="42"/>
      <c r="B101" s="86" t="s">
        <v>328</v>
      </c>
      <c r="C101" s="124">
        <v>1</v>
      </c>
      <c r="D101" s="42"/>
      <c r="E101" s="42"/>
      <c r="F101" s="42"/>
      <c r="G101" s="42"/>
      <c r="H101" s="42"/>
      <c r="I101" s="80"/>
      <c r="J101" s="42"/>
      <c r="K101" s="86" t="s">
        <v>328</v>
      </c>
      <c r="L101" s="124">
        <v>1</v>
      </c>
      <c r="M101" s="42"/>
      <c r="O101" s="42"/>
      <c r="P101" s="42"/>
      <c r="Q101" s="42"/>
      <c r="R101" s="42"/>
      <c r="S101" s="42"/>
      <c r="T101" s="42"/>
      <c r="U101" s="42"/>
      <c r="V101" s="42"/>
      <c r="W101" s="42"/>
      <c r="X101" s="42"/>
    </row>
    <row r="102" spans="1:24">
      <c r="A102" s="84" t="s">
        <v>329</v>
      </c>
      <c r="B102" s="82" t="s">
        <v>330</v>
      </c>
      <c r="C102" s="82"/>
      <c r="D102" s="42"/>
      <c r="E102" s="42"/>
      <c r="F102" s="42"/>
      <c r="G102" s="42"/>
      <c r="H102" s="42"/>
      <c r="I102" s="80"/>
      <c r="J102" s="84" t="s">
        <v>329</v>
      </c>
      <c r="K102" s="82" t="s">
        <v>330</v>
      </c>
      <c r="L102" s="82"/>
      <c r="M102" s="42"/>
      <c r="O102" s="42"/>
      <c r="P102" s="42"/>
      <c r="Q102" s="42"/>
      <c r="R102" s="42"/>
      <c r="S102" s="42"/>
      <c r="T102" s="42"/>
      <c r="U102" s="42"/>
      <c r="V102" s="42"/>
      <c r="W102" s="42"/>
      <c r="X102" s="42"/>
    </row>
    <row r="103" spans="1:24">
      <c r="A103" s="84" t="s">
        <v>63</v>
      </c>
      <c r="B103" s="128">
        <f>$B$93/$C$101</f>
        <v>5758.0802995688482</v>
      </c>
      <c r="C103" s="82" t="s">
        <v>258</v>
      </c>
      <c r="D103" s="42"/>
      <c r="E103" s="42"/>
      <c r="F103" s="42"/>
      <c r="G103" s="42"/>
      <c r="H103" s="42"/>
      <c r="I103" s="80"/>
      <c r="J103" s="84" t="s">
        <v>63</v>
      </c>
      <c r="K103" s="129">
        <f>$K$93/$L$101</f>
        <v>4105.914599274709</v>
      </c>
      <c r="L103" s="82" t="s">
        <v>258</v>
      </c>
      <c r="M103" s="42"/>
      <c r="O103" s="42"/>
      <c r="P103" s="42"/>
      <c r="Q103" s="42"/>
      <c r="R103" s="42"/>
      <c r="S103" s="42"/>
      <c r="T103" s="42"/>
      <c r="U103" s="42"/>
      <c r="V103" s="42"/>
      <c r="W103" s="42"/>
      <c r="X103" s="42"/>
    </row>
    <row r="104" spans="1:24">
      <c r="A104" s="84" t="s">
        <v>63</v>
      </c>
      <c r="B104" s="128">
        <f>$B$94/$C$101</f>
        <v>7718.5914799660495</v>
      </c>
      <c r="C104" s="82" t="s">
        <v>252</v>
      </c>
      <c r="D104" s="42"/>
      <c r="E104" s="42"/>
      <c r="F104" s="42"/>
      <c r="G104" s="42"/>
      <c r="H104" s="42"/>
      <c r="I104" s="80"/>
      <c r="J104" s="84" t="s">
        <v>63</v>
      </c>
      <c r="K104" s="128">
        <f>$K$94/$L$101</f>
        <v>5393.8184739950466</v>
      </c>
      <c r="L104" s="82" t="s">
        <v>252</v>
      </c>
      <c r="M104" s="42"/>
      <c r="O104" s="42"/>
      <c r="P104" s="42"/>
      <c r="Q104" s="42"/>
      <c r="R104" s="42"/>
      <c r="S104" s="42"/>
      <c r="T104" s="42"/>
      <c r="U104" s="42"/>
      <c r="V104" s="42"/>
      <c r="W104" s="42"/>
      <c r="X104" s="42"/>
    </row>
    <row r="105" spans="1:24">
      <c r="A105" s="42"/>
      <c r="B105" s="42"/>
      <c r="C105" s="42"/>
      <c r="D105" s="42"/>
      <c r="E105" s="42"/>
      <c r="F105" s="42"/>
      <c r="G105" s="42"/>
      <c r="H105" s="42"/>
      <c r="I105" s="80"/>
      <c r="J105" s="42"/>
      <c r="K105" s="42"/>
      <c r="L105" s="42"/>
      <c r="M105" s="42"/>
      <c r="N105" s="42"/>
      <c r="O105" s="42"/>
      <c r="P105" s="42"/>
      <c r="Q105" s="42"/>
      <c r="R105" s="42"/>
      <c r="S105" s="42"/>
      <c r="T105" s="42"/>
      <c r="U105" s="42"/>
      <c r="V105" s="42"/>
      <c r="W105" s="42"/>
      <c r="X105" s="42"/>
    </row>
    <row r="106" spans="1:24">
      <c r="A106" s="42"/>
      <c r="B106" s="42"/>
      <c r="C106" s="124"/>
      <c r="D106" s="42"/>
      <c r="E106" s="42"/>
      <c r="F106" s="42"/>
      <c r="G106" s="42"/>
      <c r="H106" s="42"/>
      <c r="I106" s="80"/>
      <c r="J106" s="42"/>
      <c r="K106" s="42"/>
      <c r="L106" s="124"/>
      <c r="M106" s="42"/>
      <c r="N106" s="42"/>
      <c r="O106" s="42"/>
      <c r="P106" s="42"/>
      <c r="Q106" s="42"/>
      <c r="R106" s="42"/>
      <c r="S106" s="42"/>
      <c r="T106" s="42"/>
      <c r="U106" s="42"/>
      <c r="V106" s="42"/>
      <c r="W106" s="42"/>
      <c r="X106" s="42"/>
    </row>
    <row r="107" spans="1:24">
      <c r="A107" s="42"/>
      <c r="B107" s="107"/>
      <c r="C107" s="124"/>
      <c r="D107" s="42"/>
      <c r="E107" s="42"/>
      <c r="F107" s="42"/>
      <c r="G107" s="42"/>
      <c r="H107" s="42"/>
      <c r="I107" s="80"/>
      <c r="J107" s="42"/>
      <c r="K107" s="107"/>
      <c r="L107" s="124"/>
      <c r="M107" s="42"/>
      <c r="N107" s="42"/>
      <c r="O107" s="42"/>
      <c r="P107" s="42"/>
      <c r="Q107" s="42"/>
      <c r="R107" s="42"/>
      <c r="S107" s="42"/>
      <c r="T107" s="42"/>
      <c r="U107" s="42"/>
      <c r="V107" s="42"/>
      <c r="W107" s="42"/>
      <c r="X107" s="42"/>
    </row>
    <row r="108" spans="1:24">
      <c r="A108" s="130"/>
      <c r="B108" s="131" t="s">
        <v>331</v>
      </c>
      <c r="C108" s="132">
        <v>2.1</v>
      </c>
      <c r="D108" s="130"/>
      <c r="E108" s="130"/>
      <c r="F108" s="130"/>
      <c r="G108" s="42"/>
      <c r="H108" s="42"/>
      <c r="I108" s="80"/>
      <c r="J108" s="42"/>
      <c r="K108" s="107"/>
      <c r="L108" s="124"/>
      <c r="M108" s="42"/>
      <c r="N108" s="42"/>
      <c r="O108" s="42"/>
      <c r="P108" s="42"/>
      <c r="Q108" s="42"/>
      <c r="R108" s="42"/>
      <c r="S108" s="42"/>
      <c r="T108" s="42"/>
      <c r="U108" s="42"/>
      <c r="V108" s="42"/>
      <c r="W108" s="42"/>
      <c r="X108" s="42"/>
    </row>
    <row r="109" spans="1:24">
      <c r="A109" s="664" t="s">
        <v>332</v>
      </c>
      <c r="B109" s="664"/>
      <c r="C109" s="664"/>
      <c r="D109" s="664"/>
      <c r="E109" s="664"/>
      <c r="F109" s="664"/>
      <c r="G109" s="664"/>
      <c r="H109" s="664"/>
      <c r="I109" s="664"/>
      <c r="J109" s="664"/>
      <c r="K109" s="664"/>
      <c r="L109" s="664"/>
      <c r="M109" s="664"/>
      <c r="N109" s="664"/>
      <c r="O109" s="664"/>
      <c r="P109" s="664"/>
      <c r="Q109" s="664"/>
      <c r="R109" s="664"/>
      <c r="S109" s="133"/>
      <c r="T109" s="133"/>
      <c r="U109" s="133"/>
      <c r="V109" s="133"/>
      <c r="W109" s="133"/>
      <c r="X109" s="42"/>
    </row>
    <row r="110" spans="1:24">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42"/>
    </row>
    <row r="111" spans="1:24">
      <c r="A111" s="664" t="s">
        <v>333</v>
      </c>
      <c r="B111" s="664"/>
      <c r="C111" s="664"/>
      <c r="D111" s="664"/>
      <c r="E111" s="664"/>
      <c r="F111" s="664"/>
      <c r="G111" s="664"/>
      <c r="H111" s="664"/>
      <c r="I111" s="664"/>
      <c r="J111" s="664"/>
      <c r="K111" s="664"/>
      <c r="L111" s="664"/>
      <c r="M111" s="664"/>
      <c r="N111" s="664"/>
      <c r="O111" s="664"/>
      <c r="P111" s="664"/>
      <c r="Q111" s="664"/>
      <c r="R111" s="664"/>
      <c r="S111" s="133"/>
      <c r="T111" s="133"/>
      <c r="U111" s="133"/>
      <c r="V111" s="133"/>
      <c r="W111" s="133"/>
      <c r="X111" s="42"/>
    </row>
    <row r="112" spans="1:24">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42"/>
    </row>
    <row r="113" spans="1:34">
      <c r="A113" s="87"/>
      <c r="E113" s="78"/>
      <c r="F113" s="78"/>
      <c r="G113" s="78"/>
      <c r="H113" s="78"/>
      <c r="I113" s="78"/>
      <c r="J113" s="78"/>
      <c r="K113" s="78"/>
      <c r="L113" s="78"/>
      <c r="M113" s="78"/>
      <c r="N113" s="78"/>
      <c r="O113" s="78"/>
      <c r="P113" s="78"/>
      <c r="Q113" s="78"/>
      <c r="R113" s="703" t="s">
        <v>334</v>
      </c>
      <c r="S113" s="703"/>
      <c r="T113" s="703"/>
      <c r="U113" s="703"/>
      <c r="V113" s="703"/>
      <c r="W113" s="78"/>
      <c r="X113" s="42"/>
    </row>
    <row r="114" spans="1:34">
      <c r="A114" s="87"/>
      <c r="B114" s="723" t="s">
        <v>335</v>
      </c>
      <c r="C114" s="724"/>
      <c r="D114" s="725"/>
      <c r="E114" s="78"/>
      <c r="F114" s="78"/>
      <c r="G114" s="78"/>
      <c r="H114" s="78"/>
      <c r="I114" s="78"/>
      <c r="J114" s="78"/>
      <c r="K114" s="78"/>
      <c r="N114" s="78"/>
      <c r="O114" s="78"/>
      <c r="P114" s="78"/>
      <c r="Q114" s="78"/>
      <c r="R114" s="703" t="s">
        <v>336</v>
      </c>
      <c r="S114" s="703"/>
      <c r="T114" s="703" t="s">
        <v>337</v>
      </c>
      <c r="U114" s="703"/>
      <c r="V114" s="703"/>
      <c r="W114" s="78"/>
      <c r="X114" s="42"/>
    </row>
    <row r="115" spans="1:34">
      <c r="A115" s="87"/>
      <c r="B115" s="77" t="s">
        <v>338</v>
      </c>
      <c r="C115" s="723" t="s">
        <v>339</v>
      </c>
      <c r="D115" s="725"/>
      <c r="E115" s="78"/>
      <c r="F115" s="78"/>
      <c r="G115" s="78"/>
      <c r="H115" s="78"/>
      <c r="I115" s="78"/>
      <c r="J115" s="78"/>
      <c r="K115" s="78"/>
      <c r="N115" s="78"/>
      <c r="O115" s="78"/>
      <c r="P115" s="78"/>
      <c r="Q115" s="78"/>
      <c r="R115" s="134" t="s">
        <v>340</v>
      </c>
      <c r="S115" s="134"/>
      <c r="T115" s="727">
        <v>4.8179999999999996</v>
      </c>
      <c r="U115" s="728"/>
      <c r="V115" s="729"/>
      <c r="W115" s="78"/>
      <c r="X115" s="42"/>
    </row>
    <row r="116" spans="1:34">
      <c r="A116" s="87"/>
      <c r="B116" s="77" t="s">
        <v>336</v>
      </c>
      <c r="C116" s="723" t="s">
        <v>341</v>
      </c>
      <c r="D116" s="725"/>
      <c r="E116" s="78"/>
      <c r="F116" s="78"/>
      <c r="G116" s="78"/>
      <c r="H116" s="78"/>
      <c r="I116" s="78"/>
      <c r="J116" s="78"/>
      <c r="K116" s="78"/>
      <c r="N116" s="78"/>
      <c r="O116" s="78"/>
      <c r="R116" s="134" t="s">
        <v>342</v>
      </c>
      <c r="S116" s="134"/>
      <c r="T116" s="703">
        <v>7.6585999999999999</v>
      </c>
      <c r="U116" s="703"/>
      <c r="V116" s="4" t="s">
        <v>343</v>
      </c>
      <c r="W116" s="78"/>
      <c r="X116" s="42"/>
    </row>
    <row r="117" spans="1:34">
      <c r="A117" s="87"/>
      <c r="B117" s="77" t="s">
        <v>344</v>
      </c>
      <c r="C117" s="723">
        <v>4</v>
      </c>
      <c r="D117" s="725"/>
      <c r="E117" s="87"/>
      <c r="F117" s="87"/>
      <c r="G117" s="87"/>
      <c r="H117" s="87"/>
      <c r="I117" s="87"/>
      <c r="J117" s="87"/>
      <c r="K117" s="78"/>
      <c r="N117" s="78"/>
      <c r="O117" s="78"/>
      <c r="R117" s="683" t="s">
        <v>345</v>
      </c>
      <c r="S117" s="683"/>
      <c r="T117" s="683">
        <v>16600</v>
      </c>
      <c r="U117" s="683"/>
      <c r="V117" s="4" t="s">
        <v>346</v>
      </c>
      <c r="W117" s="78"/>
      <c r="X117" s="42"/>
    </row>
    <row r="118" spans="1:34">
      <c r="A118" s="87"/>
      <c r="B118" s="77" t="s">
        <v>347</v>
      </c>
      <c r="C118" s="723">
        <v>7</v>
      </c>
      <c r="D118" s="725"/>
      <c r="E118" s="87"/>
      <c r="F118" s="87"/>
      <c r="G118" s="87"/>
      <c r="H118" s="87"/>
      <c r="I118" s="87"/>
      <c r="J118" s="87"/>
      <c r="K118" s="78"/>
      <c r="N118" s="78"/>
      <c r="O118" s="78"/>
      <c r="R118" s="703" t="s">
        <v>348</v>
      </c>
      <c r="S118" s="703"/>
      <c r="T118" s="703">
        <v>750</v>
      </c>
      <c r="U118" s="703"/>
      <c r="V118" s="4" t="s">
        <v>349</v>
      </c>
      <c r="W118" s="78"/>
      <c r="X118" s="42"/>
    </row>
    <row r="119" spans="1:34">
      <c r="A119" s="87"/>
      <c r="B119" s="77" t="s">
        <v>350</v>
      </c>
      <c r="C119" s="77">
        <v>440</v>
      </c>
      <c r="D119" s="77" t="s">
        <v>351</v>
      </c>
      <c r="E119" s="87"/>
      <c r="F119" s="87"/>
      <c r="G119" s="87"/>
      <c r="H119" s="87"/>
      <c r="I119" s="87"/>
      <c r="J119" s="87"/>
      <c r="K119" s="78"/>
      <c r="N119" s="78"/>
      <c r="O119" s="78"/>
      <c r="R119" s="683" t="s">
        <v>352</v>
      </c>
      <c r="S119" s="683"/>
      <c r="T119" s="702">
        <f>750/T115</f>
        <v>155.66625155666253</v>
      </c>
      <c r="U119" s="702"/>
      <c r="V119" s="4" t="s">
        <v>349</v>
      </c>
      <c r="W119" s="78"/>
      <c r="X119" s="42"/>
    </row>
    <row r="120" spans="1:34">
      <c r="A120" s="87"/>
      <c r="B120" s="77" t="s">
        <v>353</v>
      </c>
      <c r="C120" s="77">
        <v>320</v>
      </c>
      <c r="D120" s="77" t="s">
        <v>351</v>
      </c>
      <c r="E120" s="87"/>
      <c r="F120" s="87"/>
      <c r="G120" s="87"/>
      <c r="H120" s="87"/>
      <c r="I120" s="87"/>
      <c r="J120" s="87"/>
      <c r="K120" s="78"/>
      <c r="N120" s="78"/>
      <c r="O120" s="78"/>
      <c r="R120" s="89"/>
      <c r="S120" s="89"/>
      <c r="T120" s="135"/>
      <c r="U120" s="135"/>
      <c r="W120" s="78"/>
      <c r="X120" s="42"/>
    </row>
    <row r="121" spans="1:34">
      <c r="A121" s="87"/>
      <c r="B121" s="77" t="s">
        <v>354</v>
      </c>
      <c r="C121" s="77">
        <v>3920</v>
      </c>
      <c r="D121" s="77" t="s">
        <v>250</v>
      </c>
      <c r="E121" s="87"/>
      <c r="F121" s="87"/>
      <c r="G121" s="87"/>
      <c r="H121" s="87"/>
      <c r="I121" s="87"/>
      <c r="J121" s="87"/>
      <c r="K121" s="78"/>
      <c r="L121" s="128"/>
      <c r="M121" s="128"/>
      <c r="N121" s="78"/>
      <c r="O121" s="78"/>
      <c r="S121" s="78"/>
      <c r="T121" s="78"/>
      <c r="U121" s="78"/>
      <c r="V121" s="78"/>
      <c r="W121" s="78"/>
      <c r="X121" s="42"/>
    </row>
    <row r="122" spans="1:34">
      <c r="A122" s="87"/>
      <c r="B122" s="77" t="s">
        <v>355</v>
      </c>
      <c r="C122" s="77">
        <v>720</v>
      </c>
      <c r="D122" s="77" t="s">
        <v>356</v>
      </c>
      <c r="E122" s="87"/>
      <c r="F122" s="87"/>
      <c r="G122" s="87"/>
      <c r="H122" s="87"/>
      <c r="I122" s="87"/>
      <c r="J122" s="87"/>
      <c r="K122" s="78"/>
      <c r="N122" s="78"/>
      <c r="O122" s="78"/>
      <c r="S122" s="78"/>
      <c r="T122" s="78"/>
      <c r="U122" s="78"/>
      <c r="V122" s="78"/>
      <c r="W122" s="78"/>
      <c r="X122" s="42"/>
    </row>
    <row r="123" spans="1:34">
      <c r="A123" s="87"/>
      <c r="B123" s="77" t="s">
        <v>357</v>
      </c>
      <c r="C123" s="77">
        <v>28.3</v>
      </c>
      <c r="D123" s="77" t="s">
        <v>358</v>
      </c>
      <c r="E123" s="87"/>
      <c r="F123" s="87"/>
      <c r="G123" s="87"/>
      <c r="H123" s="87"/>
      <c r="I123" s="87"/>
      <c r="J123" s="87"/>
      <c r="K123" s="78"/>
      <c r="N123" s="78"/>
      <c r="O123" s="78"/>
      <c r="S123" s="78"/>
      <c r="T123" s="78"/>
      <c r="U123" s="78"/>
      <c r="V123" s="78"/>
      <c r="W123" s="78"/>
      <c r="X123" s="42"/>
    </row>
    <row r="124" spans="1:34">
      <c r="A124" s="87"/>
      <c r="B124" s="77" t="s">
        <v>359</v>
      </c>
      <c r="C124" s="77">
        <v>177.5</v>
      </c>
      <c r="D124" s="77" t="s">
        <v>360</v>
      </c>
      <c r="E124" s="87"/>
      <c r="F124" s="87"/>
      <c r="G124" s="87"/>
      <c r="H124" s="87"/>
      <c r="I124" s="87"/>
      <c r="J124" s="87"/>
      <c r="K124" s="78"/>
      <c r="N124" s="78"/>
      <c r="O124" s="78"/>
      <c r="S124" s="78"/>
      <c r="T124" s="78"/>
      <c r="U124" s="78"/>
      <c r="V124" s="78"/>
      <c r="W124" s="78"/>
      <c r="X124" s="42"/>
    </row>
    <row r="125" spans="1:34">
      <c r="A125" s="87"/>
      <c r="B125" s="77" t="s">
        <v>345</v>
      </c>
      <c r="C125" s="77">
        <v>44.5</v>
      </c>
      <c r="D125" s="77" t="s">
        <v>361</v>
      </c>
      <c r="E125" s="87"/>
      <c r="F125" s="87"/>
      <c r="G125" s="87"/>
      <c r="H125" s="87"/>
      <c r="I125" s="87"/>
      <c r="J125" s="87"/>
      <c r="K125" s="78"/>
      <c r="L125" s="78"/>
      <c r="M125" s="87"/>
      <c r="N125" s="87"/>
      <c r="O125" s="87"/>
      <c r="P125" s="2"/>
      <c r="Q125" s="2"/>
      <c r="S125" s="78"/>
      <c r="T125" s="78"/>
      <c r="U125" s="78"/>
      <c r="V125" s="78"/>
      <c r="W125" s="78"/>
      <c r="X125" s="42"/>
      <c r="AF125" s="77" t="s">
        <v>362</v>
      </c>
      <c r="AG125" s="77">
        <v>4240</v>
      </c>
      <c r="AH125" s="77" t="s">
        <v>250</v>
      </c>
    </row>
    <row r="126" spans="1:34">
      <c r="A126" s="87"/>
      <c r="B126" s="723" t="s">
        <v>363</v>
      </c>
      <c r="C126" s="724"/>
      <c r="D126" s="725"/>
      <c r="E126" s="87"/>
      <c r="F126" s="87"/>
      <c r="G126" s="87"/>
      <c r="H126" s="87"/>
      <c r="I126" s="87"/>
      <c r="J126" s="87"/>
      <c r="K126" s="78"/>
      <c r="L126" s="78"/>
      <c r="M126" s="87"/>
      <c r="N126" s="87"/>
      <c r="O126" s="87"/>
      <c r="P126" s="87"/>
      <c r="Q126" s="87"/>
      <c r="R126" s="78"/>
      <c r="S126" s="78"/>
      <c r="T126" s="78"/>
      <c r="U126" s="78"/>
      <c r="V126" s="78"/>
      <c r="W126" s="78"/>
      <c r="X126" s="42"/>
      <c r="AF126" s="77" t="s">
        <v>364</v>
      </c>
      <c r="AG126" s="46">
        <f>AG125*0.98</f>
        <v>4155.2</v>
      </c>
      <c r="AH126" s="77" t="s">
        <v>250</v>
      </c>
    </row>
    <row r="127" spans="1:34">
      <c r="A127" s="87"/>
      <c r="B127" s="77" t="s">
        <v>365</v>
      </c>
      <c r="C127" s="77">
        <v>6.9240000000000004</v>
      </c>
      <c r="D127" s="77" t="s">
        <v>4</v>
      </c>
      <c r="E127" s="87"/>
      <c r="F127" s="87"/>
      <c r="G127" s="87"/>
      <c r="H127" s="87"/>
      <c r="I127" s="87"/>
      <c r="J127" s="87"/>
      <c r="K127" s="78"/>
      <c r="L127" s="78"/>
      <c r="M127" s="87"/>
      <c r="N127" s="87"/>
      <c r="O127" s="87"/>
      <c r="P127" s="87"/>
      <c r="Q127" s="87"/>
      <c r="R127" s="78"/>
      <c r="S127" s="78"/>
      <c r="T127" s="78"/>
      <c r="U127" s="78"/>
      <c r="V127" s="78"/>
      <c r="W127" s="78"/>
      <c r="X127" s="42"/>
      <c r="AF127" s="77" t="s">
        <v>366</v>
      </c>
      <c r="AG127" s="46">
        <f>AG126*0.98</f>
        <v>4072.0959999999995</v>
      </c>
      <c r="AH127" s="77" t="s">
        <v>250</v>
      </c>
    </row>
    <row r="128" spans="1:34">
      <c r="A128" s="87"/>
      <c r="B128" s="77" t="s">
        <v>367</v>
      </c>
      <c r="C128" s="77">
        <v>2.359</v>
      </c>
      <c r="D128" s="77" t="s">
        <v>4</v>
      </c>
      <c r="E128" s="87"/>
      <c r="F128" s="87"/>
      <c r="G128" s="87"/>
      <c r="H128" s="87"/>
      <c r="I128" s="87"/>
      <c r="J128" s="87"/>
      <c r="K128" s="78"/>
      <c r="L128" s="78"/>
      <c r="M128" s="87"/>
      <c r="N128" s="87"/>
      <c r="O128" s="87"/>
      <c r="P128" s="87"/>
      <c r="Q128" s="87"/>
      <c r="R128" s="78"/>
      <c r="S128" s="78"/>
      <c r="T128" s="78"/>
      <c r="U128" s="78"/>
      <c r="V128" s="78"/>
      <c r="W128" s="78"/>
      <c r="X128" s="42"/>
      <c r="AF128" s="77" t="s">
        <v>368</v>
      </c>
      <c r="AG128" s="73">
        <f>$C$11</f>
        <v>3675.6467591645364</v>
      </c>
      <c r="AH128" s="77" t="s">
        <v>250</v>
      </c>
    </row>
    <row r="129" spans="1:34">
      <c r="A129" s="87"/>
      <c r="B129" s="77" t="s">
        <v>369</v>
      </c>
      <c r="C129" s="77">
        <v>4.3689999999999998</v>
      </c>
      <c r="D129" s="77" t="s">
        <v>4</v>
      </c>
      <c r="E129" s="87"/>
      <c r="F129" s="87"/>
      <c r="G129" s="87"/>
      <c r="H129" s="87"/>
      <c r="I129" s="87"/>
      <c r="J129" s="87"/>
      <c r="K129" s="78"/>
      <c r="L129" s="78"/>
      <c r="M129" s="87"/>
      <c r="N129" s="87"/>
      <c r="O129" s="87"/>
      <c r="P129" s="87"/>
      <c r="Q129" s="87"/>
      <c r="R129" s="87"/>
      <c r="S129" s="87" t="s">
        <v>370</v>
      </c>
      <c r="T129" s="87"/>
      <c r="U129" s="87"/>
      <c r="V129" s="78"/>
      <c r="W129" s="78"/>
      <c r="X129" s="42"/>
      <c r="AF129" s="77" t="s">
        <v>371</v>
      </c>
      <c r="AG129" s="683">
        <f>AG128/AG127</f>
        <v>0.90264246205505394</v>
      </c>
      <c r="AH129" s="683"/>
    </row>
    <row r="130" spans="1:34">
      <c r="A130" s="87"/>
      <c r="E130" s="87"/>
      <c r="F130" s="87"/>
      <c r="G130" s="87"/>
      <c r="H130" s="87"/>
      <c r="I130" s="87"/>
      <c r="J130" s="87"/>
      <c r="K130" s="78"/>
      <c r="L130" s="78"/>
      <c r="M130" s="87"/>
      <c r="N130" s="87"/>
      <c r="O130" s="87"/>
      <c r="P130" s="87"/>
      <c r="Q130" s="87"/>
      <c r="R130" s="78"/>
      <c r="S130" s="78"/>
      <c r="T130" s="78"/>
      <c r="U130" s="78"/>
      <c r="V130" s="78"/>
      <c r="W130" s="78"/>
      <c r="X130" s="42"/>
      <c r="AF130" s="77" t="s">
        <v>372</v>
      </c>
      <c r="AG130" s="726">
        <f>AG129/($C$47*$B$52)</f>
        <v>0.74692079357614793</v>
      </c>
      <c r="AH130" s="726"/>
    </row>
    <row r="131" spans="1:34">
      <c r="A131" s="87"/>
      <c r="E131" s="87"/>
      <c r="F131" s="87"/>
      <c r="G131" s="87"/>
      <c r="H131" s="87"/>
      <c r="I131" s="87"/>
      <c r="J131" s="87"/>
      <c r="K131" s="78"/>
      <c r="L131" s="78"/>
      <c r="M131" s="87"/>
      <c r="N131" s="87"/>
      <c r="O131" s="87"/>
      <c r="P131" s="87"/>
      <c r="Q131" s="87">
        <f>(K93*(C122^3)/C121)^(1/3)</f>
        <v>731.20717583237592</v>
      </c>
      <c r="R131" s="78"/>
      <c r="S131" s="78"/>
      <c r="T131" s="78"/>
      <c r="U131" s="78"/>
      <c r="V131" s="78"/>
      <c r="W131" s="78"/>
      <c r="X131" s="42"/>
    </row>
    <row r="132" spans="1:34">
      <c r="A132" s="87"/>
      <c r="B132" s="77" t="s">
        <v>362</v>
      </c>
      <c r="C132" s="77">
        <v>3920</v>
      </c>
      <c r="D132" s="77" t="s">
        <v>250</v>
      </c>
      <c r="E132" s="87"/>
      <c r="F132" s="87"/>
      <c r="G132" s="87"/>
      <c r="H132" s="87"/>
      <c r="I132" s="87"/>
      <c r="J132" s="87"/>
      <c r="K132" s="78"/>
      <c r="L132" s="78"/>
      <c r="M132" s="87"/>
      <c r="N132" s="87"/>
      <c r="O132" s="87"/>
      <c r="P132" s="87"/>
      <c r="Q132" s="87"/>
      <c r="R132" s="78"/>
      <c r="S132" s="78"/>
      <c r="T132" s="78"/>
      <c r="U132" s="78"/>
      <c r="V132" s="78"/>
      <c r="W132" s="78"/>
      <c r="X132" s="42"/>
    </row>
    <row r="133" spans="1:34">
      <c r="A133" s="87"/>
      <c r="B133" s="77" t="s">
        <v>364</v>
      </c>
      <c r="C133" s="46">
        <f>C132*0.98</f>
        <v>3841.6</v>
      </c>
      <c r="D133" s="77" t="s">
        <v>250</v>
      </c>
      <c r="E133" s="87"/>
      <c r="F133" s="87"/>
      <c r="G133" s="87"/>
      <c r="H133" s="87"/>
      <c r="I133" s="87"/>
      <c r="J133" s="87"/>
      <c r="K133" s="78"/>
      <c r="L133" s="78"/>
      <c r="M133" s="87"/>
      <c r="N133" s="87"/>
      <c r="O133" s="87"/>
      <c r="P133" s="87"/>
      <c r="Q133" s="87"/>
      <c r="R133" s="78"/>
      <c r="S133" s="78"/>
      <c r="T133" s="78"/>
      <c r="U133" s="78"/>
      <c r="V133" s="78"/>
      <c r="W133" s="78"/>
      <c r="X133" s="42"/>
    </row>
    <row r="134" spans="1:34">
      <c r="A134" s="87"/>
      <c r="B134" s="77" t="s">
        <v>366</v>
      </c>
      <c r="C134" s="46">
        <f>C133*0.98</f>
        <v>3764.768</v>
      </c>
      <c r="D134" s="77" t="s">
        <v>250</v>
      </c>
      <c r="E134" s="87"/>
      <c r="F134" s="87"/>
      <c r="G134" s="87"/>
      <c r="H134" s="87"/>
      <c r="I134" s="87"/>
      <c r="J134" s="87"/>
      <c r="K134" s="78"/>
      <c r="L134" s="78"/>
      <c r="M134" s="87"/>
      <c r="N134" s="87"/>
      <c r="O134" s="87"/>
      <c r="P134" s="87"/>
      <c r="Q134" s="87"/>
      <c r="R134" s="78"/>
      <c r="S134" s="78"/>
      <c r="T134" s="78"/>
      <c r="U134" s="78"/>
      <c r="V134" s="78"/>
      <c r="W134" s="78"/>
      <c r="X134" s="42"/>
    </row>
    <row r="135" spans="1:34">
      <c r="A135" s="78"/>
      <c r="B135" s="77" t="s">
        <v>368</v>
      </c>
      <c r="C135" s="73">
        <f>$C$11</f>
        <v>3675.6467591645364</v>
      </c>
      <c r="D135" s="77" t="s">
        <v>250</v>
      </c>
      <c r="E135" s="78"/>
      <c r="F135" s="78"/>
      <c r="G135" s="78"/>
      <c r="H135" s="78"/>
      <c r="I135" s="78"/>
      <c r="J135" s="78"/>
      <c r="K135" s="78"/>
      <c r="L135" s="78"/>
      <c r="M135" s="87"/>
      <c r="N135" s="87"/>
      <c r="O135" s="87"/>
      <c r="P135" s="87"/>
      <c r="Q135" s="87"/>
      <c r="R135" s="78"/>
      <c r="S135" s="78"/>
      <c r="T135" s="78"/>
      <c r="U135" s="78"/>
      <c r="V135" s="78"/>
      <c r="W135" s="78"/>
      <c r="X135" s="42"/>
    </row>
    <row r="136" spans="1:34">
      <c r="A136" s="78"/>
      <c r="B136" s="77" t="s">
        <v>371</v>
      </c>
      <c r="C136" s="687">
        <f>C135/C134</f>
        <v>0.97632756099832352</v>
      </c>
      <c r="D136" s="688"/>
      <c r="E136" s="78"/>
      <c r="F136" s="78"/>
      <c r="G136" s="78"/>
      <c r="H136" s="78"/>
      <c r="I136" s="78"/>
      <c r="J136" s="78"/>
      <c r="K136" s="78"/>
      <c r="L136" s="78"/>
      <c r="M136" s="87"/>
      <c r="N136" s="87"/>
      <c r="O136" s="87"/>
      <c r="P136" s="87"/>
      <c r="Q136" s="87"/>
      <c r="R136" s="78"/>
      <c r="S136" s="78"/>
      <c r="T136" s="78"/>
      <c r="U136" s="78"/>
      <c r="V136" s="78"/>
      <c r="W136" s="78"/>
      <c r="X136" s="42"/>
    </row>
    <row r="137" spans="1:34">
      <c r="A137" s="78"/>
      <c r="B137" s="77" t="s">
        <v>372</v>
      </c>
      <c r="C137" s="738">
        <f>C136/($C$47*$B$52)</f>
        <v>0.80789391958236401</v>
      </c>
      <c r="D137" s="739"/>
      <c r="E137" s="78"/>
      <c r="F137" s="78"/>
      <c r="G137" s="78"/>
      <c r="H137" s="78"/>
      <c r="I137" s="78"/>
      <c r="J137" s="78"/>
      <c r="K137" s="78"/>
      <c r="L137" s="78"/>
      <c r="M137" s="87"/>
      <c r="N137" s="87"/>
      <c r="O137" s="87"/>
      <c r="P137" s="87"/>
      <c r="Q137" s="87"/>
      <c r="R137" s="78"/>
      <c r="S137" s="78"/>
      <c r="T137" s="78"/>
      <c r="U137" s="78"/>
      <c r="V137" s="78"/>
      <c r="W137" s="78"/>
      <c r="X137" s="42"/>
    </row>
    <row r="138" spans="1:34">
      <c r="A138" s="78"/>
      <c r="E138" s="78"/>
      <c r="F138" s="78"/>
      <c r="G138" s="78"/>
      <c r="H138" s="78"/>
      <c r="I138" s="78"/>
      <c r="J138" s="78"/>
      <c r="K138" s="78"/>
      <c r="L138" s="78"/>
      <c r="M138" s="87"/>
      <c r="N138" s="87"/>
      <c r="O138" s="87"/>
      <c r="P138" s="87"/>
      <c r="Q138" s="87"/>
      <c r="R138" s="78"/>
      <c r="S138" s="78"/>
      <c r="T138" s="78"/>
      <c r="U138" s="78"/>
      <c r="V138" s="78"/>
      <c r="W138" s="78"/>
      <c r="X138" s="42"/>
    </row>
    <row r="139" spans="1:34">
      <c r="A139" s="78"/>
      <c r="E139" s="78"/>
      <c r="F139" s="78"/>
      <c r="G139" s="78"/>
      <c r="H139" s="78"/>
      <c r="I139" s="78"/>
      <c r="J139" s="78"/>
      <c r="K139" s="78"/>
      <c r="L139" s="78"/>
      <c r="M139" s="87"/>
      <c r="N139" s="87"/>
      <c r="O139" s="87"/>
      <c r="P139" s="87"/>
      <c r="Q139" s="87"/>
      <c r="R139" s="78"/>
      <c r="S139" s="78"/>
      <c r="T139" s="78"/>
      <c r="U139" s="78"/>
      <c r="V139" s="78"/>
      <c r="W139" s="78"/>
      <c r="X139" s="42"/>
    </row>
    <row r="140" spans="1:34">
      <c r="A140" s="78"/>
      <c r="E140" s="78"/>
      <c r="F140" s="78"/>
      <c r="G140" s="78"/>
      <c r="H140" s="78"/>
      <c r="I140" s="78"/>
      <c r="J140" s="78"/>
      <c r="K140" s="78"/>
      <c r="L140" s="78"/>
      <c r="M140" s="87"/>
      <c r="N140" s="87"/>
      <c r="O140" s="87"/>
      <c r="P140" s="87"/>
      <c r="Q140" s="87"/>
      <c r="R140" s="78"/>
      <c r="S140" s="78"/>
      <c r="T140" s="78"/>
      <c r="U140" s="78"/>
      <c r="V140" s="78"/>
      <c r="W140" s="78"/>
      <c r="X140" s="42"/>
    </row>
    <row r="141" spans="1:34">
      <c r="A141" s="78"/>
      <c r="B141" s="87"/>
      <c r="C141" s="87"/>
      <c r="D141" s="87"/>
      <c r="E141" s="78"/>
      <c r="F141" s="78"/>
      <c r="G141" s="78"/>
      <c r="H141" s="78"/>
      <c r="I141" s="78"/>
      <c r="J141" s="78"/>
      <c r="K141" s="78"/>
      <c r="L141" s="78"/>
      <c r="M141" s="87"/>
      <c r="N141" s="87"/>
      <c r="O141" s="87"/>
      <c r="P141" s="87"/>
      <c r="Q141" s="87"/>
      <c r="R141" s="78"/>
      <c r="S141" s="78"/>
      <c r="T141" s="78"/>
      <c r="U141" s="78"/>
      <c r="V141" s="78"/>
      <c r="W141" s="78"/>
      <c r="X141" s="42"/>
    </row>
    <row r="142" spans="1:34">
      <c r="A142" s="78"/>
      <c r="B142" s="87"/>
      <c r="C142" s="87"/>
      <c r="D142" s="87"/>
      <c r="E142" s="78"/>
      <c r="F142" s="78"/>
      <c r="G142" s="78"/>
      <c r="H142" s="78"/>
      <c r="I142" s="78"/>
      <c r="J142" s="78"/>
      <c r="K142" s="78"/>
      <c r="L142" s="78"/>
      <c r="M142" s="87"/>
      <c r="N142" s="87"/>
      <c r="O142" s="87"/>
      <c r="P142" s="87"/>
      <c r="Q142" s="87"/>
      <c r="R142" s="78"/>
      <c r="S142" s="78"/>
      <c r="T142" s="78"/>
      <c r="U142" s="78"/>
      <c r="V142" s="78"/>
      <c r="W142" s="78"/>
      <c r="X142" s="42"/>
    </row>
    <row r="143" spans="1:34">
      <c r="A143" s="78"/>
      <c r="B143" s="87"/>
      <c r="C143" s="87"/>
      <c r="D143" s="87"/>
      <c r="E143" s="78"/>
      <c r="F143" s="78"/>
      <c r="G143" s="78"/>
      <c r="H143" s="78"/>
      <c r="I143" s="78"/>
      <c r="J143" s="78"/>
      <c r="K143" s="78"/>
      <c r="L143" s="78"/>
      <c r="M143" s="87"/>
      <c r="N143" s="87"/>
      <c r="O143" s="87"/>
      <c r="P143" s="87"/>
      <c r="Q143" s="87"/>
      <c r="R143" s="78"/>
      <c r="S143" s="78"/>
      <c r="T143" s="78"/>
      <c r="U143" s="78"/>
      <c r="V143" s="78"/>
      <c r="W143" s="78"/>
      <c r="X143" s="42"/>
    </row>
    <row r="144" spans="1:34">
      <c r="A144" s="78"/>
      <c r="B144" s="87"/>
      <c r="C144" s="87"/>
      <c r="D144" s="87"/>
      <c r="E144" s="78"/>
      <c r="F144" s="78"/>
      <c r="G144" s="78"/>
      <c r="H144" s="78"/>
      <c r="I144" s="78"/>
      <c r="J144" s="78"/>
      <c r="K144" s="78"/>
      <c r="L144" s="78"/>
      <c r="M144" s="87"/>
      <c r="N144" s="87"/>
      <c r="O144" s="87"/>
      <c r="P144" s="87"/>
      <c r="Q144" s="87"/>
      <c r="R144" s="78"/>
      <c r="S144" s="78"/>
      <c r="T144" s="78"/>
      <c r="U144" s="78"/>
      <c r="V144" s="78"/>
      <c r="W144" s="78"/>
      <c r="X144" s="42"/>
    </row>
    <row r="145" spans="1:36">
      <c r="A145" s="133"/>
      <c r="B145" s="136"/>
      <c r="C145" s="136"/>
      <c r="D145" s="136"/>
      <c r="E145" s="133"/>
      <c r="F145" s="133"/>
      <c r="G145" s="133"/>
      <c r="H145" s="133"/>
      <c r="I145" s="133"/>
      <c r="J145" s="133"/>
      <c r="K145" s="133"/>
      <c r="L145" s="133"/>
      <c r="M145" s="136"/>
      <c r="N145" s="136"/>
      <c r="O145" s="136"/>
      <c r="P145" s="136"/>
      <c r="Q145" s="136"/>
      <c r="R145" s="133"/>
      <c r="S145" s="133"/>
      <c r="T145" s="133"/>
      <c r="U145" s="133"/>
      <c r="V145" s="133"/>
      <c r="W145" s="133"/>
      <c r="X145" s="137"/>
      <c r="Y145" s="138"/>
      <c r="Z145" s="138"/>
      <c r="AA145" s="138"/>
      <c r="AB145" s="138"/>
      <c r="AC145" s="138"/>
      <c r="AD145" s="138"/>
      <c r="AE145" s="138"/>
      <c r="AF145" s="138"/>
      <c r="AG145" s="138"/>
      <c r="AH145" s="138"/>
      <c r="AI145" s="138"/>
      <c r="AJ145" s="138"/>
    </row>
    <row r="146" spans="1:36">
      <c r="A146" s="78"/>
      <c r="E146" s="78"/>
      <c r="F146" s="78"/>
      <c r="G146" s="78"/>
      <c r="H146" s="78"/>
      <c r="I146" s="78"/>
      <c r="J146" s="78"/>
      <c r="K146" s="78"/>
      <c r="L146" s="78"/>
      <c r="M146" s="87"/>
      <c r="N146" s="87"/>
      <c r="O146" s="87"/>
      <c r="P146" s="87"/>
      <c r="Q146" s="87"/>
      <c r="R146" s="78"/>
      <c r="S146" s="78"/>
      <c r="T146" s="78"/>
      <c r="U146" s="78"/>
      <c r="V146" s="78"/>
      <c r="W146" s="78"/>
      <c r="X146" s="42"/>
    </row>
    <row r="147" spans="1:36">
      <c r="A147" s="78"/>
      <c r="E147" s="78"/>
      <c r="F147" s="78"/>
      <c r="G147" s="78"/>
      <c r="H147" s="78"/>
      <c r="I147" s="78"/>
      <c r="J147" s="78"/>
      <c r="K147" s="78"/>
      <c r="L147" s="78"/>
      <c r="M147" s="87"/>
      <c r="N147" s="87"/>
      <c r="O147" s="87"/>
      <c r="P147" s="87"/>
      <c r="Q147" s="87"/>
      <c r="R147" s="78"/>
      <c r="S147" s="78"/>
      <c r="T147" s="78"/>
      <c r="U147" s="78"/>
      <c r="V147" s="78"/>
      <c r="W147" s="78"/>
      <c r="X147" s="42"/>
    </row>
    <row r="148" spans="1:36">
      <c r="A148" s="78"/>
      <c r="B148" s="727" t="s">
        <v>335</v>
      </c>
      <c r="C148" s="728"/>
      <c r="D148" s="729"/>
      <c r="E148" s="78"/>
      <c r="F148" s="78"/>
      <c r="G148" s="78"/>
      <c r="H148" s="78"/>
      <c r="I148" s="78"/>
      <c r="J148" s="78"/>
      <c r="K148" s="78"/>
      <c r="L148" s="78"/>
      <c r="M148" s="87"/>
      <c r="N148" s="87"/>
      <c r="O148" s="87"/>
      <c r="P148" s="87"/>
      <c r="Q148" s="87"/>
      <c r="R148" s="740" t="s">
        <v>334</v>
      </c>
      <c r="S148" s="740"/>
      <c r="T148" s="740"/>
      <c r="U148" s="740"/>
      <c r="V148" s="740"/>
      <c r="W148" s="78"/>
      <c r="X148" s="42"/>
    </row>
    <row r="149" spans="1:36">
      <c r="A149" s="78"/>
      <c r="B149" s="77" t="s">
        <v>338</v>
      </c>
      <c r="C149" s="723" t="s">
        <v>373</v>
      </c>
      <c r="D149" s="725"/>
      <c r="E149" s="78"/>
      <c r="F149" s="78"/>
      <c r="G149" s="78"/>
      <c r="H149" s="78"/>
      <c r="I149" s="78"/>
      <c r="J149" s="78"/>
      <c r="K149" s="78"/>
      <c r="L149" s="78"/>
      <c r="M149" s="87"/>
      <c r="N149" s="87"/>
      <c r="O149" s="87"/>
      <c r="P149" s="87"/>
      <c r="Q149" s="87"/>
      <c r="R149" s="705" t="s">
        <v>374</v>
      </c>
      <c r="S149" s="730"/>
      <c r="T149" s="730"/>
      <c r="U149" s="730"/>
      <c r="V149" s="731"/>
      <c r="W149" s="78"/>
      <c r="X149" s="42"/>
    </row>
    <row r="150" spans="1:36">
      <c r="A150" s="78"/>
      <c r="B150" s="77" t="s">
        <v>336</v>
      </c>
      <c r="C150" s="723" t="s">
        <v>375</v>
      </c>
      <c r="D150" s="725"/>
      <c r="E150" s="78"/>
      <c r="F150" s="78"/>
      <c r="G150" s="78"/>
      <c r="H150" s="78"/>
      <c r="I150" s="78"/>
      <c r="J150" s="78"/>
      <c r="K150" s="78"/>
      <c r="L150" s="78"/>
      <c r="M150" s="87"/>
      <c r="N150" s="87"/>
      <c r="O150" s="87"/>
      <c r="P150" s="87"/>
      <c r="Q150" s="87"/>
      <c r="R150" s="732"/>
      <c r="S150" s="733"/>
      <c r="T150" s="733"/>
      <c r="U150" s="733"/>
      <c r="V150" s="734"/>
      <c r="W150" s="78"/>
      <c r="X150" s="42"/>
    </row>
    <row r="151" spans="1:36">
      <c r="A151" s="78"/>
      <c r="B151" s="77" t="s">
        <v>344</v>
      </c>
      <c r="C151" s="723">
        <v>2</v>
      </c>
      <c r="D151" s="725"/>
      <c r="E151" s="78"/>
      <c r="F151" s="78"/>
      <c r="G151" s="78"/>
      <c r="H151" s="78"/>
      <c r="I151" s="78"/>
      <c r="J151" s="78"/>
      <c r="K151" s="78"/>
      <c r="L151" s="78"/>
      <c r="M151" s="87"/>
      <c r="N151" s="87"/>
      <c r="O151" s="87"/>
      <c r="P151" s="87"/>
      <c r="Q151" s="87"/>
      <c r="R151" s="732"/>
      <c r="S151" s="733"/>
      <c r="T151" s="733"/>
      <c r="U151" s="733"/>
      <c r="V151" s="734"/>
      <c r="W151" s="78"/>
      <c r="X151" s="42"/>
    </row>
    <row r="152" spans="1:36">
      <c r="A152" s="78"/>
      <c r="B152" s="77" t="s">
        <v>376</v>
      </c>
      <c r="C152" s="723">
        <v>6</v>
      </c>
      <c r="D152" s="725"/>
      <c r="E152" s="78"/>
      <c r="F152" s="78"/>
      <c r="G152" s="78"/>
      <c r="H152" s="78"/>
      <c r="I152" s="78"/>
      <c r="J152" s="78"/>
      <c r="K152" s="78"/>
      <c r="L152" s="78"/>
      <c r="M152" s="87"/>
      <c r="N152" s="87"/>
      <c r="O152" s="87"/>
      <c r="P152" s="87"/>
      <c r="Q152" s="87"/>
      <c r="R152" s="732"/>
      <c r="S152" s="733"/>
      <c r="T152" s="733"/>
      <c r="U152" s="733"/>
      <c r="V152" s="734"/>
      <c r="W152" s="78"/>
      <c r="X152" s="42"/>
    </row>
    <row r="153" spans="1:36">
      <c r="A153" s="78"/>
      <c r="B153" s="77" t="s">
        <v>350</v>
      </c>
      <c r="C153" s="77">
        <v>1328</v>
      </c>
      <c r="D153" s="77" t="s">
        <v>351</v>
      </c>
      <c r="E153" s="78"/>
      <c r="F153" s="78"/>
      <c r="G153" s="78"/>
      <c r="H153" s="78"/>
      <c r="I153" s="78"/>
      <c r="J153" s="78"/>
      <c r="K153" s="78"/>
      <c r="L153" s="78"/>
      <c r="M153" s="87"/>
      <c r="N153" s="87"/>
      <c r="O153" s="87"/>
      <c r="P153" s="87"/>
      <c r="Q153" s="87"/>
      <c r="R153" s="732"/>
      <c r="S153" s="733"/>
      <c r="T153" s="733"/>
      <c r="U153" s="733"/>
      <c r="V153" s="734"/>
      <c r="W153" s="78"/>
      <c r="X153" s="42"/>
    </row>
    <row r="154" spans="1:36">
      <c r="A154" s="78"/>
      <c r="B154" s="77" t="s">
        <v>353</v>
      </c>
      <c r="C154" s="77">
        <v>538</v>
      </c>
      <c r="D154" s="77" t="s">
        <v>351</v>
      </c>
      <c r="E154" s="78"/>
      <c r="F154" s="78"/>
      <c r="G154" s="78"/>
      <c r="H154" s="78"/>
      <c r="I154" s="78"/>
      <c r="J154" s="78"/>
      <c r="K154" s="78"/>
      <c r="L154" s="78"/>
      <c r="M154" s="87"/>
      <c r="N154" s="87"/>
      <c r="O154" s="87"/>
      <c r="P154" s="87"/>
      <c r="Q154" s="87"/>
      <c r="R154" s="732"/>
      <c r="S154" s="733"/>
      <c r="T154" s="733"/>
      <c r="U154" s="733"/>
      <c r="V154" s="734"/>
      <c r="W154" s="78"/>
      <c r="X154" s="42"/>
    </row>
    <row r="155" spans="1:36">
      <c r="A155" s="78"/>
      <c r="B155" s="77" t="s">
        <v>354</v>
      </c>
      <c r="C155" s="77">
        <v>3840</v>
      </c>
      <c r="D155" s="77" t="s">
        <v>250</v>
      </c>
      <c r="E155" s="78"/>
      <c r="F155" s="78"/>
      <c r="G155" s="78"/>
      <c r="H155" s="78"/>
      <c r="I155" s="78"/>
      <c r="J155" s="78"/>
      <c r="K155" s="78"/>
      <c r="L155" s="78"/>
      <c r="M155" s="87"/>
      <c r="N155" s="87"/>
      <c r="O155" s="87"/>
      <c r="P155" s="87"/>
      <c r="Q155" s="87"/>
      <c r="R155" s="735"/>
      <c r="S155" s="736"/>
      <c r="T155" s="736"/>
      <c r="U155" s="736"/>
      <c r="V155" s="737"/>
      <c r="W155" s="78"/>
      <c r="X155" s="42"/>
    </row>
    <row r="156" spans="1:36">
      <c r="A156" s="78"/>
      <c r="B156" s="77" t="s">
        <v>355</v>
      </c>
      <c r="C156" s="77">
        <v>195</v>
      </c>
      <c r="D156" s="77" t="s">
        <v>356</v>
      </c>
      <c r="E156" s="78"/>
      <c r="F156" s="78"/>
      <c r="G156" s="78"/>
      <c r="H156" s="78"/>
      <c r="I156" s="78"/>
      <c r="J156" s="78"/>
      <c r="K156" s="78"/>
      <c r="L156" s="78"/>
      <c r="M156" s="87"/>
      <c r="N156" s="87"/>
      <c r="O156" s="87"/>
      <c r="P156" s="87"/>
      <c r="Q156" s="87"/>
      <c r="R156" s="78"/>
      <c r="S156" s="78"/>
      <c r="T156" s="78"/>
      <c r="U156" s="78"/>
      <c r="V156" s="78"/>
      <c r="W156" s="78"/>
      <c r="X156" s="42"/>
    </row>
    <row r="157" spans="1:36">
      <c r="A157" s="78"/>
      <c r="B157" s="77" t="s">
        <v>357</v>
      </c>
      <c r="C157" s="77">
        <v>21</v>
      </c>
      <c r="D157" s="77" t="s">
        <v>358</v>
      </c>
      <c r="E157" s="78"/>
      <c r="F157" s="78"/>
      <c r="G157" s="78"/>
      <c r="H157" s="78"/>
      <c r="I157" s="78"/>
      <c r="J157" s="78"/>
      <c r="K157" s="78"/>
      <c r="L157" s="78"/>
      <c r="M157" s="87"/>
      <c r="N157" s="87"/>
      <c r="O157" s="87"/>
      <c r="P157" s="87"/>
      <c r="Q157" s="87"/>
      <c r="R157" s="78"/>
      <c r="S157" s="78"/>
      <c r="T157" s="78"/>
      <c r="U157" s="78"/>
      <c r="V157" s="78"/>
      <c r="W157" s="78"/>
      <c r="X157" s="42"/>
    </row>
    <row r="158" spans="1:36">
      <c r="A158" s="78"/>
      <c r="B158" s="77" t="s">
        <v>359</v>
      </c>
      <c r="C158" s="77">
        <v>176</v>
      </c>
      <c r="D158" s="77" t="s">
        <v>360</v>
      </c>
      <c r="E158" s="78"/>
      <c r="F158" s="78"/>
      <c r="G158" s="78"/>
      <c r="H158" s="78"/>
      <c r="I158" s="78"/>
      <c r="J158" s="78"/>
      <c r="K158" s="78"/>
      <c r="L158" s="78"/>
      <c r="M158" s="87"/>
      <c r="N158" s="87"/>
      <c r="O158" s="87"/>
      <c r="P158" s="87"/>
      <c r="Q158" s="87"/>
      <c r="R158" s="78"/>
      <c r="S158" s="78"/>
      <c r="T158" s="78"/>
      <c r="U158" s="78"/>
      <c r="V158" s="78"/>
      <c r="W158" s="78"/>
      <c r="X158" s="42"/>
    </row>
    <row r="159" spans="1:36">
      <c r="A159" s="78"/>
      <c r="B159" s="77" t="s">
        <v>345</v>
      </c>
      <c r="C159" s="77">
        <v>74</v>
      </c>
      <c r="D159" s="77" t="s">
        <v>361</v>
      </c>
      <c r="E159" s="78"/>
      <c r="F159" s="78"/>
      <c r="G159" s="78"/>
      <c r="H159" s="78"/>
      <c r="I159" s="78"/>
      <c r="J159" s="78"/>
      <c r="K159" s="78"/>
      <c r="L159" s="78"/>
      <c r="M159" s="87"/>
      <c r="N159" s="87"/>
      <c r="O159" s="87"/>
      <c r="P159" s="87"/>
      <c r="Q159" s="87"/>
      <c r="R159" s="78"/>
      <c r="S159" s="78"/>
      <c r="T159" s="78"/>
      <c r="U159" s="78"/>
      <c r="V159" s="78"/>
      <c r="W159" s="78"/>
      <c r="X159" s="42"/>
    </row>
    <row r="160" spans="1:36">
      <c r="A160" s="78"/>
      <c r="B160" s="723" t="s">
        <v>363</v>
      </c>
      <c r="C160" s="724"/>
      <c r="D160" s="725"/>
      <c r="E160" s="78"/>
      <c r="F160" s="78"/>
      <c r="G160" s="78"/>
      <c r="H160" s="78"/>
      <c r="I160" s="78"/>
      <c r="J160" s="78"/>
      <c r="K160" s="78"/>
      <c r="L160" s="78"/>
      <c r="M160" s="87"/>
      <c r="N160" s="87"/>
      <c r="O160" s="87"/>
      <c r="P160" s="87"/>
      <c r="Q160" s="87"/>
      <c r="R160" s="78"/>
      <c r="S160" s="78"/>
      <c r="T160" s="78"/>
      <c r="U160" s="78"/>
      <c r="V160" s="78"/>
      <c r="W160" s="78"/>
      <c r="X160" s="42"/>
    </row>
    <row r="161" spans="1:36">
      <c r="A161" s="78"/>
      <c r="B161" s="77" t="s">
        <v>365</v>
      </c>
      <c r="C161" s="77">
        <v>4.625</v>
      </c>
      <c r="D161" s="77" t="s">
        <v>4</v>
      </c>
      <c r="E161" s="78"/>
      <c r="F161" s="78"/>
      <c r="G161" s="78"/>
      <c r="H161" s="78"/>
      <c r="I161" s="78"/>
      <c r="J161" s="78"/>
      <c r="K161" s="78"/>
      <c r="L161" s="78"/>
      <c r="M161" s="87"/>
      <c r="N161" s="87"/>
      <c r="O161" s="87"/>
      <c r="P161" s="87"/>
      <c r="Q161" s="87"/>
      <c r="R161" s="78"/>
      <c r="S161" s="78"/>
      <c r="T161" s="78"/>
      <c r="U161" s="78"/>
      <c r="V161" s="78"/>
      <c r="W161" s="78"/>
      <c r="X161" s="42"/>
    </row>
    <row r="162" spans="1:36">
      <c r="A162" s="78"/>
      <c r="B162" s="77" t="s">
        <v>367</v>
      </c>
      <c r="C162" s="77">
        <v>2.02</v>
      </c>
      <c r="D162" s="77" t="s">
        <v>4</v>
      </c>
      <c r="E162" s="78"/>
      <c r="F162" s="78"/>
      <c r="G162" s="78"/>
      <c r="H162" s="78"/>
      <c r="I162" s="78"/>
      <c r="J162" s="78"/>
      <c r="K162" s="78"/>
      <c r="L162" s="78"/>
      <c r="M162" s="87"/>
      <c r="N162" s="87"/>
      <c r="O162" s="87"/>
      <c r="P162" s="87"/>
      <c r="Q162" s="87"/>
      <c r="R162" s="78"/>
      <c r="S162" s="78"/>
      <c r="T162" s="78"/>
      <c r="U162" s="78"/>
      <c r="V162" s="78"/>
      <c r="W162" s="78"/>
      <c r="X162" s="42"/>
    </row>
    <row r="163" spans="1:36">
      <c r="A163" s="78"/>
      <c r="B163" s="77" t="s">
        <v>369</v>
      </c>
      <c r="C163" s="77">
        <v>6.05</v>
      </c>
      <c r="D163" s="77" t="s">
        <v>4</v>
      </c>
      <c r="E163" s="78"/>
      <c r="F163" s="78"/>
      <c r="G163" s="78"/>
      <c r="H163" s="78"/>
      <c r="I163" s="78"/>
      <c r="J163" s="78"/>
      <c r="K163" s="78"/>
      <c r="L163" s="78"/>
      <c r="M163" s="87"/>
      <c r="N163" s="87"/>
      <c r="O163" s="87"/>
      <c r="P163" s="87"/>
      <c r="Q163" s="87"/>
      <c r="R163" s="78"/>
      <c r="S163" s="78"/>
      <c r="T163" s="78"/>
      <c r="U163" s="78"/>
      <c r="V163" s="78"/>
      <c r="W163" s="78"/>
      <c r="X163" s="42"/>
    </row>
    <row r="164" spans="1:36">
      <c r="A164" s="78"/>
      <c r="E164" s="78"/>
      <c r="F164" s="78"/>
      <c r="G164" s="78"/>
      <c r="H164" s="78"/>
      <c r="I164" s="78"/>
      <c r="J164" s="78"/>
      <c r="K164" s="78"/>
      <c r="L164" s="78"/>
      <c r="M164" s="87"/>
      <c r="N164" s="87"/>
      <c r="O164" s="87"/>
      <c r="P164" s="87"/>
      <c r="Q164" s="87"/>
      <c r="R164" s="78"/>
      <c r="S164" s="78"/>
      <c r="T164" s="78"/>
      <c r="U164" s="78"/>
      <c r="V164" s="78"/>
      <c r="W164" s="78"/>
      <c r="X164" s="42"/>
    </row>
    <row r="165" spans="1:36">
      <c r="A165" s="78"/>
      <c r="E165" s="78"/>
      <c r="F165" s="78"/>
      <c r="G165" s="78"/>
      <c r="H165" s="78"/>
      <c r="I165" s="78"/>
      <c r="J165" s="78"/>
      <c r="K165" s="78"/>
      <c r="L165" s="78"/>
      <c r="M165" s="87"/>
      <c r="N165" s="87"/>
      <c r="O165" s="87"/>
      <c r="P165" s="87"/>
      <c r="Q165" s="87"/>
      <c r="R165" s="78"/>
      <c r="S165" s="78"/>
      <c r="T165" s="78"/>
      <c r="U165" s="78"/>
      <c r="V165" s="78"/>
      <c r="W165" s="78"/>
      <c r="X165" s="42"/>
    </row>
    <row r="166" spans="1:36">
      <c r="A166" s="78"/>
      <c r="B166" s="77" t="s">
        <v>362</v>
      </c>
      <c r="C166" s="77">
        <v>3840</v>
      </c>
      <c r="D166" s="139" t="s">
        <v>250</v>
      </c>
      <c r="E166" s="87"/>
      <c r="F166" s="87"/>
      <c r="G166" s="78"/>
      <c r="H166" s="78"/>
      <c r="I166" s="78"/>
      <c r="J166" s="78"/>
      <c r="K166" s="78"/>
      <c r="L166" s="78"/>
      <c r="M166" s="87"/>
      <c r="N166" s="87"/>
      <c r="O166" s="87"/>
      <c r="P166" s="87"/>
      <c r="Q166" s="87"/>
      <c r="R166" s="78"/>
      <c r="S166" s="78"/>
      <c r="T166" s="78"/>
      <c r="U166" s="78"/>
      <c r="V166" s="78"/>
      <c r="W166" s="78"/>
      <c r="X166" s="42"/>
    </row>
    <row r="167" spans="1:36">
      <c r="A167" s="78"/>
      <c r="B167" s="77" t="s">
        <v>364</v>
      </c>
      <c r="C167" s="19">
        <f>C166*0.98</f>
        <v>3763.2</v>
      </c>
      <c r="D167" s="139" t="s">
        <v>250</v>
      </c>
      <c r="E167" s="87"/>
      <c r="F167" s="87"/>
      <c r="G167" s="78"/>
      <c r="H167" s="78"/>
      <c r="I167" s="78"/>
      <c r="J167" s="78"/>
      <c r="K167" s="78"/>
      <c r="L167" s="78"/>
      <c r="M167" s="87"/>
      <c r="N167" s="87"/>
      <c r="O167" s="87"/>
      <c r="P167" s="87"/>
      <c r="Q167" s="87"/>
      <c r="R167" s="78"/>
      <c r="S167" s="78"/>
      <c r="T167" s="78"/>
      <c r="U167" s="78"/>
      <c r="V167" s="78"/>
      <c r="W167" s="78"/>
      <c r="X167" s="42"/>
    </row>
    <row r="168" spans="1:36">
      <c r="A168" s="78"/>
      <c r="B168" s="77" t="s">
        <v>366</v>
      </c>
      <c r="C168" s="19">
        <f>C167*0.98</f>
        <v>3687.9359999999997</v>
      </c>
      <c r="D168" s="139" t="s">
        <v>250</v>
      </c>
      <c r="E168" s="87"/>
      <c r="F168" s="87"/>
      <c r="G168" s="78"/>
      <c r="H168" s="78"/>
      <c r="I168" s="78"/>
      <c r="J168" s="78"/>
      <c r="K168" s="78"/>
      <c r="L168" s="78"/>
      <c r="M168" s="87"/>
      <c r="N168" s="87"/>
      <c r="O168" s="87"/>
      <c r="P168" s="87"/>
      <c r="Q168" s="87"/>
      <c r="R168" s="78"/>
      <c r="S168" s="78"/>
      <c r="T168" s="78"/>
      <c r="U168" s="78"/>
      <c r="V168" s="78"/>
      <c r="W168" s="78"/>
      <c r="X168" s="42"/>
    </row>
    <row r="169" spans="1:36">
      <c r="A169" s="78"/>
      <c r="B169" s="77" t="s">
        <v>368</v>
      </c>
      <c r="C169" s="29">
        <f>$C$11</f>
        <v>3675.6467591645364</v>
      </c>
      <c r="D169" s="139" t="s">
        <v>250</v>
      </c>
      <c r="E169" s="87"/>
      <c r="F169" s="87"/>
      <c r="G169" s="78"/>
      <c r="H169" s="78"/>
      <c r="I169" s="78"/>
      <c r="J169" s="78"/>
      <c r="K169" s="78"/>
      <c r="L169" s="78"/>
      <c r="M169" s="87"/>
      <c r="N169" s="87"/>
      <c r="O169" s="87"/>
      <c r="P169" s="87"/>
      <c r="Q169" s="87"/>
      <c r="R169" s="78"/>
      <c r="S169" s="78"/>
      <c r="T169" s="78"/>
      <c r="U169" s="78"/>
      <c r="V169" s="78"/>
      <c r="W169" s="78"/>
      <c r="X169" s="42"/>
    </row>
    <row r="170" spans="1:36">
      <c r="A170" s="78"/>
      <c r="B170" s="77" t="s">
        <v>371</v>
      </c>
      <c r="C170" s="683">
        <f>C169/C168</f>
        <v>0.99666771851912206</v>
      </c>
      <c r="D170" s="683"/>
      <c r="E170" s="87"/>
      <c r="F170" s="87"/>
      <c r="G170" s="78"/>
      <c r="H170" s="78"/>
      <c r="I170" s="78"/>
      <c r="J170" s="78"/>
      <c r="K170" s="78"/>
      <c r="L170" s="78"/>
      <c r="M170" s="87"/>
      <c r="N170" s="87"/>
      <c r="O170" s="87"/>
      <c r="P170" s="87"/>
      <c r="Q170" s="87"/>
      <c r="R170" s="78"/>
      <c r="S170" s="78"/>
      <c r="T170" s="78"/>
      <c r="U170" s="78"/>
      <c r="V170" s="78"/>
      <c r="W170" s="78"/>
      <c r="X170" s="42"/>
    </row>
    <row r="171" spans="1:36">
      <c r="A171" s="78"/>
      <c r="B171" s="77" t="s">
        <v>372</v>
      </c>
      <c r="C171" s="726">
        <f>C170/($C$47*$B$52)</f>
        <v>0.82472504290699666</v>
      </c>
      <c r="D171" s="726"/>
      <c r="E171" s="87"/>
      <c r="F171" s="87"/>
      <c r="G171" s="78"/>
      <c r="H171" s="78"/>
      <c r="I171" s="78"/>
      <c r="J171" s="78"/>
      <c r="K171" s="78"/>
      <c r="L171" s="78"/>
      <c r="M171" s="87"/>
      <c r="N171" s="87"/>
      <c r="O171" s="87"/>
      <c r="P171" s="87"/>
      <c r="Q171" s="87"/>
      <c r="R171" s="78"/>
      <c r="S171" s="78"/>
      <c r="T171" s="78"/>
      <c r="U171" s="78"/>
      <c r="V171" s="78"/>
      <c r="W171" s="78"/>
      <c r="X171" s="42"/>
    </row>
    <row r="172" spans="1:36">
      <c r="A172" s="78"/>
      <c r="E172" s="87"/>
      <c r="F172" s="87"/>
      <c r="G172" s="78"/>
      <c r="H172" s="78"/>
      <c r="I172" s="78"/>
      <c r="J172" s="78"/>
      <c r="K172" s="78"/>
      <c r="L172" s="78"/>
      <c r="M172" s="87"/>
      <c r="N172" s="87"/>
      <c r="O172" s="87"/>
      <c r="P172" s="87"/>
      <c r="Q172" s="87"/>
      <c r="R172" s="78"/>
      <c r="S172" s="78"/>
      <c r="T172" s="78"/>
      <c r="U172" s="78"/>
      <c r="V172" s="78"/>
      <c r="W172" s="78"/>
      <c r="X172" s="42"/>
    </row>
    <row r="173" spans="1:36">
      <c r="A173" s="78"/>
      <c r="E173" s="87"/>
      <c r="F173" s="87"/>
      <c r="G173" s="78"/>
      <c r="H173" s="78"/>
      <c r="I173" s="78"/>
      <c r="J173" s="78"/>
      <c r="K173" s="78"/>
      <c r="L173" s="78"/>
      <c r="M173" s="87"/>
      <c r="N173" s="87"/>
      <c r="O173" s="87"/>
      <c r="P173" s="87"/>
      <c r="Q173" s="87"/>
      <c r="R173" s="78"/>
      <c r="S173" s="78"/>
      <c r="T173" s="78"/>
      <c r="U173" s="78"/>
      <c r="V173" s="78"/>
      <c r="W173" s="78"/>
      <c r="X173" s="42"/>
    </row>
    <row r="174" spans="1:36">
      <c r="A174" s="133"/>
      <c r="B174" s="136"/>
      <c r="C174" s="136"/>
      <c r="D174" s="136"/>
      <c r="E174" s="133"/>
      <c r="F174" s="133"/>
      <c r="G174" s="133"/>
      <c r="H174" s="133"/>
      <c r="I174" s="133"/>
      <c r="J174" s="133"/>
      <c r="K174" s="133"/>
      <c r="L174" s="133"/>
      <c r="M174" s="136"/>
      <c r="N174" s="136"/>
      <c r="O174" s="136"/>
      <c r="P174" s="136"/>
      <c r="Q174" s="136"/>
      <c r="R174" s="133"/>
      <c r="S174" s="133"/>
      <c r="T174" s="133"/>
      <c r="U174" s="133"/>
      <c r="V174" s="133"/>
      <c r="W174" s="133"/>
      <c r="X174" s="137"/>
      <c r="Y174" s="138"/>
      <c r="Z174" s="138"/>
      <c r="AA174" s="138"/>
      <c r="AB174" s="138"/>
      <c r="AC174" s="138"/>
      <c r="AD174" s="138"/>
      <c r="AE174" s="138"/>
      <c r="AF174" s="138"/>
      <c r="AG174" s="138"/>
      <c r="AH174" s="138"/>
      <c r="AI174" s="138"/>
      <c r="AJ174" s="138"/>
    </row>
    <row r="175" spans="1:36">
      <c r="A175" s="78"/>
      <c r="E175" s="78"/>
      <c r="F175" s="78"/>
      <c r="G175" s="78"/>
      <c r="H175" s="78"/>
      <c r="I175" s="78"/>
      <c r="J175" s="78"/>
      <c r="K175" s="78"/>
      <c r="L175" s="78"/>
      <c r="M175" s="87"/>
      <c r="N175" s="87"/>
      <c r="O175" s="87"/>
      <c r="P175" s="87"/>
      <c r="Q175" s="87"/>
      <c r="R175" s="78"/>
      <c r="S175" s="78"/>
      <c r="T175" s="78"/>
      <c r="U175" s="78"/>
      <c r="V175" s="78"/>
      <c r="W175" s="78"/>
      <c r="X175" s="42"/>
    </row>
    <row r="176" spans="1:36">
      <c r="A176" s="78"/>
      <c r="E176" s="78"/>
      <c r="F176" s="78"/>
      <c r="G176" s="78"/>
      <c r="H176" s="78"/>
      <c r="I176" s="78"/>
      <c r="J176" s="78"/>
      <c r="K176" s="78"/>
      <c r="L176" s="78"/>
      <c r="M176" s="87"/>
      <c r="N176" s="87"/>
      <c r="O176" s="87"/>
      <c r="P176" s="87"/>
      <c r="Q176" s="87"/>
      <c r="R176" s="78"/>
      <c r="S176" s="78"/>
      <c r="T176" s="78"/>
      <c r="U176" s="78"/>
      <c r="V176" s="78"/>
      <c r="W176" s="78"/>
      <c r="X176" s="42"/>
    </row>
    <row r="177" spans="1:26">
      <c r="A177" s="78"/>
      <c r="E177" s="78"/>
      <c r="F177" s="78"/>
      <c r="G177" s="78"/>
      <c r="H177" s="78"/>
      <c r="I177" s="78"/>
      <c r="J177" s="78"/>
      <c r="K177" s="78"/>
      <c r="L177" s="78"/>
      <c r="M177" s="87"/>
      <c r="N177" s="87"/>
      <c r="O177" s="87"/>
      <c r="P177" s="87"/>
      <c r="Q177" s="87"/>
      <c r="R177" s="78"/>
      <c r="S177" s="78"/>
      <c r="T177" s="78"/>
      <c r="U177" s="78"/>
      <c r="V177" s="703" t="s">
        <v>334</v>
      </c>
      <c r="W177" s="703"/>
      <c r="X177" s="703"/>
      <c r="Y177" s="703"/>
      <c r="Z177" s="703"/>
    </row>
    <row r="178" spans="1:26">
      <c r="A178" s="78"/>
      <c r="E178" s="78"/>
      <c r="F178" s="78"/>
      <c r="G178" s="78"/>
      <c r="H178" s="78"/>
      <c r="I178" s="78"/>
      <c r="J178" s="78"/>
      <c r="K178" s="78"/>
      <c r="L178" s="78"/>
      <c r="M178" s="87"/>
      <c r="N178" s="87"/>
      <c r="O178" s="87"/>
      <c r="P178" s="87"/>
      <c r="V178" s="703" t="s">
        <v>336</v>
      </c>
      <c r="W178" s="703"/>
      <c r="X178" s="703" t="s">
        <v>337</v>
      </c>
      <c r="Y178" s="703"/>
      <c r="Z178" s="703"/>
    </row>
    <row r="179" spans="1:26">
      <c r="A179" s="78"/>
      <c r="B179" s="727" t="s">
        <v>335</v>
      </c>
      <c r="C179" s="728"/>
      <c r="D179" s="729"/>
      <c r="E179" s="78"/>
      <c r="F179" s="78"/>
      <c r="G179" s="78"/>
      <c r="H179" s="78"/>
      <c r="I179" s="78"/>
      <c r="J179" s="78"/>
      <c r="K179" s="78"/>
      <c r="L179" s="78"/>
      <c r="M179" s="87"/>
      <c r="N179" s="87"/>
      <c r="O179" s="87"/>
      <c r="P179" s="87"/>
      <c r="V179" s="134" t="s">
        <v>340</v>
      </c>
      <c r="W179" s="134"/>
      <c r="X179" s="727">
        <v>5.45</v>
      </c>
      <c r="Y179" s="728"/>
      <c r="Z179" s="729"/>
    </row>
    <row r="180" spans="1:26">
      <c r="A180" s="78"/>
      <c r="B180" s="77" t="s">
        <v>338</v>
      </c>
      <c r="C180" s="723" t="s">
        <v>377</v>
      </c>
      <c r="D180" s="725"/>
      <c r="E180" s="78"/>
      <c r="F180" s="78"/>
      <c r="G180" s="78"/>
      <c r="H180" s="78"/>
      <c r="I180" s="78"/>
      <c r="J180" s="78"/>
      <c r="K180" s="78"/>
      <c r="L180" s="78"/>
      <c r="M180" s="87"/>
      <c r="N180" s="87"/>
      <c r="O180" s="87"/>
      <c r="P180" s="87"/>
      <c r="V180" s="134" t="s">
        <v>342</v>
      </c>
      <c r="W180" s="134"/>
      <c r="X180" s="703">
        <v>7.6585999999999999</v>
      </c>
      <c r="Y180" s="703"/>
      <c r="Z180" s="4" t="s">
        <v>343</v>
      </c>
    </row>
    <row r="181" spans="1:26">
      <c r="A181" s="78"/>
      <c r="B181" s="77" t="s">
        <v>336</v>
      </c>
      <c r="C181" s="723" t="s">
        <v>378</v>
      </c>
      <c r="D181" s="725"/>
      <c r="E181" s="78"/>
      <c r="F181" s="78"/>
      <c r="G181" s="78"/>
      <c r="H181" s="78"/>
      <c r="I181" s="78"/>
      <c r="J181" s="78"/>
      <c r="K181" s="78"/>
      <c r="L181" s="78"/>
      <c r="M181" s="87"/>
      <c r="N181" s="87"/>
      <c r="O181" s="87"/>
      <c r="P181" s="87"/>
      <c r="V181" s="683" t="s">
        <v>345</v>
      </c>
      <c r="W181" s="683"/>
      <c r="X181" s="683">
        <v>16600</v>
      </c>
      <c r="Y181" s="683"/>
      <c r="Z181" s="4" t="s">
        <v>346</v>
      </c>
    </row>
    <row r="182" spans="1:26">
      <c r="A182" s="78"/>
      <c r="B182" s="77" t="s">
        <v>344</v>
      </c>
      <c r="C182" s="723">
        <v>4</v>
      </c>
      <c r="D182" s="725"/>
      <c r="E182" s="78"/>
      <c r="F182" s="78"/>
      <c r="G182" s="78"/>
      <c r="H182" s="78"/>
      <c r="I182" s="78"/>
      <c r="J182" s="78"/>
      <c r="K182" s="78"/>
      <c r="L182" s="78"/>
      <c r="M182" s="87"/>
      <c r="N182" s="87"/>
      <c r="O182" s="87"/>
      <c r="P182" s="87"/>
      <c r="V182" s="703" t="s">
        <v>348</v>
      </c>
      <c r="W182" s="703"/>
      <c r="X182" s="703">
        <v>600</v>
      </c>
      <c r="Y182" s="703"/>
      <c r="Z182" s="4" t="s">
        <v>349</v>
      </c>
    </row>
    <row r="183" spans="1:26">
      <c r="A183" s="78"/>
      <c r="B183" s="77" t="s">
        <v>347</v>
      </c>
      <c r="C183" s="723">
        <v>8</v>
      </c>
      <c r="D183" s="725"/>
      <c r="E183" s="78"/>
      <c r="F183" s="78"/>
      <c r="G183" s="78"/>
      <c r="H183" s="78"/>
      <c r="I183" s="78"/>
      <c r="J183" s="78"/>
      <c r="K183" s="78"/>
      <c r="L183" s="78"/>
      <c r="M183" s="87"/>
      <c r="N183" s="87"/>
      <c r="O183" s="87"/>
      <c r="P183" s="87"/>
      <c r="V183" s="683" t="s">
        <v>352</v>
      </c>
      <c r="W183" s="683"/>
      <c r="X183" s="702">
        <f>X182/X179</f>
        <v>110.09174311926606</v>
      </c>
      <c r="Y183" s="702"/>
      <c r="Z183" s="4" t="s">
        <v>349</v>
      </c>
    </row>
    <row r="184" spans="1:26">
      <c r="A184" s="78"/>
      <c r="B184" s="77" t="s">
        <v>350</v>
      </c>
      <c r="C184" s="77">
        <v>480</v>
      </c>
      <c r="D184" s="77" t="s">
        <v>351</v>
      </c>
      <c r="E184" s="78"/>
      <c r="F184" s="78"/>
      <c r="G184" s="78"/>
      <c r="H184" s="78"/>
      <c r="I184" s="78"/>
      <c r="J184" s="78"/>
      <c r="K184" s="78"/>
      <c r="L184" s="78"/>
      <c r="M184" s="87"/>
      <c r="N184" s="87"/>
      <c r="O184" s="87"/>
      <c r="P184" s="87"/>
      <c r="V184" s="89"/>
      <c r="W184" s="89"/>
      <c r="X184" s="135"/>
      <c r="Y184" s="135"/>
    </row>
    <row r="185" spans="1:26">
      <c r="A185" s="78"/>
      <c r="B185" s="77" t="s">
        <v>353</v>
      </c>
      <c r="C185" s="77">
        <v>320</v>
      </c>
      <c r="D185" s="77" t="s">
        <v>351</v>
      </c>
      <c r="E185" s="78"/>
      <c r="F185" s="78"/>
      <c r="G185" s="78"/>
      <c r="H185" s="78"/>
      <c r="I185" s="78"/>
      <c r="J185" s="78"/>
      <c r="K185" s="78"/>
      <c r="L185" s="78"/>
      <c r="M185" s="87"/>
      <c r="N185" s="87"/>
      <c r="O185" s="87"/>
      <c r="P185" s="87"/>
      <c r="V185" s="89"/>
      <c r="W185" s="89"/>
      <c r="X185" s="135"/>
      <c r="Y185" s="135"/>
    </row>
    <row r="186" spans="1:26">
      <c r="A186" s="78"/>
      <c r="B186" s="77" t="s">
        <v>354</v>
      </c>
      <c r="C186" s="77">
        <v>3840</v>
      </c>
      <c r="D186" s="77" t="s">
        <v>250</v>
      </c>
      <c r="E186" s="78"/>
      <c r="F186" s="78"/>
      <c r="G186" s="78"/>
      <c r="H186" s="78"/>
      <c r="I186" s="78"/>
      <c r="J186" s="78"/>
      <c r="K186" s="78"/>
      <c r="L186" s="78"/>
      <c r="M186" s="87"/>
      <c r="N186" s="87"/>
      <c r="O186" s="87"/>
      <c r="P186" s="87"/>
      <c r="V186" s="89"/>
      <c r="W186" s="89"/>
      <c r="X186" s="135"/>
      <c r="Y186" s="135"/>
    </row>
    <row r="187" spans="1:26">
      <c r="A187" s="78"/>
      <c r="B187" s="77" t="s">
        <v>355</v>
      </c>
      <c r="C187" s="77">
        <v>600</v>
      </c>
      <c r="D187" s="77" t="s">
        <v>356</v>
      </c>
      <c r="E187" s="78"/>
      <c r="F187" s="78"/>
      <c r="G187" s="78"/>
      <c r="H187" s="78"/>
      <c r="I187" s="78"/>
      <c r="J187" s="78"/>
      <c r="K187" s="78"/>
      <c r="L187" s="78"/>
      <c r="M187" s="87"/>
      <c r="N187" s="87"/>
      <c r="O187" s="87"/>
      <c r="P187" s="87"/>
      <c r="Q187" s="87"/>
      <c r="R187" s="78"/>
      <c r="S187" s="78"/>
      <c r="T187" s="78"/>
      <c r="U187" s="78"/>
      <c r="V187" s="78"/>
      <c r="W187" s="78"/>
      <c r="X187" s="42"/>
    </row>
    <row r="188" spans="1:26">
      <c r="A188" s="78"/>
      <c r="B188" s="77" t="s">
        <v>357</v>
      </c>
      <c r="C188" s="77">
        <v>24.9</v>
      </c>
      <c r="D188" s="77" t="s">
        <v>358</v>
      </c>
      <c r="E188" s="78"/>
      <c r="F188" s="78"/>
      <c r="G188" s="78"/>
      <c r="H188" s="78"/>
      <c r="I188" s="78"/>
      <c r="J188" s="78"/>
      <c r="K188" s="78"/>
      <c r="L188" s="78"/>
      <c r="M188" s="87"/>
      <c r="N188" s="87"/>
      <c r="O188" s="87"/>
      <c r="P188" s="87"/>
      <c r="Q188" s="87"/>
      <c r="R188" s="78"/>
      <c r="S188" s="78"/>
      <c r="T188" s="78"/>
      <c r="U188" s="78"/>
      <c r="V188" s="78"/>
      <c r="W188" s="78"/>
      <c r="X188" s="42"/>
    </row>
    <row r="189" spans="1:26">
      <c r="A189" s="78"/>
      <c r="B189" s="77" t="s">
        <v>359</v>
      </c>
      <c r="C189" s="77">
        <v>177</v>
      </c>
      <c r="D189" s="77" t="s">
        <v>360</v>
      </c>
      <c r="E189" s="78"/>
      <c r="F189" s="78"/>
      <c r="G189" s="78"/>
      <c r="H189" s="78"/>
      <c r="I189" s="78"/>
      <c r="J189" s="78"/>
      <c r="K189" s="78"/>
      <c r="L189" s="78"/>
      <c r="M189" s="87"/>
      <c r="N189" s="87"/>
      <c r="O189" s="87"/>
      <c r="P189" s="87"/>
      <c r="Q189" s="87"/>
      <c r="R189" s="78"/>
      <c r="S189" s="78"/>
      <c r="T189" s="78"/>
      <c r="U189" s="78"/>
      <c r="V189" s="78"/>
      <c r="W189" s="78"/>
      <c r="X189" s="42"/>
    </row>
    <row r="190" spans="1:26">
      <c r="A190" s="78"/>
      <c r="B190" s="77" t="s">
        <v>345</v>
      </c>
      <c r="C190" s="77">
        <v>49</v>
      </c>
      <c r="D190" s="77" t="s">
        <v>361</v>
      </c>
      <c r="E190" s="78"/>
      <c r="F190" s="78"/>
      <c r="G190" s="78"/>
      <c r="H190" s="78"/>
      <c r="I190" s="78"/>
      <c r="J190" s="78"/>
      <c r="K190" s="78"/>
      <c r="L190" s="78"/>
      <c r="M190" s="87"/>
      <c r="N190" s="87"/>
      <c r="O190" s="87"/>
      <c r="P190" s="87"/>
      <c r="Q190" s="87"/>
      <c r="R190" s="78"/>
      <c r="S190" s="78"/>
      <c r="T190" s="78"/>
      <c r="U190" s="78"/>
      <c r="V190" s="78"/>
      <c r="W190" s="78"/>
      <c r="X190" s="42"/>
    </row>
    <row r="191" spans="1:26">
      <c r="A191" s="78"/>
      <c r="B191" s="723" t="s">
        <v>363</v>
      </c>
      <c r="C191" s="724"/>
      <c r="D191" s="725"/>
      <c r="E191" s="78"/>
      <c r="F191" s="78"/>
      <c r="G191" s="78"/>
      <c r="H191" s="78"/>
      <c r="I191" s="78"/>
      <c r="J191" s="78"/>
      <c r="K191" s="78"/>
      <c r="L191" s="78"/>
      <c r="M191" s="87"/>
      <c r="N191" s="87"/>
      <c r="O191" s="87"/>
      <c r="P191" s="87"/>
      <c r="Q191" s="87"/>
      <c r="R191" s="78"/>
      <c r="S191" s="78"/>
      <c r="T191" s="78"/>
      <c r="U191" s="78"/>
      <c r="V191" s="78"/>
      <c r="W191" s="78"/>
      <c r="X191" s="42"/>
    </row>
    <row r="192" spans="1:26">
      <c r="A192" s="78"/>
      <c r="B192" s="77" t="s">
        <v>365</v>
      </c>
      <c r="C192" s="77">
        <v>7.2930000000000001</v>
      </c>
      <c r="D192" s="77" t="s">
        <v>4</v>
      </c>
      <c r="E192" s="78"/>
      <c r="F192" s="78"/>
      <c r="G192" s="78"/>
      <c r="H192" s="78"/>
      <c r="I192" s="78"/>
      <c r="J192" s="78"/>
      <c r="K192" s="78"/>
      <c r="L192" s="78"/>
      <c r="M192" s="87"/>
      <c r="N192" s="87"/>
      <c r="O192" s="87"/>
      <c r="P192" s="87"/>
      <c r="Q192" s="87"/>
      <c r="R192" s="78"/>
      <c r="S192" s="78"/>
      <c r="T192" s="78"/>
      <c r="U192" s="78"/>
      <c r="V192" s="78"/>
      <c r="W192" s="78"/>
      <c r="X192" s="42"/>
    </row>
    <row r="193" spans="1:24">
      <c r="A193" s="78"/>
      <c r="B193" s="77" t="s">
        <v>367</v>
      </c>
      <c r="C193" s="77">
        <v>2.1819999999999999</v>
      </c>
      <c r="D193" s="77" t="s">
        <v>4</v>
      </c>
      <c r="E193" s="78"/>
      <c r="F193" s="78"/>
      <c r="G193" s="78"/>
      <c r="H193" s="78"/>
      <c r="I193" s="78"/>
      <c r="J193" s="78"/>
      <c r="K193" s="78"/>
      <c r="L193" s="78"/>
      <c r="M193" s="87"/>
      <c r="N193" s="87"/>
      <c r="O193" s="87"/>
      <c r="P193" s="87"/>
      <c r="Q193" s="87"/>
      <c r="R193" s="78"/>
      <c r="S193" s="78"/>
      <c r="T193" s="78"/>
      <c r="U193" s="78"/>
      <c r="V193" s="78"/>
      <c r="W193" s="78"/>
      <c r="X193" s="42"/>
    </row>
    <row r="194" spans="1:24">
      <c r="A194" s="78"/>
      <c r="B194" s="77" t="s">
        <v>369</v>
      </c>
      <c r="C194" s="77">
        <v>2.9689999999999999</v>
      </c>
      <c r="D194" s="77" t="s">
        <v>4</v>
      </c>
      <c r="E194" s="78"/>
      <c r="F194" s="78"/>
      <c r="G194" s="78"/>
      <c r="H194" s="78"/>
      <c r="I194" s="78"/>
      <c r="J194" s="78"/>
      <c r="K194" s="78"/>
      <c r="L194" s="78"/>
      <c r="M194" s="87"/>
      <c r="N194" s="87"/>
      <c r="O194" s="87"/>
      <c r="P194" s="87"/>
      <c r="Q194" s="87"/>
      <c r="R194" s="78"/>
      <c r="S194" s="78"/>
      <c r="T194" s="78"/>
      <c r="U194" s="78"/>
      <c r="V194" s="78"/>
      <c r="W194" s="78"/>
      <c r="X194" s="42"/>
    </row>
    <row r="195" spans="1:24">
      <c r="A195" s="78"/>
      <c r="E195" s="78"/>
      <c r="F195" s="78"/>
      <c r="G195" s="78"/>
      <c r="H195" s="78"/>
      <c r="I195" s="78"/>
      <c r="J195" s="78"/>
      <c r="K195" s="78"/>
      <c r="L195" s="78"/>
      <c r="M195" s="87"/>
      <c r="N195" s="87"/>
      <c r="O195" s="87"/>
      <c r="P195" s="87"/>
      <c r="Q195" s="87"/>
      <c r="R195" s="78"/>
      <c r="S195" s="78"/>
      <c r="T195" s="78"/>
      <c r="U195" s="78"/>
      <c r="V195" s="78"/>
      <c r="W195" s="78"/>
      <c r="X195" s="42"/>
    </row>
    <row r="196" spans="1:24">
      <c r="A196" s="78"/>
      <c r="B196" s="87"/>
      <c r="C196" s="87"/>
      <c r="D196" s="87"/>
      <c r="E196" s="78"/>
      <c r="F196" s="78"/>
      <c r="G196" s="78"/>
      <c r="H196" s="78"/>
      <c r="I196" s="78"/>
      <c r="J196" s="78"/>
      <c r="K196" s="78"/>
      <c r="L196" s="78"/>
      <c r="M196" s="87"/>
      <c r="N196" s="87"/>
      <c r="O196" s="87"/>
      <c r="P196" s="87"/>
      <c r="Q196" s="87"/>
      <c r="R196" s="78"/>
      <c r="S196" s="78"/>
      <c r="T196" s="78"/>
      <c r="U196" s="78"/>
      <c r="V196" s="78"/>
      <c r="W196" s="78"/>
      <c r="X196" s="42"/>
    </row>
    <row r="197" spans="1:24">
      <c r="A197" s="78"/>
      <c r="B197" s="77" t="s">
        <v>362</v>
      </c>
      <c r="C197" s="77">
        <v>3840</v>
      </c>
      <c r="D197" s="139" t="s">
        <v>250</v>
      </c>
      <c r="E197" s="78"/>
      <c r="F197" s="78"/>
      <c r="G197" s="78"/>
      <c r="H197" s="78"/>
      <c r="I197" s="78"/>
      <c r="J197" s="78"/>
      <c r="K197" s="78"/>
      <c r="L197" s="78"/>
      <c r="M197" s="87"/>
      <c r="N197" s="87"/>
      <c r="O197" s="87"/>
      <c r="P197" s="87"/>
      <c r="Q197" s="87"/>
      <c r="R197" s="78"/>
      <c r="S197" s="78"/>
      <c r="T197" s="78"/>
      <c r="U197" s="78"/>
      <c r="V197" s="78"/>
      <c r="W197" s="78"/>
      <c r="X197" s="42"/>
    </row>
    <row r="198" spans="1:24">
      <c r="A198" s="78"/>
      <c r="B198" s="77" t="s">
        <v>364</v>
      </c>
      <c r="C198" s="19">
        <f>C197*0.98</f>
        <v>3763.2</v>
      </c>
      <c r="D198" s="139" t="s">
        <v>250</v>
      </c>
      <c r="E198" s="78"/>
      <c r="F198" s="78"/>
      <c r="G198" s="78"/>
      <c r="H198" s="78"/>
      <c r="I198" s="78"/>
      <c r="J198" s="78"/>
      <c r="K198" s="78"/>
      <c r="L198" s="78"/>
      <c r="M198" s="87"/>
      <c r="N198" s="87"/>
      <c r="O198" s="87"/>
      <c r="P198" s="87"/>
      <c r="Q198" s="87"/>
      <c r="R198" s="78"/>
      <c r="S198" s="78"/>
      <c r="T198" s="78"/>
      <c r="U198" s="78"/>
      <c r="V198" s="78"/>
      <c r="W198" s="78"/>
      <c r="X198" s="42"/>
    </row>
    <row r="199" spans="1:24">
      <c r="A199" s="78"/>
      <c r="B199" s="77" t="s">
        <v>366</v>
      </c>
      <c r="C199" s="19">
        <f>C198*0.98</f>
        <v>3687.9359999999997</v>
      </c>
      <c r="D199" s="139" t="s">
        <v>250</v>
      </c>
      <c r="E199" s="78"/>
      <c r="F199" s="78"/>
      <c r="G199" s="78"/>
      <c r="H199" s="78"/>
      <c r="I199" s="78"/>
      <c r="J199" s="78"/>
      <c r="K199" s="78"/>
      <c r="L199" s="78"/>
      <c r="M199" s="87"/>
      <c r="N199" s="87"/>
      <c r="O199" s="87"/>
      <c r="P199" s="87"/>
      <c r="Q199" s="87"/>
      <c r="R199" s="78"/>
      <c r="S199" s="78"/>
      <c r="T199" s="78"/>
      <c r="U199" s="78"/>
      <c r="V199" s="78"/>
      <c r="W199" s="78"/>
      <c r="X199" s="42"/>
    </row>
    <row r="200" spans="1:24">
      <c r="A200" s="78"/>
      <c r="B200" s="77" t="s">
        <v>368</v>
      </c>
      <c r="C200" s="29">
        <f>$C$11</f>
        <v>3675.6467591645364</v>
      </c>
      <c r="D200" s="139" t="s">
        <v>250</v>
      </c>
      <c r="E200" s="78"/>
      <c r="F200" s="78"/>
      <c r="G200" s="78"/>
      <c r="H200" s="78"/>
      <c r="I200" s="78"/>
      <c r="J200" s="78"/>
      <c r="K200" s="78"/>
      <c r="L200" s="78"/>
      <c r="M200" s="87"/>
      <c r="N200" s="87"/>
      <c r="O200" s="87"/>
      <c r="P200" s="87"/>
      <c r="Q200" s="87"/>
      <c r="R200" s="78"/>
      <c r="S200" s="78"/>
      <c r="T200" s="78"/>
      <c r="U200" s="78"/>
      <c r="V200" s="78"/>
      <c r="W200" s="78"/>
      <c r="X200" s="42"/>
    </row>
    <row r="201" spans="1:24">
      <c r="A201" s="78"/>
      <c r="B201" s="77" t="s">
        <v>371</v>
      </c>
      <c r="C201" s="683">
        <f>C200/C199</f>
        <v>0.99666771851912206</v>
      </c>
      <c r="D201" s="683"/>
      <c r="E201" s="78"/>
      <c r="F201" s="78"/>
      <c r="G201" s="78"/>
      <c r="H201" s="78"/>
      <c r="I201" s="78"/>
      <c r="J201" s="78"/>
      <c r="K201" s="78"/>
      <c r="L201" s="78"/>
      <c r="M201" s="87"/>
      <c r="N201" s="87"/>
      <c r="O201" s="87"/>
      <c r="P201" s="87"/>
      <c r="Q201" s="87"/>
      <c r="R201" s="78"/>
      <c r="S201" s="78"/>
      <c r="T201" s="78"/>
      <c r="U201" s="78"/>
      <c r="V201" s="78"/>
      <c r="W201" s="78"/>
      <c r="X201" s="42"/>
    </row>
    <row r="202" spans="1:24">
      <c r="A202" s="78"/>
      <c r="B202" s="77" t="s">
        <v>372</v>
      </c>
      <c r="C202" s="726">
        <f>C201/($C$47*$B$52)</f>
        <v>0.82472504290699666</v>
      </c>
      <c r="D202" s="726"/>
      <c r="E202" s="78"/>
      <c r="F202" s="78"/>
      <c r="G202" s="78"/>
      <c r="H202" s="78"/>
      <c r="I202" s="78"/>
      <c r="J202" s="78"/>
      <c r="K202" s="78"/>
      <c r="L202" s="78"/>
      <c r="M202" s="87"/>
      <c r="N202" s="87"/>
      <c r="O202" s="87"/>
      <c r="P202" s="87"/>
      <c r="Q202" s="87"/>
      <c r="R202" s="78"/>
      <c r="S202" s="78"/>
      <c r="T202" s="78"/>
      <c r="U202" s="78"/>
      <c r="V202" s="78"/>
      <c r="W202" s="78"/>
      <c r="X202" s="42"/>
    </row>
    <row r="203" spans="1:24">
      <c r="A203" s="78"/>
      <c r="B203" s="87"/>
      <c r="C203" s="87"/>
      <c r="D203" s="87"/>
      <c r="E203" s="78"/>
      <c r="F203" s="78"/>
      <c r="G203" s="78"/>
      <c r="H203" s="78"/>
      <c r="I203" s="78"/>
      <c r="J203" s="78"/>
      <c r="K203" s="78"/>
      <c r="L203" s="78"/>
      <c r="M203" s="87"/>
      <c r="N203" s="87"/>
      <c r="O203" s="87"/>
      <c r="P203" s="87"/>
      <c r="Q203" s="87"/>
      <c r="R203" s="78"/>
      <c r="S203" s="78"/>
      <c r="T203" s="78"/>
      <c r="U203" s="78"/>
      <c r="V203" s="78"/>
      <c r="W203" s="78"/>
      <c r="X203" s="42"/>
    </row>
    <row r="204" spans="1:24">
      <c r="A204" s="78"/>
      <c r="B204" s="87"/>
      <c r="C204" s="87"/>
      <c r="D204" s="87"/>
      <c r="E204" s="78"/>
      <c r="F204" s="78"/>
      <c r="G204" s="78"/>
      <c r="H204" s="78"/>
      <c r="I204" s="78"/>
      <c r="J204" s="78"/>
      <c r="K204" s="78"/>
      <c r="L204" s="78"/>
      <c r="M204" s="87"/>
      <c r="N204" s="87"/>
      <c r="O204" s="87"/>
      <c r="P204" s="87"/>
      <c r="Q204" s="87"/>
      <c r="R204" s="78"/>
      <c r="S204" s="78"/>
      <c r="T204" s="78"/>
      <c r="U204" s="78"/>
      <c r="V204" s="78"/>
      <c r="W204" s="78"/>
      <c r="X204" s="42"/>
    </row>
    <row r="205" spans="1:24">
      <c r="A205" s="78"/>
      <c r="B205" s="87"/>
      <c r="C205" s="87"/>
      <c r="D205" s="87"/>
      <c r="E205" s="78"/>
      <c r="F205" s="78"/>
      <c r="G205" s="78"/>
      <c r="H205" s="78"/>
      <c r="I205" s="78"/>
      <c r="J205" s="78"/>
      <c r="K205" s="78"/>
      <c r="L205" s="78"/>
      <c r="M205" s="87"/>
      <c r="N205" s="87"/>
      <c r="O205" s="87"/>
      <c r="P205" s="87"/>
      <c r="Q205" s="87"/>
      <c r="R205" s="78"/>
      <c r="S205" s="78"/>
      <c r="T205" s="78"/>
      <c r="U205" s="78"/>
      <c r="V205" s="78"/>
      <c r="W205" s="78"/>
      <c r="X205" s="42"/>
    </row>
    <row r="206" spans="1:24">
      <c r="A206" s="78"/>
      <c r="B206" s="87"/>
      <c r="C206" s="87"/>
      <c r="D206" s="87"/>
      <c r="E206" s="78"/>
      <c r="F206" s="78"/>
      <c r="G206" s="78"/>
      <c r="H206" s="78"/>
      <c r="I206" s="78"/>
      <c r="J206" s="78"/>
      <c r="K206" s="78"/>
      <c r="L206" s="78"/>
      <c r="M206" s="87"/>
      <c r="N206" s="87"/>
      <c r="O206" s="87"/>
      <c r="P206" s="87"/>
      <c r="Q206" s="87"/>
      <c r="R206" s="78"/>
      <c r="S206" s="78"/>
      <c r="T206" s="78"/>
      <c r="U206" s="78"/>
      <c r="V206" s="78"/>
      <c r="W206" s="78"/>
      <c r="X206" s="42"/>
    </row>
    <row r="207" spans="1:24">
      <c r="A207" s="78"/>
      <c r="E207" s="78"/>
      <c r="F207" s="78"/>
      <c r="G207" s="78"/>
      <c r="H207" s="78"/>
      <c r="I207" s="78"/>
      <c r="J207" s="78"/>
      <c r="K207" s="78"/>
      <c r="L207" s="78"/>
      <c r="M207" s="87"/>
      <c r="N207" s="87"/>
      <c r="O207" s="87"/>
      <c r="P207" s="87"/>
      <c r="Q207" s="87"/>
      <c r="R207" s="78"/>
      <c r="S207" s="78"/>
      <c r="T207" s="78"/>
      <c r="U207" s="78"/>
      <c r="V207" s="78"/>
      <c r="W207" s="78"/>
      <c r="X207" s="42"/>
    </row>
    <row r="208" spans="1:24">
      <c r="A208" s="78"/>
      <c r="E208" s="78"/>
      <c r="F208" s="78"/>
      <c r="G208" s="78"/>
      <c r="H208" s="78"/>
      <c r="I208" s="78"/>
      <c r="J208" s="78"/>
      <c r="K208" s="78"/>
      <c r="L208" s="78"/>
      <c r="M208" s="78"/>
      <c r="N208" s="78"/>
      <c r="O208" s="87"/>
      <c r="P208" s="87"/>
      <c r="Q208" s="87"/>
      <c r="R208" s="78"/>
      <c r="S208" s="78"/>
      <c r="T208" s="78"/>
      <c r="U208" s="78"/>
      <c r="V208" s="78"/>
      <c r="W208" s="78"/>
      <c r="X208" s="42"/>
    </row>
    <row r="209" spans="1:36">
      <c r="A209" s="78"/>
      <c r="E209" s="78"/>
      <c r="F209" s="78"/>
      <c r="G209" s="78"/>
      <c r="H209" s="78"/>
      <c r="I209" s="78"/>
      <c r="J209" s="78"/>
      <c r="K209" s="78"/>
      <c r="L209" s="78"/>
      <c r="M209" s="87"/>
      <c r="N209" s="87"/>
      <c r="O209" s="87"/>
      <c r="P209" s="87"/>
      <c r="Q209" s="87"/>
      <c r="R209" s="78"/>
      <c r="S209" s="78"/>
      <c r="T209" s="78"/>
      <c r="U209" s="78"/>
      <c r="V209" s="78"/>
      <c r="W209" s="78"/>
      <c r="X209" s="42"/>
    </row>
    <row r="210" spans="1:36">
      <c r="A210" s="78"/>
      <c r="E210" s="78"/>
      <c r="F210" s="78"/>
      <c r="G210" s="78"/>
      <c r="H210" s="78"/>
      <c r="I210" s="78"/>
      <c r="M210" s="87"/>
      <c r="N210" s="87"/>
      <c r="O210" s="87"/>
      <c r="P210" s="87"/>
      <c r="Q210" s="87"/>
      <c r="R210" s="78"/>
      <c r="S210" s="78"/>
      <c r="T210" s="78"/>
      <c r="U210" s="78"/>
      <c r="V210" s="78"/>
      <c r="W210" s="78"/>
      <c r="X210" s="42"/>
    </row>
    <row r="211" spans="1:36">
      <c r="A211" s="133"/>
      <c r="B211" s="136"/>
      <c r="C211" s="136"/>
      <c r="D211" s="136"/>
      <c r="E211" s="133"/>
      <c r="F211" s="133"/>
      <c r="G211" s="133"/>
      <c r="H211" s="133"/>
      <c r="I211" s="133"/>
      <c r="J211" s="133"/>
      <c r="K211" s="133"/>
      <c r="L211" s="133"/>
      <c r="M211" s="136"/>
      <c r="N211" s="136"/>
      <c r="O211" s="136"/>
      <c r="P211" s="136"/>
      <c r="Q211" s="136"/>
      <c r="R211" s="133"/>
      <c r="S211" s="133"/>
      <c r="T211" s="133"/>
      <c r="U211" s="133"/>
      <c r="V211" s="133"/>
      <c r="W211" s="133"/>
      <c r="X211" s="137"/>
      <c r="Y211" s="138"/>
      <c r="Z211" s="138"/>
      <c r="AA211" s="138"/>
      <c r="AB211" s="138"/>
      <c r="AC211" s="138"/>
      <c r="AD211" s="138"/>
      <c r="AE211" s="138"/>
      <c r="AF211" s="138"/>
      <c r="AG211" s="138"/>
      <c r="AH211" s="138"/>
      <c r="AI211" s="138"/>
      <c r="AJ211" s="138"/>
    </row>
    <row r="212" spans="1:36">
      <c r="A212" s="78"/>
      <c r="E212" s="78"/>
      <c r="F212" s="78"/>
      <c r="G212" s="78"/>
      <c r="H212" s="78"/>
      <c r="I212" s="78"/>
      <c r="J212" s="78"/>
      <c r="K212" s="78"/>
      <c r="L212" s="78"/>
      <c r="M212" s="87"/>
      <c r="N212" s="87"/>
      <c r="O212" s="87"/>
      <c r="P212" s="87"/>
      <c r="Q212" s="87"/>
      <c r="R212" s="78"/>
      <c r="S212" s="78"/>
      <c r="T212" s="78"/>
      <c r="U212" s="78"/>
      <c r="V212" s="78"/>
      <c r="W212" s="78"/>
      <c r="X212" s="42"/>
    </row>
    <row r="213" spans="1:36">
      <c r="A213" s="78"/>
      <c r="E213" s="78"/>
      <c r="F213" s="78"/>
      <c r="G213" s="78"/>
      <c r="H213" s="78"/>
      <c r="I213" s="78"/>
      <c r="J213" s="78"/>
      <c r="K213" s="78"/>
      <c r="L213" s="78"/>
      <c r="M213" s="87"/>
      <c r="N213" s="87"/>
      <c r="O213" s="87"/>
      <c r="P213" s="87"/>
      <c r="Q213" s="87"/>
      <c r="R213" s="78"/>
      <c r="S213" s="78"/>
      <c r="T213" s="78"/>
      <c r="U213" s="78"/>
      <c r="V213" s="78"/>
      <c r="W213" s="78"/>
      <c r="X213" s="42"/>
    </row>
    <row r="214" spans="1:36">
      <c r="A214" s="78"/>
      <c r="E214" s="78"/>
      <c r="F214" s="78"/>
      <c r="G214" s="78"/>
      <c r="H214" s="78"/>
      <c r="I214" s="78"/>
      <c r="J214" s="78"/>
      <c r="K214" s="78"/>
      <c r="L214" s="78"/>
      <c r="M214" s="87"/>
      <c r="N214" s="87"/>
      <c r="O214" s="87"/>
      <c r="P214" s="87"/>
      <c r="Q214" s="87"/>
      <c r="R214" s="78"/>
      <c r="S214" s="78"/>
      <c r="T214" s="78"/>
      <c r="U214" s="78"/>
      <c r="V214" s="78"/>
      <c r="W214" s="78"/>
      <c r="X214" s="42"/>
      <c r="AB214" s="703" t="s">
        <v>334</v>
      </c>
      <c r="AC214" s="703"/>
      <c r="AD214" s="703"/>
      <c r="AE214" s="703"/>
      <c r="AF214" s="703"/>
    </row>
    <row r="215" spans="1:36">
      <c r="A215" s="78"/>
      <c r="B215" s="703" t="s">
        <v>335</v>
      </c>
      <c r="C215" s="703"/>
      <c r="D215" s="703"/>
      <c r="E215" s="78"/>
      <c r="F215" s="78"/>
      <c r="G215" s="78"/>
      <c r="H215" s="78"/>
      <c r="I215" s="78"/>
      <c r="J215" s="78"/>
      <c r="K215" s="78"/>
      <c r="L215" s="78"/>
      <c r="M215" s="87"/>
      <c r="N215" s="87"/>
      <c r="O215" s="87"/>
      <c r="P215" s="87"/>
      <c r="Q215" s="87"/>
      <c r="R215" s="78"/>
      <c r="S215" s="78"/>
      <c r="T215" s="78"/>
      <c r="U215" s="78"/>
      <c r="V215" s="78"/>
      <c r="W215" s="78"/>
      <c r="X215" s="42"/>
      <c r="AB215" s="703" t="s">
        <v>336</v>
      </c>
      <c r="AC215" s="703"/>
      <c r="AD215" s="703" t="s">
        <v>337</v>
      </c>
      <c r="AE215" s="703"/>
      <c r="AF215" s="703"/>
    </row>
    <row r="216" spans="1:36">
      <c r="A216" s="78"/>
      <c r="B216" s="77" t="s">
        <v>338</v>
      </c>
      <c r="C216" s="723" t="s">
        <v>379</v>
      </c>
      <c r="D216" s="725"/>
      <c r="E216" s="78"/>
      <c r="F216" s="78"/>
      <c r="G216" s="78"/>
      <c r="H216" s="78"/>
      <c r="I216" s="78"/>
      <c r="J216" s="78"/>
      <c r="K216" s="78"/>
      <c r="L216" s="78"/>
      <c r="M216" s="87"/>
      <c r="N216" s="87"/>
      <c r="O216" s="87"/>
      <c r="P216" s="87"/>
      <c r="Q216" s="87"/>
      <c r="R216" s="78"/>
      <c r="S216" s="78"/>
      <c r="T216" s="78"/>
      <c r="U216" s="78"/>
      <c r="V216" s="78"/>
      <c r="W216" s="78"/>
      <c r="X216" s="42"/>
      <c r="AB216" s="134" t="s">
        <v>340</v>
      </c>
      <c r="AC216" s="134"/>
      <c r="AD216" s="727">
        <v>5.95</v>
      </c>
      <c r="AE216" s="728"/>
      <c r="AF216" s="729"/>
    </row>
    <row r="217" spans="1:36">
      <c r="A217" s="78"/>
      <c r="B217" s="77" t="s">
        <v>336</v>
      </c>
      <c r="C217" s="723" t="s">
        <v>380</v>
      </c>
      <c r="D217" s="725"/>
      <c r="E217" s="78"/>
      <c r="F217" s="78"/>
      <c r="G217" s="78"/>
      <c r="H217" s="78"/>
      <c r="I217" s="78"/>
      <c r="J217" s="78"/>
      <c r="K217" s="78"/>
      <c r="L217" s="78"/>
      <c r="M217" s="87"/>
      <c r="N217" s="87"/>
      <c r="O217" s="87"/>
      <c r="P217" s="87"/>
      <c r="Q217" s="87"/>
      <c r="R217" s="78"/>
      <c r="S217" s="78"/>
      <c r="T217" s="78"/>
      <c r="U217" s="78"/>
      <c r="V217" s="78"/>
      <c r="W217" s="78"/>
      <c r="X217" s="42"/>
      <c r="AB217" s="134" t="s">
        <v>342</v>
      </c>
      <c r="AC217" s="134"/>
      <c r="AD217" s="703">
        <v>7.6585999999999999</v>
      </c>
      <c r="AE217" s="703"/>
      <c r="AF217" s="4" t="s">
        <v>343</v>
      </c>
    </row>
    <row r="218" spans="1:36">
      <c r="A218" s="78"/>
      <c r="B218" s="77" t="s">
        <v>344</v>
      </c>
      <c r="C218" s="723">
        <v>4</v>
      </c>
      <c r="D218" s="725"/>
      <c r="E218" s="78"/>
      <c r="F218" s="78"/>
      <c r="G218" s="78"/>
      <c r="H218" s="78"/>
      <c r="I218" s="78"/>
      <c r="J218" s="78"/>
      <c r="K218" s="78"/>
      <c r="L218" s="78"/>
      <c r="M218" s="87"/>
      <c r="N218" s="87"/>
      <c r="O218" s="87"/>
      <c r="P218" s="87"/>
      <c r="Q218" s="87"/>
      <c r="R218" s="78"/>
      <c r="S218" s="78"/>
      <c r="T218" s="78"/>
      <c r="U218" s="78"/>
      <c r="V218" s="78"/>
      <c r="W218" s="78"/>
      <c r="X218" s="42"/>
      <c r="AB218" s="683" t="s">
        <v>345</v>
      </c>
      <c r="AC218" s="683"/>
      <c r="AD218" s="683">
        <v>16600</v>
      </c>
      <c r="AE218" s="683"/>
      <c r="AF218" s="4" t="s">
        <v>346</v>
      </c>
    </row>
    <row r="219" spans="1:36">
      <c r="A219" s="78"/>
      <c r="B219" s="77" t="s">
        <v>347</v>
      </c>
      <c r="C219" s="723">
        <v>7</v>
      </c>
      <c r="D219" s="725"/>
      <c r="E219" s="78"/>
      <c r="F219" s="78"/>
      <c r="G219" s="78"/>
      <c r="H219" s="78"/>
      <c r="I219" s="78"/>
      <c r="J219" s="78"/>
      <c r="K219" s="78"/>
      <c r="L219" s="78"/>
      <c r="M219" s="87"/>
      <c r="N219" s="87"/>
      <c r="O219" s="87"/>
      <c r="P219" s="87"/>
      <c r="Q219" s="87"/>
      <c r="R219" s="78"/>
      <c r="S219" s="78"/>
      <c r="T219" s="78"/>
      <c r="U219" s="78"/>
      <c r="V219" s="78"/>
      <c r="W219" s="78"/>
      <c r="X219" s="42"/>
      <c r="AB219" s="703" t="s">
        <v>348</v>
      </c>
      <c r="AC219" s="703"/>
      <c r="AD219" s="703">
        <v>750</v>
      </c>
      <c r="AE219" s="703"/>
      <c r="AF219" s="4" t="s">
        <v>349</v>
      </c>
    </row>
    <row r="220" spans="1:36">
      <c r="A220" s="78"/>
      <c r="B220" s="77" t="s">
        <v>350</v>
      </c>
      <c r="C220" s="77">
        <v>400</v>
      </c>
      <c r="D220" s="77" t="s">
        <v>351</v>
      </c>
      <c r="E220" s="78"/>
      <c r="F220" s="78"/>
      <c r="G220" s="78"/>
      <c r="H220" s="78"/>
      <c r="I220" s="78"/>
      <c r="J220" s="78"/>
      <c r="K220" s="78"/>
      <c r="L220" s="78"/>
      <c r="M220" s="87"/>
      <c r="N220" s="87"/>
      <c r="O220" s="87"/>
      <c r="P220" s="87"/>
      <c r="Q220" s="87"/>
      <c r="R220" s="78"/>
      <c r="S220" s="78"/>
      <c r="T220" s="78"/>
      <c r="U220" s="78"/>
      <c r="V220" s="78"/>
      <c r="W220" s="78"/>
      <c r="X220" s="42"/>
      <c r="AB220" s="683" t="s">
        <v>352</v>
      </c>
      <c r="AC220" s="683"/>
      <c r="AD220" s="702">
        <f>AD219/AD216</f>
        <v>126.05042016806722</v>
      </c>
      <c r="AE220" s="702"/>
      <c r="AF220" s="4" t="s">
        <v>349</v>
      </c>
    </row>
    <row r="221" spans="1:36">
      <c r="A221" s="78"/>
      <c r="B221" s="77" t="s">
        <v>353</v>
      </c>
      <c r="C221" s="77">
        <v>320</v>
      </c>
      <c r="D221" s="77" t="s">
        <v>351</v>
      </c>
      <c r="E221" s="78"/>
      <c r="F221" s="78"/>
      <c r="G221" s="78"/>
      <c r="H221" s="78"/>
      <c r="I221" s="78"/>
      <c r="J221" s="78"/>
      <c r="K221" s="78"/>
      <c r="L221" s="78"/>
      <c r="M221" s="87"/>
      <c r="N221" s="87"/>
      <c r="O221" s="87"/>
      <c r="P221" s="87"/>
      <c r="Q221" s="87"/>
      <c r="R221" s="78"/>
      <c r="S221" s="78"/>
      <c r="T221" s="78"/>
      <c r="U221" s="78"/>
      <c r="V221" s="78"/>
      <c r="W221" s="78"/>
      <c r="X221" s="42"/>
      <c r="AB221" s="89"/>
      <c r="AC221" s="89"/>
      <c r="AD221" s="135"/>
      <c r="AE221" s="135"/>
    </row>
    <row r="222" spans="1:36">
      <c r="A222" s="78"/>
      <c r="B222" s="77" t="s">
        <v>354</v>
      </c>
      <c r="C222" s="77">
        <v>4060</v>
      </c>
      <c r="D222" s="77" t="s">
        <v>250</v>
      </c>
      <c r="E222" s="87"/>
      <c r="F222" s="87"/>
      <c r="G222" s="87"/>
      <c r="H222" s="87"/>
      <c r="I222" s="87"/>
      <c r="J222" s="87"/>
      <c r="K222" s="87"/>
      <c r="L222" s="78"/>
      <c r="M222" s="87"/>
      <c r="N222" s="87"/>
      <c r="O222" s="87"/>
      <c r="P222" s="87"/>
      <c r="Q222" s="87"/>
      <c r="R222" s="78"/>
      <c r="S222" s="78"/>
      <c r="T222" s="78"/>
      <c r="U222" s="78"/>
      <c r="V222" s="78"/>
      <c r="W222" s="78"/>
      <c r="X222" s="42"/>
    </row>
    <row r="223" spans="1:36">
      <c r="A223" s="78"/>
      <c r="B223" s="77" t="s">
        <v>355</v>
      </c>
      <c r="C223" s="77">
        <v>750</v>
      </c>
      <c r="D223" s="77" t="s">
        <v>356</v>
      </c>
      <c r="E223" s="87"/>
      <c r="F223" s="87"/>
      <c r="G223" s="87"/>
      <c r="H223" s="87"/>
      <c r="I223" s="87"/>
      <c r="J223" s="87"/>
      <c r="K223" s="87"/>
      <c r="L223" s="78"/>
      <c r="M223" s="87"/>
      <c r="N223" s="87"/>
      <c r="O223" s="87"/>
      <c r="P223" s="87"/>
      <c r="Q223" s="87"/>
      <c r="R223" s="78"/>
      <c r="S223" s="78"/>
      <c r="T223" s="78"/>
      <c r="U223" s="78"/>
      <c r="V223" s="78"/>
      <c r="W223" s="78"/>
      <c r="X223" s="42"/>
    </row>
    <row r="224" spans="1:36">
      <c r="A224" s="78"/>
      <c r="B224" s="77" t="s">
        <v>357</v>
      </c>
      <c r="C224" s="77">
        <v>2.9</v>
      </c>
      <c r="D224" s="77" t="s">
        <v>358</v>
      </c>
      <c r="E224" s="87"/>
      <c r="F224" s="87"/>
      <c r="G224" s="87"/>
      <c r="H224" s="87"/>
      <c r="I224" s="87"/>
      <c r="J224" s="87"/>
      <c r="K224" s="87"/>
      <c r="L224" s="78"/>
      <c r="M224" s="87"/>
      <c r="N224" s="87"/>
      <c r="O224" s="87"/>
      <c r="P224" s="87"/>
      <c r="Q224" s="87"/>
      <c r="R224" s="78"/>
      <c r="S224" s="78"/>
      <c r="T224" s="78"/>
      <c r="U224" s="78"/>
      <c r="V224" s="78"/>
      <c r="W224" s="78"/>
      <c r="X224" s="42"/>
    </row>
    <row r="225" spans="1:24">
      <c r="A225" s="78"/>
      <c r="B225" s="77" t="s">
        <v>359</v>
      </c>
      <c r="C225" s="77">
        <v>185</v>
      </c>
      <c r="D225" s="77" t="s">
        <v>360</v>
      </c>
      <c r="E225" s="87"/>
      <c r="F225" s="87"/>
      <c r="G225" s="87"/>
      <c r="H225" s="87"/>
      <c r="I225" s="87"/>
      <c r="J225" s="87"/>
      <c r="K225" s="87"/>
      <c r="L225" s="78"/>
      <c r="M225" s="87"/>
      <c r="N225" s="87"/>
      <c r="O225" s="87"/>
      <c r="P225" s="87"/>
      <c r="Q225" s="87"/>
      <c r="R225" s="78"/>
      <c r="S225" s="78"/>
      <c r="T225" s="78"/>
      <c r="U225" s="78"/>
      <c r="V225" s="78"/>
      <c r="W225" s="78"/>
      <c r="X225" s="42"/>
    </row>
    <row r="226" spans="1:24">
      <c r="A226" s="78"/>
      <c r="B226" s="77" t="s">
        <v>345</v>
      </c>
      <c r="C226" s="77">
        <v>43.6</v>
      </c>
      <c r="D226" s="77" t="s">
        <v>361</v>
      </c>
      <c r="E226" s="87"/>
      <c r="F226" s="87"/>
      <c r="G226" s="87"/>
      <c r="H226" s="87"/>
      <c r="I226" s="87"/>
      <c r="J226" s="87"/>
      <c r="K226" s="87"/>
      <c r="L226" s="78"/>
      <c r="M226" s="87"/>
      <c r="N226" s="87"/>
      <c r="O226" s="87"/>
      <c r="P226" s="87"/>
      <c r="Q226" s="87"/>
      <c r="R226" s="78"/>
      <c r="S226" s="78"/>
      <c r="T226" s="78"/>
      <c r="U226" s="78"/>
      <c r="V226" s="78"/>
      <c r="W226" s="78"/>
      <c r="X226" s="42"/>
    </row>
    <row r="227" spans="1:24">
      <c r="A227" s="78"/>
      <c r="B227" s="723" t="s">
        <v>363</v>
      </c>
      <c r="C227" s="724"/>
      <c r="D227" s="725"/>
      <c r="E227" s="87"/>
      <c r="F227" s="87"/>
      <c r="G227" s="87"/>
      <c r="H227" s="87"/>
      <c r="I227" s="87"/>
      <c r="J227" s="87"/>
      <c r="K227" s="87"/>
      <c r="L227" s="78"/>
      <c r="M227" s="87"/>
      <c r="N227" s="87"/>
      <c r="O227" s="87"/>
      <c r="P227" s="87"/>
      <c r="Q227" s="87"/>
      <c r="R227" s="78"/>
      <c r="S227" s="78"/>
      <c r="T227" s="78"/>
      <c r="U227" s="78"/>
      <c r="V227" s="78"/>
      <c r="W227" s="78"/>
      <c r="X227" s="42"/>
    </row>
    <row r="228" spans="1:24">
      <c r="A228" s="78"/>
      <c r="B228" s="77" t="s">
        <v>365</v>
      </c>
      <c r="C228" s="77">
        <v>6.3789999999999996</v>
      </c>
      <c r="D228" s="77" t="s">
        <v>4</v>
      </c>
      <c r="E228" s="87"/>
      <c r="F228" s="87"/>
      <c r="G228" s="87"/>
      <c r="H228" s="87"/>
      <c r="I228" s="87"/>
      <c r="J228" s="87"/>
      <c r="K228" s="87"/>
      <c r="L228" s="78"/>
      <c r="M228" s="78"/>
      <c r="N228" s="78"/>
      <c r="O228" s="78"/>
      <c r="P228" s="78"/>
      <c r="Q228" s="78"/>
      <c r="R228" s="78"/>
      <c r="S228" s="78"/>
      <c r="T228" s="78"/>
      <c r="U228" s="78"/>
      <c r="V228" s="78"/>
      <c r="W228" s="78"/>
      <c r="X228" s="42"/>
    </row>
    <row r="229" spans="1:24">
      <c r="A229" s="78"/>
      <c r="B229" s="77" t="s">
        <v>367</v>
      </c>
      <c r="C229" s="77">
        <v>2.61</v>
      </c>
      <c r="D229" s="77" t="s">
        <v>4</v>
      </c>
      <c r="E229" s="87"/>
      <c r="F229" s="87"/>
      <c r="G229" s="87"/>
      <c r="H229" s="87"/>
      <c r="I229" s="87"/>
      <c r="J229" s="87"/>
      <c r="K229" s="87"/>
      <c r="L229" s="78"/>
      <c r="M229" s="78"/>
      <c r="N229" s="78"/>
      <c r="O229" s="78"/>
      <c r="P229" s="78"/>
      <c r="Q229" s="78"/>
      <c r="R229" s="78"/>
      <c r="S229" s="78"/>
      <c r="T229" s="78"/>
      <c r="U229" s="78"/>
      <c r="V229" s="78"/>
      <c r="W229" s="78"/>
      <c r="X229" s="42"/>
    </row>
    <row r="230" spans="1:24">
      <c r="A230" s="78"/>
      <c r="B230" s="77" t="s">
        <v>369</v>
      </c>
      <c r="C230" s="77">
        <v>2.375</v>
      </c>
      <c r="D230" s="77" t="s">
        <v>4</v>
      </c>
      <c r="E230" s="87"/>
      <c r="F230" s="87"/>
      <c r="G230" s="87"/>
      <c r="H230" s="87"/>
      <c r="I230" s="87"/>
      <c r="J230" s="87"/>
      <c r="K230" s="87"/>
      <c r="L230" s="78"/>
      <c r="M230" s="78"/>
      <c r="N230" s="78"/>
      <c r="O230" s="78"/>
      <c r="P230" s="78"/>
      <c r="Q230" s="78"/>
      <c r="R230" s="78"/>
      <c r="S230" s="78"/>
      <c r="T230" s="78"/>
      <c r="U230" s="78"/>
      <c r="V230" s="78"/>
      <c r="W230" s="78"/>
      <c r="X230" s="42"/>
    </row>
    <row r="231" spans="1:24">
      <c r="A231" s="78"/>
      <c r="E231" s="87"/>
      <c r="F231" s="87"/>
      <c r="G231" s="87"/>
      <c r="H231" s="87"/>
      <c r="I231" s="87"/>
      <c r="J231" s="87"/>
      <c r="K231" s="87"/>
      <c r="L231" s="78"/>
      <c r="M231" s="78"/>
      <c r="N231" s="78"/>
      <c r="O231" s="78"/>
      <c r="P231" s="78"/>
      <c r="Q231" s="78"/>
      <c r="R231" s="78"/>
      <c r="S231" s="78"/>
      <c r="T231" s="78"/>
      <c r="U231" s="78"/>
      <c r="V231" s="78"/>
      <c r="W231" s="78"/>
      <c r="X231" s="42"/>
    </row>
    <row r="232" spans="1:24">
      <c r="A232" s="78"/>
      <c r="E232" s="87"/>
      <c r="F232" s="87"/>
      <c r="G232" s="87"/>
      <c r="H232" s="87"/>
      <c r="I232" s="87"/>
      <c r="J232" s="87"/>
      <c r="K232" s="87"/>
      <c r="L232" s="78"/>
      <c r="M232" s="78"/>
      <c r="N232" s="78"/>
      <c r="O232" s="78"/>
      <c r="P232" s="78"/>
      <c r="Q232" s="78"/>
      <c r="R232" s="78"/>
      <c r="S232" s="78"/>
      <c r="T232" s="78"/>
      <c r="U232" s="78"/>
      <c r="V232" s="78"/>
      <c r="W232" s="78"/>
      <c r="X232" s="42"/>
    </row>
    <row r="233" spans="1:24">
      <c r="A233" s="78"/>
      <c r="B233" s="77" t="s">
        <v>362</v>
      </c>
      <c r="C233" s="77">
        <f>C222</f>
        <v>4060</v>
      </c>
      <c r="D233" s="139" t="s">
        <v>250</v>
      </c>
      <c r="E233" s="87"/>
      <c r="F233" s="87"/>
      <c r="G233" s="87"/>
      <c r="H233" s="87"/>
      <c r="I233" s="87"/>
      <c r="J233" s="87"/>
      <c r="K233" s="87"/>
      <c r="L233" s="78"/>
      <c r="M233" s="78"/>
      <c r="N233" s="78"/>
      <c r="O233" s="78"/>
      <c r="P233" s="78"/>
      <c r="Q233" s="78"/>
      <c r="R233" s="78"/>
      <c r="S233" s="78"/>
      <c r="T233" s="78"/>
      <c r="U233" s="78"/>
      <c r="V233" s="78"/>
      <c r="W233" s="78"/>
      <c r="X233" s="42"/>
    </row>
    <row r="234" spans="1:24">
      <c r="A234" s="78"/>
      <c r="B234" s="77" t="s">
        <v>364</v>
      </c>
      <c r="C234" s="19">
        <f>C233*0.98</f>
        <v>3978.7999999999997</v>
      </c>
      <c r="D234" s="139" t="s">
        <v>250</v>
      </c>
      <c r="E234" s="87"/>
      <c r="F234" s="87"/>
      <c r="G234" s="87"/>
      <c r="H234" s="87"/>
      <c r="I234" s="87"/>
      <c r="J234" s="87"/>
      <c r="K234" s="87"/>
      <c r="L234" s="78"/>
      <c r="M234" s="78"/>
      <c r="N234" s="78"/>
      <c r="O234" s="78"/>
      <c r="P234" s="78"/>
      <c r="Q234" s="78"/>
      <c r="R234" s="78"/>
      <c r="S234" s="78"/>
      <c r="T234" s="78"/>
      <c r="U234" s="78"/>
      <c r="V234" s="78"/>
      <c r="W234" s="78"/>
      <c r="X234" s="42"/>
    </row>
    <row r="235" spans="1:24">
      <c r="A235" s="78"/>
      <c r="B235" s="77" t="s">
        <v>366</v>
      </c>
      <c r="C235" s="19">
        <f>C234*0.98</f>
        <v>3899.2239999999997</v>
      </c>
      <c r="D235" s="139" t="s">
        <v>250</v>
      </c>
      <c r="E235" s="87"/>
      <c r="F235" s="87"/>
      <c r="G235" s="87"/>
      <c r="H235" s="87"/>
      <c r="I235" s="87"/>
      <c r="J235" s="87"/>
      <c r="K235" s="87"/>
      <c r="L235" s="78"/>
      <c r="M235" s="78"/>
      <c r="N235" s="78"/>
      <c r="O235" s="78"/>
      <c r="P235" s="78"/>
      <c r="Q235" s="78"/>
      <c r="R235" s="78"/>
      <c r="S235" s="78"/>
      <c r="T235" s="78"/>
      <c r="U235" s="78"/>
      <c r="V235" s="78"/>
      <c r="W235" s="78"/>
      <c r="X235" s="42"/>
    </row>
    <row r="236" spans="1:24">
      <c r="A236" s="78"/>
      <c r="B236" s="77" t="s">
        <v>368</v>
      </c>
      <c r="C236" s="29">
        <f>$C$11</f>
        <v>3675.6467591645364</v>
      </c>
      <c r="D236" s="139" t="s">
        <v>250</v>
      </c>
      <c r="E236" s="87"/>
      <c r="F236" s="87"/>
      <c r="G236" s="87"/>
      <c r="H236" s="87"/>
      <c r="I236" s="87"/>
      <c r="J236" s="87"/>
      <c r="K236" s="87"/>
      <c r="L236" s="78"/>
      <c r="M236" s="78"/>
      <c r="N236" s="78"/>
      <c r="O236" s="78"/>
      <c r="P236" s="78"/>
      <c r="Q236" s="78"/>
      <c r="R236" s="78"/>
      <c r="S236" s="78"/>
      <c r="T236" s="78"/>
      <c r="U236" s="78"/>
      <c r="V236" s="78"/>
      <c r="W236" s="78"/>
      <c r="X236" s="42"/>
    </row>
    <row r="237" spans="1:24">
      <c r="A237" s="140"/>
      <c r="B237" s="77" t="s">
        <v>371</v>
      </c>
      <c r="C237" s="683">
        <f>C236/C235</f>
        <v>0.94266109337769177</v>
      </c>
      <c r="D237" s="683"/>
      <c r="E237" s="140"/>
      <c r="F237" s="140"/>
      <c r="G237" s="140"/>
      <c r="H237" s="140"/>
      <c r="I237" s="140"/>
      <c r="J237" s="87"/>
      <c r="K237" s="87"/>
      <c r="L237" s="78"/>
      <c r="M237" s="78"/>
      <c r="N237" s="78"/>
      <c r="O237" s="78"/>
      <c r="P237" s="78"/>
      <c r="Q237" s="78"/>
      <c r="R237" s="78"/>
      <c r="S237" s="78"/>
      <c r="T237" s="78"/>
      <c r="U237" s="78"/>
      <c r="V237" s="78"/>
      <c r="W237" s="78"/>
      <c r="X237" s="42"/>
    </row>
    <row r="238" spans="1:24">
      <c r="A238" s="78"/>
      <c r="B238" s="77" t="s">
        <v>372</v>
      </c>
      <c r="C238" s="726">
        <f>C237/($C$47*$B$52)</f>
        <v>0.78003550856228254</v>
      </c>
      <c r="D238" s="726"/>
      <c r="E238" s="87"/>
      <c r="F238" s="87"/>
      <c r="G238" s="87"/>
      <c r="H238" s="87"/>
      <c r="I238" s="87"/>
      <c r="J238" s="87"/>
      <c r="K238" s="87"/>
      <c r="L238" s="78"/>
      <c r="M238" s="78"/>
      <c r="N238" s="78"/>
      <c r="O238" s="78"/>
      <c r="P238" s="78"/>
      <c r="Q238" s="78"/>
      <c r="R238" s="78"/>
      <c r="S238" s="78"/>
      <c r="T238" s="78"/>
      <c r="U238" s="78"/>
      <c r="V238" s="78"/>
      <c r="W238" s="78"/>
      <c r="X238" s="42"/>
    </row>
    <row r="239" spans="1:24">
      <c r="A239" s="78"/>
      <c r="B239" s="78"/>
      <c r="C239" s="87"/>
      <c r="D239" s="87"/>
      <c r="E239" s="87"/>
      <c r="F239" s="87"/>
      <c r="G239" s="87"/>
      <c r="H239" s="87"/>
      <c r="I239" s="87"/>
      <c r="J239" s="87"/>
      <c r="K239" s="87"/>
      <c r="L239" s="78"/>
      <c r="M239" s="78"/>
      <c r="N239" s="78"/>
      <c r="O239" s="78"/>
      <c r="P239" s="78"/>
      <c r="Q239" s="78"/>
      <c r="R239" s="78"/>
      <c r="S239" s="78"/>
      <c r="T239" s="78"/>
      <c r="U239" s="78"/>
      <c r="V239" s="78"/>
      <c r="W239" s="78"/>
      <c r="X239" s="42"/>
    </row>
    <row r="240" spans="1:24">
      <c r="A240" s="78"/>
      <c r="B240" s="78"/>
      <c r="C240" s="87"/>
      <c r="D240" s="87"/>
      <c r="E240" s="87"/>
      <c r="F240" s="87"/>
      <c r="G240" s="87"/>
      <c r="H240" s="87"/>
      <c r="I240" s="87"/>
      <c r="J240" s="87"/>
      <c r="K240" s="87"/>
      <c r="L240" s="78"/>
      <c r="M240" s="78"/>
      <c r="N240" s="78"/>
      <c r="O240" s="78"/>
      <c r="P240" s="78"/>
      <c r="Q240" s="78"/>
      <c r="R240" s="78"/>
      <c r="S240" s="78"/>
      <c r="T240" s="78"/>
      <c r="U240" s="78"/>
      <c r="V240" s="78"/>
      <c r="W240" s="78"/>
      <c r="X240" s="42"/>
    </row>
    <row r="241" spans="1:24">
      <c r="A241" s="78"/>
      <c r="B241" s="78"/>
      <c r="C241" s="87"/>
      <c r="D241" s="87"/>
      <c r="E241" s="87"/>
      <c r="F241" s="87"/>
      <c r="G241" s="87"/>
      <c r="H241" s="87"/>
      <c r="I241" s="87"/>
      <c r="J241" s="87"/>
      <c r="K241" s="87"/>
      <c r="L241" s="78"/>
      <c r="M241" s="78"/>
      <c r="N241" s="78"/>
      <c r="O241" s="78"/>
      <c r="P241" s="78"/>
      <c r="Q241" s="78"/>
      <c r="R241" s="78"/>
      <c r="S241" s="78"/>
      <c r="T241" s="78"/>
      <c r="U241" s="78"/>
      <c r="V241" s="78"/>
      <c r="W241" s="78"/>
      <c r="X241" s="42"/>
    </row>
    <row r="242" spans="1:24">
      <c r="A242" s="78"/>
      <c r="B242" s="78"/>
      <c r="C242" s="87"/>
      <c r="D242" s="87"/>
      <c r="E242" s="87"/>
      <c r="F242" s="87"/>
      <c r="G242" s="87"/>
      <c r="H242" s="87"/>
      <c r="I242" s="87"/>
      <c r="J242" s="87"/>
      <c r="K242" s="87"/>
      <c r="L242" s="78"/>
      <c r="M242" s="78"/>
      <c r="N242" s="78"/>
      <c r="O242" s="78"/>
      <c r="P242" s="78"/>
      <c r="Q242" s="78"/>
      <c r="R242" s="78"/>
      <c r="S242" s="78"/>
      <c r="T242" s="78"/>
      <c r="U242" s="78"/>
      <c r="V242" s="78"/>
      <c r="W242" s="78"/>
      <c r="X242" s="42"/>
    </row>
    <row r="243" spans="1:24">
      <c r="A243" s="78"/>
      <c r="B243" s="78"/>
      <c r="C243" s="87"/>
      <c r="D243" s="87"/>
      <c r="E243" s="87"/>
      <c r="F243" s="87"/>
      <c r="G243" s="87"/>
      <c r="H243" s="87"/>
      <c r="I243" s="87"/>
      <c r="J243" s="87"/>
      <c r="K243" s="87"/>
      <c r="L243" s="78"/>
      <c r="M243" s="78"/>
      <c r="N243" s="78"/>
      <c r="O243" s="78"/>
      <c r="P243" s="78"/>
      <c r="Q243" s="78"/>
      <c r="R243" s="78"/>
      <c r="S243" s="78"/>
      <c r="T243" s="78"/>
      <c r="U243" s="78"/>
      <c r="V243" s="78"/>
      <c r="W243" s="78"/>
      <c r="X243" s="42"/>
    </row>
    <row r="244" spans="1:24">
      <c r="A244" s="78"/>
      <c r="B244" s="78"/>
      <c r="C244" s="87"/>
      <c r="D244" s="87"/>
      <c r="E244" s="87"/>
      <c r="F244" s="87"/>
      <c r="G244" s="87"/>
      <c r="H244" s="87"/>
      <c r="I244" s="87"/>
      <c r="J244" s="87"/>
      <c r="K244" s="87"/>
      <c r="L244" s="78"/>
      <c r="M244" s="78"/>
      <c r="N244" s="78"/>
      <c r="O244" s="78"/>
      <c r="P244" s="78"/>
      <c r="Q244" s="78"/>
      <c r="R244" s="78"/>
      <c r="S244" s="78"/>
      <c r="T244" s="78"/>
      <c r="U244" s="78"/>
      <c r="V244" s="78"/>
      <c r="W244" s="78"/>
      <c r="X244" s="42"/>
    </row>
    <row r="245" spans="1:24">
      <c r="A245" s="78"/>
      <c r="B245" s="78"/>
      <c r="C245" s="87"/>
      <c r="D245" s="87"/>
      <c r="E245" s="87"/>
      <c r="F245" s="87"/>
      <c r="G245" s="87"/>
      <c r="H245" s="87"/>
      <c r="I245" s="87"/>
      <c r="J245" s="87"/>
      <c r="K245" s="87"/>
      <c r="L245" s="78"/>
      <c r="M245" s="78"/>
      <c r="N245" s="78"/>
      <c r="O245" s="78"/>
      <c r="P245" s="78"/>
      <c r="Q245" s="78"/>
      <c r="R245" s="78"/>
      <c r="S245" s="78"/>
      <c r="T245" s="78"/>
      <c r="U245" s="78"/>
      <c r="V245" s="78"/>
      <c r="W245" s="78"/>
      <c r="X245" s="42"/>
    </row>
    <row r="246" spans="1:24">
      <c r="A246" s="78"/>
      <c r="B246" s="78"/>
      <c r="C246" s="87"/>
      <c r="D246" s="87"/>
      <c r="E246" s="87"/>
      <c r="F246" s="87"/>
      <c r="G246" s="87"/>
      <c r="H246" s="87"/>
      <c r="I246" s="87"/>
      <c r="J246" s="87"/>
      <c r="K246" s="87"/>
      <c r="L246" s="78"/>
      <c r="M246" s="78"/>
      <c r="N246" s="78"/>
      <c r="O246" s="78"/>
      <c r="P246" s="78"/>
      <c r="Q246" s="78"/>
      <c r="R246" s="78"/>
      <c r="S246" s="78"/>
      <c r="T246" s="78"/>
      <c r="U246" s="78"/>
      <c r="V246" s="78"/>
      <c r="W246" s="78"/>
      <c r="X246" s="42"/>
    </row>
    <row r="247" spans="1:24">
      <c r="A247" s="78"/>
      <c r="B247" s="78"/>
      <c r="C247" s="87"/>
      <c r="D247" s="87"/>
      <c r="E247" s="87"/>
      <c r="F247" s="87"/>
      <c r="G247" s="87"/>
      <c r="H247" s="87"/>
      <c r="I247" s="87"/>
      <c r="J247" s="87"/>
      <c r="K247" s="87"/>
      <c r="L247" s="78"/>
      <c r="M247" s="78"/>
      <c r="N247" s="78"/>
      <c r="O247" s="78"/>
      <c r="P247" s="78"/>
      <c r="Q247" s="78"/>
      <c r="R247" s="78"/>
      <c r="S247" s="78"/>
      <c r="T247" s="78"/>
      <c r="U247" s="78"/>
      <c r="V247" s="78"/>
      <c r="W247" s="78"/>
      <c r="X247" s="42"/>
    </row>
    <row r="248" spans="1:24">
      <c r="A248" s="78"/>
      <c r="B248" s="78"/>
      <c r="C248" s="87"/>
      <c r="D248" s="87"/>
      <c r="E248" s="87"/>
      <c r="F248" s="87"/>
      <c r="G248" s="87"/>
      <c r="H248" s="87"/>
      <c r="I248" s="87"/>
      <c r="J248" s="87"/>
      <c r="K248" s="87"/>
      <c r="L248" s="78"/>
      <c r="M248" s="78"/>
      <c r="N248" s="78"/>
      <c r="O248" s="78"/>
      <c r="P248" s="78"/>
      <c r="Q248" s="78"/>
      <c r="R248" s="78"/>
      <c r="S248" s="78"/>
      <c r="T248" s="78"/>
      <c r="U248" s="78"/>
      <c r="V248" s="78"/>
      <c r="W248" s="78"/>
      <c r="X248" s="42"/>
    </row>
    <row r="249" spans="1:24">
      <c r="A249" s="78"/>
      <c r="B249" s="78"/>
      <c r="C249" s="87"/>
      <c r="D249" s="87"/>
      <c r="E249" s="87"/>
      <c r="F249" s="87"/>
      <c r="G249" s="87"/>
      <c r="H249" s="87"/>
      <c r="I249" s="87"/>
      <c r="J249" s="87"/>
      <c r="K249" s="87"/>
      <c r="L249" s="78"/>
      <c r="M249" s="78"/>
      <c r="N249" s="78"/>
      <c r="O249" s="78"/>
      <c r="P249" s="78"/>
      <c r="Q249" s="78"/>
      <c r="R249" s="78"/>
      <c r="S249" s="78"/>
      <c r="T249" s="78"/>
      <c r="U249" s="78"/>
      <c r="V249" s="78"/>
      <c r="W249" s="78"/>
      <c r="X249" s="42"/>
    </row>
    <row r="250" spans="1:24">
      <c r="A250" s="78"/>
      <c r="B250" s="78"/>
      <c r="C250" s="87"/>
      <c r="D250" s="87"/>
      <c r="E250" s="87"/>
      <c r="F250" s="87"/>
      <c r="G250" s="87"/>
      <c r="H250" s="87"/>
      <c r="I250" s="87"/>
      <c r="J250" s="87"/>
      <c r="K250" s="87"/>
      <c r="L250" s="78"/>
      <c r="M250" s="78"/>
      <c r="N250" s="78"/>
      <c r="O250" s="78"/>
      <c r="P250" s="78"/>
      <c r="Q250" s="78"/>
      <c r="R250" s="78"/>
      <c r="S250" s="78"/>
      <c r="T250" s="78"/>
      <c r="U250" s="78"/>
      <c r="V250" s="78"/>
      <c r="W250" s="78"/>
      <c r="X250" s="42"/>
    </row>
    <row r="251" spans="1:24">
      <c r="A251" s="78"/>
      <c r="B251" s="78"/>
      <c r="C251" s="87"/>
      <c r="D251" s="87"/>
      <c r="E251" s="87"/>
      <c r="F251" s="87"/>
      <c r="G251" s="87"/>
      <c r="H251" s="87"/>
      <c r="I251" s="87"/>
      <c r="J251" s="87"/>
      <c r="K251" s="87"/>
      <c r="L251" s="78"/>
      <c r="M251" s="78"/>
      <c r="N251" s="78"/>
      <c r="O251" s="78"/>
      <c r="P251" s="78"/>
      <c r="Q251" s="78"/>
      <c r="R251" s="78"/>
      <c r="S251" s="78"/>
      <c r="T251" s="78"/>
      <c r="U251" s="78"/>
      <c r="V251" s="78"/>
      <c r="W251" s="78"/>
      <c r="X251" s="42"/>
    </row>
    <row r="252" spans="1:24">
      <c r="A252" s="78"/>
      <c r="B252" s="78"/>
      <c r="C252" s="87"/>
      <c r="D252" s="87"/>
      <c r="E252" s="87"/>
      <c r="F252" s="87"/>
      <c r="G252" s="87"/>
      <c r="H252" s="87"/>
      <c r="I252" s="87"/>
      <c r="J252" s="87"/>
      <c r="K252" s="87"/>
      <c r="L252" s="78"/>
      <c r="M252" s="78"/>
      <c r="N252" s="78"/>
      <c r="O252" s="78"/>
      <c r="P252" s="78"/>
      <c r="Q252" s="78"/>
      <c r="R252" s="78"/>
      <c r="S252" s="78"/>
      <c r="T252" s="78"/>
      <c r="U252" s="78"/>
      <c r="V252" s="78"/>
      <c r="W252" s="78"/>
      <c r="X252" s="42"/>
    </row>
    <row r="253" spans="1:24">
      <c r="A253" s="78"/>
      <c r="B253" s="78"/>
      <c r="C253" s="87"/>
      <c r="D253" s="87"/>
      <c r="E253" s="87"/>
      <c r="F253" s="87"/>
      <c r="G253" s="87"/>
      <c r="H253" s="87"/>
      <c r="I253" s="87"/>
      <c r="J253" s="87"/>
      <c r="K253" s="87"/>
      <c r="L253" s="78"/>
      <c r="M253" s="78"/>
      <c r="N253" s="78"/>
      <c r="O253" s="78"/>
      <c r="P253" s="78"/>
      <c r="Q253" s="78"/>
      <c r="R253" s="78"/>
      <c r="S253" s="78"/>
      <c r="T253" s="78"/>
      <c r="U253" s="78"/>
      <c r="V253" s="78"/>
      <c r="W253" s="78"/>
      <c r="X253" s="42"/>
    </row>
    <row r="254" spans="1:24">
      <c r="A254" s="78"/>
      <c r="B254" s="78"/>
      <c r="C254" s="87"/>
      <c r="D254" s="87"/>
      <c r="E254" s="87"/>
      <c r="F254" s="87"/>
      <c r="G254" s="87"/>
      <c r="H254" s="87"/>
      <c r="I254" s="87"/>
      <c r="J254" s="87"/>
      <c r="K254" s="87"/>
      <c r="L254" s="78"/>
      <c r="M254" s="78"/>
      <c r="N254" s="78"/>
      <c r="O254" s="78"/>
      <c r="P254" s="78"/>
      <c r="Q254" s="78"/>
      <c r="R254" s="78"/>
      <c r="S254" s="78"/>
      <c r="T254" s="78"/>
      <c r="U254" s="78"/>
      <c r="V254" s="78"/>
      <c r="W254" s="78"/>
      <c r="X254" s="42"/>
    </row>
    <row r="255" spans="1:24">
      <c r="A255" s="78"/>
      <c r="B255" s="78"/>
      <c r="C255" s="87"/>
      <c r="D255" s="87"/>
      <c r="E255" s="87"/>
      <c r="F255" s="87"/>
      <c r="G255" s="87"/>
      <c r="H255" s="87"/>
      <c r="I255" s="87"/>
      <c r="J255" s="87"/>
      <c r="K255" s="87"/>
      <c r="L255" s="78"/>
      <c r="M255" s="78"/>
      <c r="N255" s="78"/>
      <c r="O255" s="78"/>
      <c r="P255" s="78"/>
      <c r="Q255" s="78"/>
      <c r="R255" s="78"/>
      <c r="S255" s="78"/>
      <c r="T255" s="78"/>
      <c r="U255" s="78"/>
      <c r="V255" s="78"/>
      <c r="W255" s="78"/>
      <c r="X255" s="42"/>
    </row>
    <row r="256" spans="1:24">
      <c r="A256" s="78"/>
      <c r="B256" s="78"/>
      <c r="C256" s="87"/>
      <c r="D256" s="87"/>
      <c r="E256" s="87"/>
      <c r="F256" s="87"/>
      <c r="G256" s="87"/>
      <c r="H256" s="87"/>
      <c r="I256" s="87"/>
      <c r="J256" s="87"/>
      <c r="K256" s="87"/>
      <c r="L256" s="78"/>
      <c r="M256" s="78"/>
      <c r="N256" s="78"/>
      <c r="O256" s="78"/>
      <c r="P256" s="78"/>
      <c r="Q256" s="78"/>
      <c r="R256" s="78"/>
      <c r="S256" s="78"/>
      <c r="T256" s="78"/>
      <c r="U256" s="78"/>
      <c r="V256" s="78"/>
      <c r="W256" s="78"/>
      <c r="X256" s="42"/>
    </row>
    <row r="257" spans="1:24">
      <c r="A257" s="78"/>
      <c r="B257" s="78"/>
      <c r="C257" s="87"/>
      <c r="D257" s="87"/>
      <c r="E257" s="87"/>
      <c r="F257" s="87"/>
      <c r="G257" s="87"/>
      <c r="H257" s="87"/>
      <c r="I257" s="87"/>
      <c r="J257" s="87"/>
      <c r="K257" s="87"/>
      <c r="L257" s="78"/>
      <c r="M257" s="78"/>
      <c r="N257" s="78"/>
      <c r="O257" s="78"/>
      <c r="P257" s="78"/>
      <c r="Q257" s="78"/>
      <c r="R257" s="78"/>
      <c r="S257" s="78"/>
      <c r="T257" s="78"/>
      <c r="U257" s="78"/>
      <c r="V257" s="78"/>
      <c r="W257" s="78"/>
      <c r="X257" s="42"/>
    </row>
    <row r="258" spans="1:24">
      <c r="A258" s="78"/>
      <c r="B258" s="78"/>
      <c r="C258" s="87"/>
      <c r="D258" s="87"/>
      <c r="E258" s="87"/>
      <c r="F258" s="87"/>
      <c r="G258" s="87"/>
      <c r="H258" s="87"/>
      <c r="I258" s="87"/>
      <c r="J258" s="87"/>
      <c r="K258" s="87"/>
      <c r="L258" s="78"/>
      <c r="M258" s="78"/>
      <c r="N258" s="78"/>
      <c r="O258" s="78"/>
      <c r="P258" s="78"/>
      <c r="Q258" s="78"/>
      <c r="R258" s="78"/>
      <c r="S258" s="78"/>
      <c r="T258" s="78"/>
      <c r="U258" s="78"/>
      <c r="V258" s="78"/>
      <c r="W258" s="78"/>
      <c r="X258" s="42"/>
    </row>
    <row r="259" spans="1:24">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42"/>
    </row>
    <row r="260" spans="1:24">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42"/>
    </row>
    <row r="261" spans="1:24">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42"/>
    </row>
    <row r="262" spans="1:24">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42"/>
    </row>
    <row r="263" spans="1:24">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42"/>
    </row>
    <row r="264" spans="1:24">
      <c r="A264" s="78"/>
      <c r="E264" s="78"/>
      <c r="F264" s="78"/>
      <c r="G264" s="78"/>
      <c r="H264" s="78"/>
      <c r="I264" s="78"/>
      <c r="J264" s="78"/>
      <c r="K264" s="78"/>
      <c r="L264" s="78"/>
      <c r="M264" s="78"/>
      <c r="N264" s="78"/>
      <c r="O264" s="78"/>
      <c r="P264" s="78"/>
      <c r="Q264" s="78"/>
      <c r="R264" s="78"/>
      <c r="S264" s="78"/>
      <c r="T264" s="78"/>
      <c r="U264" s="78"/>
      <c r="V264" s="78"/>
      <c r="W264" s="78"/>
      <c r="X264" s="42"/>
    </row>
    <row r="265" spans="1:24">
      <c r="A265" s="78"/>
      <c r="E265" s="78"/>
      <c r="F265" s="78"/>
      <c r="G265" s="78"/>
      <c r="H265" s="78"/>
      <c r="I265" s="78"/>
      <c r="J265" s="78"/>
      <c r="K265" s="78"/>
      <c r="L265" s="78"/>
      <c r="M265" s="78"/>
      <c r="N265" s="78"/>
      <c r="O265" s="78"/>
      <c r="P265" s="78"/>
      <c r="Q265" s="78"/>
      <c r="R265" s="78"/>
      <c r="S265" s="78"/>
      <c r="T265" s="78"/>
      <c r="U265" s="78"/>
      <c r="V265" s="78"/>
      <c r="W265" s="78"/>
      <c r="X265" s="42"/>
    </row>
    <row r="266" spans="1:24">
      <c r="A266" s="78"/>
      <c r="E266" s="78"/>
      <c r="F266" s="78"/>
      <c r="G266" s="78"/>
      <c r="H266" s="78"/>
      <c r="I266" s="78"/>
      <c r="J266" s="78"/>
      <c r="K266" s="78"/>
      <c r="L266" s="78"/>
      <c r="M266" s="78"/>
      <c r="N266" s="78"/>
      <c r="O266" s="78"/>
      <c r="P266" s="78"/>
      <c r="Q266" s="78"/>
      <c r="R266" s="78"/>
      <c r="S266" s="78"/>
      <c r="T266" s="78"/>
      <c r="U266" s="78"/>
      <c r="V266" s="78"/>
      <c r="W266" s="78"/>
      <c r="X266" s="42"/>
    </row>
    <row r="267" spans="1:24">
      <c r="A267" s="78"/>
      <c r="E267" s="78"/>
      <c r="F267" s="78"/>
      <c r="G267" s="78"/>
      <c r="H267" s="78"/>
      <c r="I267" s="78"/>
      <c r="J267" s="78"/>
      <c r="K267" s="78"/>
      <c r="L267" s="78"/>
      <c r="M267" s="78"/>
      <c r="N267" s="78"/>
      <c r="O267" s="78"/>
      <c r="P267" s="78"/>
      <c r="Q267" s="78"/>
      <c r="R267" s="78"/>
      <c r="S267" s="78"/>
      <c r="T267" s="78"/>
      <c r="U267" s="78"/>
      <c r="V267" s="78"/>
      <c r="W267" s="78"/>
      <c r="X267" s="42"/>
    </row>
    <row r="268" spans="1:24">
      <c r="A268" s="78"/>
      <c r="E268" s="78"/>
      <c r="F268" s="78"/>
      <c r="G268" s="78"/>
      <c r="H268" s="78"/>
      <c r="I268" s="78"/>
      <c r="J268" s="78"/>
      <c r="K268" s="78"/>
      <c r="L268" s="78"/>
      <c r="M268" s="78"/>
      <c r="N268" s="78"/>
      <c r="O268" s="78"/>
      <c r="P268" s="78"/>
      <c r="Q268" s="78"/>
      <c r="R268" s="78"/>
      <c r="S268" s="78"/>
      <c r="T268" s="78"/>
      <c r="U268" s="78"/>
      <c r="V268" s="78"/>
      <c r="W268" s="78"/>
      <c r="X268" s="42"/>
    </row>
    <row r="269" spans="1:24">
      <c r="A269" s="78"/>
      <c r="E269" s="78"/>
      <c r="F269" s="78"/>
      <c r="G269" s="78"/>
      <c r="H269" s="78"/>
      <c r="I269" s="78"/>
      <c r="J269" s="78"/>
      <c r="K269" s="78"/>
      <c r="L269" s="78"/>
      <c r="M269" s="78"/>
      <c r="N269" s="78"/>
      <c r="O269" s="78"/>
      <c r="P269" s="78"/>
      <c r="Q269" s="78"/>
      <c r="R269" s="78"/>
      <c r="S269" s="78"/>
      <c r="T269" s="78"/>
      <c r="U269" s="78"/>
      <c r="V269" s="78"/>
      <c r="W269" s="78"/>
      <c r="X269" s="42"/>
    </row>
    <row r="270" spans="1:24">
      <c r="A270" s="78"/>
      <c r="E270" s="78"/>
      <c r="F270" s="78"/>
      <c r="G270" s="78"/>
      <c r="H270" s="78"/>
      <c r="I270" s="78"/>
      <c r="J270" s="78"/>
      <c r="K270" s="78"/>
      <c r="L270" s="78"/>
      <c r="M270" s="78"/>
      <c r="N270" s="78"/>
      <c r="O270" s="78"/>
      <c r="P270" s="78"/>
      <c r="Q270" s="78"/>
      <c r="R270" s="78"/>
      <c r="S270" s="78"/>
      <c r="T270" s="78"/>
      <c r="U270" s="78"/>
      <c r="V270" s="78"/>
      <c r="W270" s="78"/>
      <c r="X270" s="42"/>
    </row>
    <row r="271" spans="1:24">
      <c r="A271" s="78"/>
      <c r="E271" s="78"/>
      <c r="F271" s="78"/>
      <c r="G271" s="78"/>
      <c r="H271" s="78"/>
      <c r="I271" s="78"/>
      <c r="J271" s="78"/>
      <c r="K271" s="78"/>
      <c r="L271" s="78"/>
      <c r="M271" s="78"/>
      <c r="N271" s="78"/>
      <c r="O271" s="78"/>
      <c r="P271" s="78"/>
      <c r="Q271" s="78"/>
      <c r="R271" s="78"/>
      <c r="S271" s="78"/>
      <c r="T271" s="78"/>
      <c r="U271" s="78"/>
      <c r="V271" s="78"/>
      <c r="W271" s="78"/>
      <c r="X271" s="42"/>
    </row>
    <row r="272" spans="1:24">
      <c r="A272" s="78"/>
      <c r="E272" s="78"/>
      <c r="F272" s="78"/>
      <c r="G272" s="78"/>
      <c r="H272" s="78"/>
      <c r="I272" s="78"/>
      <c r="J272" s="78"/>
      <c r="K272" s="78"/>
      <c r="L272" s="78"/>
      <c r="M272" s="78"/>
      <c r="N272" s="78"/>
      <c r="O272" s="78"/>
      <c r="P272" s="78"/>
      <c r="Q272" s="78"/>
      <c r="R272" s="78"/>
      <c r="S272" s="78"/>
      <c r="T272" s="78"/>
      <c r="U272" s="78"/>
      <c r="V272" s="78"/>
      <c r="W272" s="78"/>
      <c r="X272" s="42"/>
    </row>
    <row r="273" spans="1:24">
      <c r="A273" s="78"/>
      <c r="E273" s="78"/>
      <c r="F273" s="78"/>
      <c r="G273" s="78"/>
      <c r="H273" s="78"/>
      <c r="I273" s="78"/>
      <c r="J273" s="78"/>
      <c r="K273" s="78"/>
      <c r="L273" s="78"/>
      <c r="M273" s="78"/>
      <c r="N273" s="78"/>
      <c r="O273" s="78"/>
      <c r="P273" s="78"/>
      <c r="Q273" s="78"/>
      <c r="R273" s="78"/>
      <c r="S273" s="78"/>
      <c r="T273" s="78"/>
      <c r="U273" s="78"/>
      <c r="V273" s="78"/>
      <c r="W273" s="78"/>
      <c r="X273" s="42"/>
    </row>
    <row r="274" spans="1:24">
      <c r="A274" s="87"/>
      <c r="E274" s="87"/>
      <c r="F274" s="87"/>
      <c r="G274" s="87"/>
      <c r="H274" s="87"/>
      <c r="I274" s="87"/>
      <c r="J274" s="78"/>
      <c r="K274" s="78"/>
      <c r="L274" s="78"/>
      <c r="M274" s="78"/>
      <c r="N274" s="78"/>
      <c r="O274" s="78"/>
      <c r="P274" s="78"/>
      <c r="Q274" s="78"/>
      <c r="R274" s="78"/>
      <c r="S274" s="78"/>
      <c r="T274" s="78"/>
      <c r="U274" s="78"/>
      <c r="V274" s="78"/>
      <c r="W274" s="78"/>
      <c r="X274" s="42"/>
    </row>
    <row r="275" spans="1:24">
      <c r="A275" s="87"/>
      <c r="E275" s="87"/>
      <c r="F275" s="87"/>
      <c r="G275" s="87"/>
      <c r="H275" s="87"/>
      <c r="I275" s="87"/>
      <c r="J275" s="78"/>
      <c r="K275" s="78"/>
      <c r="L275" s="78"/>
      <c r="M275" s="78"/>
      <c r="N275" s="78"/>
      <c r="O275" s="78"/>
      <c r="P275" s="78"/>
      <c r="Q275" s="78"/>
      <c r="R275" s="78"/>
      <c r="S275" s="78"/>
      <c r="T275" s="78"/>
      <c r="U275" s="78"/>
      <c r="V275" s="78"/>
      <c r="W275" s="78"/>
      <c r="X275" s="42"/>
    </row>
    <row r="276" spans="1:24">
      <c r="A276" s="87"/>
      <c r="E276" s="87"/>
      <c r="F276" s="87"/>
      <c r="G276" s="87"/>
      <c r="H276" s="87"/>
      <c r="I276" s="87"/>
      <c r="J276" s="78"/>
      <c r="K276" s="78"/>
      <c r="L276" s="78"/>
      <c r="M276" s="78"/>
      <c r="N276" s="78"/>
      <c r="O276" s="78"/>
      <c r="P276" s="78"/>
      <c r="Q276" s="78"/>
      <c r="R276" s="78"/>
      <c r="S276" s="78"/>
      <c r="T276" s="78"/>
      <c r="U276" s="78"/>
      <c r="V276" s="78"/>
      <c r="W276" s="78"/>
      <c r="X276" s="42"/>
    </row>
    <row r="277" spans="1:24">
      <c r="A277" s="87"/>
      <c r="E277" s="87"/>
      <c r="F277" s="87"/>
      <c r="G277" s="87"/>
      <c r="H277" s="87"/>
      <c r="I277" s="87"/>
      <c r="J277" s="78"/>
      <c r="K277" s="78"/>
      <c r="L277" s="78"/>
      <c r="M277" s="78"/>
      <c r="N277" s="78"/>
      <c r="O277" s="78"/>
      <c r="P277" s="78"/>
      <c r="Q277" s="78"/>
      <c r="R277" s="78"/>
      <c r="S277" s="78"/>
      <c r="T277" s="78"/>
      <c r="U277" s="78"/>
      <c r="V277" s="78"/>
      <c r="W277" s="78"/>
      <c r="X277" s="42"/>
    </row>
    <row r="278" spans="1:24">
      <c r="A278" s="87"/>
      <c r="B278" s="87"/>
      <c r="C278" s="87"/>
      <c r="D278" s="87"/>
      <c r="E278" s="87"/>
      <c r="F278" s="87"/>
      <c r="G278" s="87"/>
      <c r="H278" s="87"/>
      <c r="I278" s="87"/>
      <c r="J278" s="78"/>
      <c r="K278" s="78"/>
      <c r="L278" s="78"/>
      <c r="M278" s="78"/>
      <c r="N278" s="78"/>
      <c r="O278" s="78"/>
      <c r="P278" s="78"/>
      <c r="Q278" s="78"/>
      <c r="R278" s="78"/>
      <c r="S278" s="78"/>
      <c r="T278" s="78"/>
      <c r="U278" s="78"/>
      <c r="V278" s="78"/>
      <c r="W278" s="78"/>
      <c r="X278" s="42"/>
    </row>
    <row r="279" spans="1:24">
      <c r="A279" s="87"/>
      <c r="B279" s="87"/>
      <c r="C279" s="87"/>
      <c r="D279" s="87"/>
      <c r="E279" s="87"/>
      <c r="F279" s="87"/>
      <c r="G279" s="87"/>
      <c r="H279" s="87"/>
      <c r="I279" s="87"/>
      <c r="J279" s="78"/>
      <c r="K279" s="78"/>
      <c r="L279" s="78"/>
      <c r="M279" s="78"/>
      <c r="N279" s="78"/>
      <c r="O279" s="78"/>
      <c r="P279" s="78"/>
      <c r="Q279" s="78"/>
      <c r="R279" s="78"/>
      <c r="S279" s="78"/>
      <c r="T279" s="78"/>
      <c r="U279" s="78"/>
      <c r="V279" s="78"/>
      <c r="W279" s="78"/>
      <c r="X279" s="42"/>
    </row>
    <row r="280" spans="1:24">
      <c r="A280" s="87"/>
      <c r="B280" s="87"/>
      <c r="C280" s="87"/>
      <c r="D280" s="87"/>
      <c r="E280" s="87"/>
      <c r="F280" s="87"/>
      <c r="G280" s="87"/>
      <c r="H280" s="87"/>
      <c r="I280" s="87"/>
      <c r="J280" s="78"/>
      <c r="K280" s="78"/>
      <c r="L280" s="78"/>
      <c r="M280" s="78"/>
      <c r="N280" s="78"/>
      <c r="O280" s="78"/>
      <c r="P280" s="78"/>
      <c r="Q280" s="78"/>
      <c r="R280" s="78"/>
      <c r="S280" s="78"/>
      <c r="T280" s="78"/>
      <c r="U280" s="78"/>
      <c r="V280" s="78"/>
      <c r="W280" s="78"/>
      <c r="X280" s="42"/>
    </row>
    <row r="281" spans="1:24">
      <c r="A281" s="87"/>
      <c r="B281" s="87"/>
      <c r="C281" s="87"/>
      <c r="D281" s="87"/>
      <c r="E281" s="87"/>
      <c r="F281" s="87"/>
      <c r="G281" s="87"/>
      <c r="H281" s="87"/>
      <c r="I281" s="87"/>
      <c r="J281" s="78"/>
      <c r="K281" s="78"/>
      <c r="L281" s="78"/>
      <c r="M281" s="78"/>
      <c r="N281" s="78"/>
      <c r="O281" s="78"/>
      <c r="P281" s="78"/>
      <c r="Q281" s="78"/>
      <c r="R281" s="78"/>
      <c r="S281" s="78"/>
      <c r="T281" s="78"/>
      <c r="U281" s="78"/>
      <c r="V281" s="78"/>
      <c r="W281" s="78"/>
      <c r="X281" s="42"/>
    </row>
    <row r="282" spans="1:24">
      <c r="A282" s="87"/>
      <c r="B282" s="87"/>
      <c r="C282" s="87"/>
      <c r="D282" s="87"/>
      <c r="E282" s="87"/>
      <c r="F282" s="87"/>
      <c r="G282" s="87"/>
      <c r="H282" s="87"/>
      <c r="I282" s="87"/>
      <c r="J282" s="78"/>
      <c r="K282" s="78"/>
      <c r="L282" s="78"/>
      <c r="M282" s="78"/>
      <c r="N282" s="78"/>
      <c r="O282" s="78"/>
      <c r="P282" s="78"/>
      <c r="Q282" s="78"/>
      <c r="R282" s="78"/>
      <c r="S282" s="78"/>
      <c r="T282" s="78"/>
      <c r="U282" s="78"/>
      <c r="V282" s="78"/>
      <c r="W282" s="78"/>
      <c r="X282" s="42"/>
    </row>
    <row r="283" spans="1:24">
      <c r="A283" s="87"/>
      <c r="B283" s="87"/>
      <c r="C283" s="87"/>
      <c r="D283" s="87"/>
      <c r="E283" s="87"/>
      <c r="F283" s="87"/>
      <c r="G283" s="87"/>
      <c r="H283" s="87"/>
      <c r="I283" s="87"/>
      <c r="J283" s="78"/>
      <c r="K283" s="78"/>
      <c r="L283" s="78"/>
      <c r="M283" s="78"/>
      <c r="N283" s="78"/>
      <c r="O283" s="78"/>
      <c r="P283" s="78"/>
      <c r="Q283" s="78"/>
      <c r="R283" s="78"/>
      <c r="S283" s="78"/>
      <c r="T283" s="78"/>
      <c r="U283" s="78"/>
      <c r="V283" s="78"/>
      <c r="W283" s="78"/>
      <c r="X283" s="42"/>
    </row>
    <row r="284" spans="1:24">
      <c r="A284" s="87"/>
      <c r="B284" s="87"/>
      <c r="C284" s="87"/>
      <c r="D284" s="87"/>
      <c r="E284" s="87"/>
      <c r="F284" s="87"/>
      <c r="G284" s="87"/>
      <c r="H284" s="87"/>
      <c r="I284" s="87"/>
      <c r="J284" s="78"/>
      <c r="K284" s="78"/>
      <c r="L284" s="78"/>
      <c r="M284" s="78"/>
      <c r="N284" s="78"/>
      <c r="O284" s="78"/>
      <c r="P284" s="78"/>
      <c r="Q284" s="78"/>
      <c r="R284" s="78"/>
      <c r="S284" s="78"/>
      <c r="T284" s="78"/>
      <c r="U284" s="78"/>
      <c r="V284" s="78"/>
      <c r="W284" s="78"/>
      <c r="X284" s="42"/>
    </row>
    <row r="285" spans="1:24">
      <c r="A285" s="2" t="s">
        <v>381</v>
      </c>
      <c r="B285" s="2"/>
      <c r="C285" s="2"/>
      <c r="D285" s="2"/>
      <c r="E285" s="2"/>
      <c r="F285" s="140"/>
      <c r="G285" s="140"/>
      <c r="H285" s="140"/>
      <c r="I285" s="140"/>
      <c r="J285" s="42"/>
      <c r="K285" s="86"/>
      <c r="L285" s="124"/>
      <c r="M285" s="42"/>
      <c r="N285" s="42"/>
      <c r="O285" s="42"/>
      <c r="P285" s="42"/>
      <c r="Q285" s="42"/>
      <c r="R285" s="42"/>
      <c r="S285" s="42"/>
      <c r="T285" s="42"/>
      <c r="U285" s="42"/>
      <c r="V285" s="42"/>
      <c r="W285" s="42"/>
      <c r="X285" s="42"/>
    </row>
    <row r="286" spans="1:24">
      <c r="A286" s="2"/>
      <c r="B286" s="2"/>
      <c r="C286" s="2"/>
      <c r="D286" s="2"/>
      <c r="E286" s="2"/>
      <c r="F286" s="140"/>
      <c r="G286" s="140"/>
      <c r="H286" s="140"/>
      <c r="I286" s="140"/>
    </row>
    <row r="287" spans="1:24">
      <c r="A287" s="2" t="s">
        <v>382</v>
      </c>
      <c r="B287" s="2"/>
      <c r="C287" s="141">
        <v>1.8</v>
      </c>
      <c r="D287" s="2" t="s">
        <v>181</v>
      </c>
      <c r="E287" s="2"/>
      <c r="F287" s="2"/>
      <c r="G287" s="2"/>
      <c r="H287" s="2"/>
      <c r="I287" s="2"/>
    </row>
    <row r="288" spans="1:24">
      <c r="A288" s="2" t="s">
        <v>383</v>
      </c>
      <c r="B288" s="2"/>
      <c r="C288" s="2">
        <f>'[3]Data Kapal'!P15</f>
        <v>3.0849066041538286E-3</v>
      </c>
      <c r="D288" s="2" t="s">
        <v>384</v>
      </c>
      <c r="E288" s="2"/>
      <c r="F288" s="2"/>
      <c r="G288" s="2"/>
      <c r="H288" s="2"/>
      <c r="I288" s="2"/>
    </row>
    <row r="289" spans="1:9">
      <c r="A289" s="2" t="s">
        <v>385</v>
      </c>
      <c r="B289" s="2"/>
      <c r="C289" s="2">
        <f>HOLTROP!G30</f>
        <v>4637.6620074999983</v>
      </c>
      <c r="D289" s="2" t="s">
        <v>386</v>
      </c>
      <c r="E289" s="2"/>
      <c r="F289" s="2"/>
      <c r="G289" s="2"/>
      <c r="H289" s="2"/>
      <c r="I289" s="2"/>
    </row>
    <row r="290" spans="1:9">
      <c r="A290" s="2" t="s">
        <v>387</v>
      </c>
      <c r="B290" s="2"/>
      <c r="C290" s="2">
        <f>1-C44</f>
        <v>0.76569600000000004</v>
      </c>
      <c r="D290" s="2" t="s">
        <v>384</v>
      </c>
      <c r="E290" s="2"/>
      <c r="F290" s="2"/>
      <c r="G290" s="2"/>
      <c r="H290" s="2"/>
      <c r="I290" s="2"/>
    </row>
    <row r="291" spans="1:9">
      <c r="A291" s="2" t="s">
        <v>388</v>
      </c>
      <c r="B291" s="2"/>
      <c r="C291" s="142">
        <f>1-E39</f>
        <v>1</v>
      </c>
      <c r="D291" s="2" t="s">
        <v>384</v>
      </c>
      <c r="E291" s="2"/>
      <c r="F291" s="2"/>
      <c r="G291" s="2"/>
      <c r="H291" s="2"/>
      <c r="I291" s="2"/>
    </row>
    <row r="292" spans="1:9">
      <c r="A292" s="2" t="s">
        <v>10</v>
      </c>
      <c r="B292" s="2"/>
      <c r="C292" s="2">
        <f>14*0.514</f>
        <v>7.1959999999999997</v>
      </c>
      <c r="D292" s="2" t="s">
        <v>45</v>
      </c>
      <c r="E292" s="2"/>
      <c r="F292" s="2"/>
      <c r="G292" s="2"/>
      <c r="H292" s="2"/>
      <c r="I292" s="2"/>
    </row>
    <row r="293" spans="1:9">
      <c r="A293" s="2" t="s">
        <v>389</v>
      </c>
      <c r="B293" s="2"/>
      <c r="C293" s="2">
        <f>C292*C291</f>
        <v>7.1959999999999997</v>
      </c>
      <c r="D293" s="2" t="s">
        <v>45</v>
      </c>
      <c r="E293" s="2"/>
      <c r="F293" s="2"/>
      <c r="G293" s="2"/>
      <c r="H293" s="2"/>
      <c r="I293" s="2"/>
    </row>
    <row r="294" spans="1:9">
      <c r="A294" s="2"/>
      <c r="B294" s="2"/>
      <c r="C294" s="2"/>
      <c r="D294" s="2"/>
      <c r="E294" s="2"/>
      <c r="F294" s="2"/>
      <c r="G294" s="2"/>
      <c r="H294" s="2"/>
      <c r="I294" s="2"/>
    </row>
    <row r="295" spans="1:9">
      <c r="A295" s="2" t="s">
        <v>390</v>
      </c>
      <c r="B295" s="2" t="s">
        <v>63</v>
      </c>
      <c r="C295" s="2" t="s">
        <v>391</v>
      </c>
      <c r="D295" s="2" t="s">
        <v>277</v>
      </c>
      <c r="E295" s="2" t="s">
        <v>392</v>
      </c>
      <c r="F295" s="2"/>
      <c r="G295" s="2"/>
      <c r="H295" s="2"/>
      <c r="I295" s="2"/>
    </row>
    <row r="296" spans="1:9">
      <c r="A296" s="2"/>
      <c r="B296" s="2"/>
      <c r="C296" s="2" t="s">
        <v>393</v>
      </c>
      <c r="D296" s="2" t="s">
        <v>277</v>
      </c>
      <c r="E296" s="2" t="s">
        <v>394</v>
      </c>
      <c r="F296" s="2"/>
      <c r="G296" s="2"/>
      <c r="H296" s="2"/>
      <c r="I296" s="2"/>
    </row>
    <row r="297" spans="1:9">
      <c r="A297" s="2"/>
      <c r="B297" s="2"/>
      <c r="C297" s="2"/>
      <c r="D297" s="2"/>
      <c r="E297" s="2"/>
      <c r="F297" s="2"/>
      <c r="G297" s="2"/>
      <c r="H297" s="2"/>
      <c r="I297" s="2"/>
    </row>
    <row r="298" spans="1:9">
      <c r="A298" s="2" t="s">
        <v>391</v>
      </c>
      <c r="B298" s="2" t="s">
        <v>63</v>
      </c>
      <c r="C298" s="2">
        <f>(0.5*C288*C289*C287*C108^2)/(C290*C291^2*C293^2)</f>
        <v>1.4321335720405395</v>
      </c>
      <c r="D298" s="2"/>
      <c r="E298" s="2"/>
      <c r="F298" s="2"/>
      <c r="G298" s="2"/>
      <c r="H298" s="2"/>
      <c r="I298" s="2"/>
    </row>
    <row r="307" spans="1:9" ht="16.2" thickBot="1"/>
    <row r="308" spans="1:9" ht="16.2" thickBot="1">
      <c r="A308" s="669" t="s">
        <v>395</v>
      </c>
      <c r="B308" s="670"/>
      <c r="C308" s="670"/>
      <c r="D308" s="670"/>
      <c r="E308" s="670"/>
      <c r="F308" s="670"/>
      <c r="G308" s="670"/>
      <c r="H308" s="670"/>
      <c r="I308" s="671"/>
    </row>
    <row r="309" spans="1:9" ht="16.2" thickBot="1">
      <c r="B309" s="669" t="s">
        <v>396</v>
      </c>
      <c r="C309" s="670"/>
      <c r="D309" s="670"/>
      <c r="E309" s="670"/>
      <c r="F309" s="670"/>
      <c r="G309" s="670"/>
      <c r="H309" s="671"/>
    </row>
    <row r="310" spans="1:9" ht="16.2" thickBot="1">
      <c r="C310" s="720" t="s">
        <v>397</v>
      </c>
      <c r="D310" s="721"/>
      <c r="E310" s="721"/>
      <c r="F310" s="721"/>
      <c r="G310" s="722"/>
    </row>
    <row r="311" spans="1:9" ht="16.2" thickBot="1">
      <c r="C311" s="697" t="s">
        <v>398</v>
      </c>
      <c r="D311" s="698"/>
      <c r="E311" s="697" t="s">
        <v>379</v>
      </c>
      <c r="F311" s="699"/>
      <c r="G311" s="698"/>
    </row>
    <row r="312" spans="1:9" ht="16.2" thickBot="1">
      <c r="C312" s="665" t="s">
        <v>399</v>
      </c>
      <c r="D312" s="666"/>
      <c r="E312" s="667" t="s">
        <v>400</v>
      </c>
      <c r="F312" s="700"/>
      <c r="G312" s="701"/>
      <c r="H312" s="669" t="s">
        <v>401</v>
      </c>
      <c r="I312" s="671"/>
    </row>
    <row r="313" spans="1:9" ht="16.2" thickBot="1">
      <c r="C313" s="689" t="s">
        <v>402</v>
      </c>
      <c r="D313" s="690"/>
      <c r="E313" s="691">
        <v>4000</v>
      </c>
      <c r="F313" s="692"/>
      <c r="G313" s="143" t="s">
        <v>250</v>
      </c>
      <c r="H313" s="669" t="s">
        <v>403</v>
      </c>
      <c r="I313" s="671"/>
    </row>
    <row r="314" spans="1:9" ht="16.2" thickBot="1">
      <c r="C314" s="681" t="s">
        <v>404</v>
      </c>
      <c r="D314" s="682"/>
      <c r="E314" s="693">
        <v>320</v>
      </c>
      <c r="F314" s="688"/>
      <c r="G314" s="144" t="s">
        <v>351</v>
      </c>
      <c r="H314" s="669" t="s">
        <v>405</v>
      </c>
      <c r="I314" s="671"/>
    </row>
    <row r="315" spans="1:9">
      <c r="C315" s="681" t="s">
        <v>406</v>
      </c>
      <c r="D315" s="682"/>
      <c r="E315" s="693">
        <v>400</v>
      </c>
      <c r="F315" s="688"/>
      <c r="G315" s="144" t="s">
        <v>351</v>
      </c>
      <c r="H315" s="672" t="s">
        <v>407</v>
      </c>
      <c r="I315" s="673"/>
    </row>
    <row r="316" spans="1:9">
      <c r="C316" s="681" t="s">
        <v>408</v>
      </c>
      <c r="D316" s="682"/>
      <c r="E316" s="681">
        <v>7</v>
      </c>
      <c r="F316" s="683"/>
      <c r="G316" s="144"/>
    </row>
    <row r="317" spans="1:9">
      <c r="C317" s="684" t="s">
        <v>409</v>
      </c>
      <c r="D317" s="685"/>
      <c r="E317" s="684">
        <v>39</v>
      </c>
      <c r="F317" s="686"/>
      <c r="G317" s="145" t="s">
        <v>361</v>
      </c>
    </row>
    <row r="318" spans="1:9">
      <c r="C318" s="681" t="s">
        <v>359</v>
      </c>
      <c r="D318" s="682"/>
      <c r="E318" s="693">
        <v>182</v>
      </c>
      <c r="F318" s="688"/>
      <c r="G318" s="144" t="s">
        <v>360</v>
      </c>
    </row>
    <row r="319" spans="1:9" ht="16.2" thickBot="1">
      <c r="C319" s="665" t="s">
        <v>355</v>
      </c>
      <c r="D319" s="666"/>
      <c r="E319" s="667">
        <v>750</v>
      </c>
      <c r="F319" s="668"/>
      <c r="G319" s="146"/>
    </row>
    <row r="320" spans="1:9" ht="16.2" thickBot="1"/>
    <row r="321" spans="2:8" ht="16.2" thickBot="1">
      <c r="B321" s="669" t="s">
        <v>410</v>
      </c>
      <c r="C321" s="670"/>
      <c r="D321" s="670"/>
      <c r="E321" s="670"/>
      <c r="F321" s="670"/>
      <c r="G321" s="670"/>
      <c r="H321" s="671"/>
    </row>
    <row r="322" spans="2:8">
      <c r="B322" s="672"/>
      <c r="C322" s="673"/>
      <c r="D322" s="673"/>
      <c r="E322" s="673"/>
      <c r="F322" s="673"/>
      <c r="G322" s="673"/>
      <c r="H322" s="674"/>
    </row>
    <row r="323" spans="2:8">
      <c r="B323" s="675"/>
      <c r="C323" s="676"/>
      <c r="D323" s="676"/>
      <c r="E323" s="676"/>
      <c r="F323" s="676"/>
      <c r="G323" s="676"/>
      <c r="H323" s="677"/>
    </row>
    <row r="324" spans="2:8">
      <c r="B324" s="675"/>
      <c r="C324" s="676"/>
      <c r="D324" s="676"/>
      <c r="E324" s="676"/>
      <c r="F324" s="676"/>
      <c r="G324" s="676"/>
      <c r="H324" s="677"/>
    </row>
    <row r="325" spans="2:8">
      <c r="B325" s="675"/>
      <c r="C325" s="676"/>
      <c r="D325" s="676"/>
      <c r="E325" s="676"/>
      <c r="F325" s="676"/>
      <c r="G325" s="676"/>
      <c r="H325" s="677"/>
    </row>
    <row r="326" spans="2:8">
      <c r="B326" s="675"/>
      <c r="C326" s="676"/>
      <c r="D326" s="676"/>
      <c r="E326" s="676"/>
      <c r="F326" s="676"/>
      <c r="G326" s="676"/>
      <c r="H326" s="677"/>
    </row>
    <row r="327" spans="2:8">
      <c r="B327" s="675"/>
      <c r="C327" s="676"/>
      <c r="D327" s="676"/>
      <c r="E327" s="676"/>
      <c r="F327" s="676"/>
      <c r="G327" s="676"/>
      <c r="H327" s="677"/>
    </row>
    <row r="328" spans="2:8">
      <c r="B328" s="675"/>
      <c r="C328" s="676"/>
      <c r="D328" s="676"/>
      <c r="E328" s="676"/>
      <c r="F328" s="676"/>
      <c r="G328" s="676"/>
      <c r="H328" s="677"/>
    </row>
    <row r="329" spans="2:8">
      <c r="B329" s="675"/>
      <c r="C329" s="676"/>
      <c r="D329" s="676"/>
      <c r="E329" s="676"/>
      <c r="F329" s="676"/>
      <c r="G329" s="676"/>
      <c r="H329" s="677"/>
    </row>
    <row r="330" spans="2:8">
      <c r="B330" s="675"/>
      <c r="C330" s="676"/>
      <c r="D330" s="676"/>
      <c r="E330" s="676"/>
      <c r="F330" s="676"/>
      <c r="G330" s="676"/>
      <c r="H330" s="677"/>
    </row>
    <row r="331" spans="2:8">
      <c r="B331" s="675"/>
      <c r="C331" s="676"/>
      <c r="D331" s="676"/>
      <c r="E331" s="676"/>
      <c r="F331" s="676"/>
      <c r="G331" s="676"/>
      <c r="H331" s="677"/>
    </row>
    <row r="332" spans="2:8">
      <c r="B332" s="675"/>
      <c r="C332" s="676"/>
      <c r="D332" s="676"/>
      <c r="E332" s="676"/>
      <c r="F332" s="676"/>
      <c r="G332" s="676"/>
      <c r="H332" s="677"/>
    </row>
    <row r="333" spans="2:8" ht="16.2" thickBot="1">
      <c r="B333" s="675"/>
      <c r="C333" s="676"/>
      <c r="D333" s="676"/>
      <c r="E333" s="676"/>
      <c r="F333" s="676"/>
      <c r="G333" s="676"/>
      <c r="H333" s="677"/>
    </row>
    <row r="334" spans="2:8">
      <c r="B334" s="672"/>
      <c r="C334" s="673"/>
      <c r="D334" s="673"/>
      <c r="E334" s="673"/>
      <c r="F334" s="673"/>
      <c r="G334" s="673"/>
      <c r="H334" s="674"/>
    </row>
    <row r="335" spans="2:8">
      <c r="B335" s="675"/>
      <c r="C335" s="676"/>
      <c r="D335" s="676"/>
      <c r="E335" s="676"/>
      <c r="F335" s="676"/>
      <c r="G335" s="676"/>
      <c r="H335" s="677"/>
    </row>
    <row r="336" spans="2:8">
      <c r="B336" s="675"/>
      <c r="C336" s="676"/>
      <c r="D336" s="676"/>
      <c r="E336" s="676"/>
      <c r="F336" s="676"/>
      <c r="G336" s="676"/>
      <c r="H336" s="677"/>
    </row>
    <row r="337" spans="1:26">
      <c r="B337" s="675"/>
      <c r="C337" s="676"/>
      <c r="D337" s="676"/>
      <c r="E337" s="676"/>
      <c r="F337" s="676"/>
      <c r="G337" s="676"/>
      <c r="H337" s="677"/>
    </row>
    <row r="338" spans="1:26">
      <c r="B338" s="675"/>
      <c r="C338" s="676"/>
      <c r="D338" s="676"/>
      <c r="E338" s="676"/>
      <c r="F338" s="676"/>
      <c r="G338" s="676"/>
      <c r="H338" s="677"/>
    </row>
    <row r="339" spans="1:26">
      <c r="B339" s="675"/>
      <c r="C339" s="676"/>
      <c r="D339" s="676"/>
      <c r="E339" s="676"/>
      <c r="F339" s="676"/>
      <c r="G339" s="676"/>
      <c r="H339" s="677"/>
    </row>
    <row r="340" spans="1:26">
      <c r="B340" s="675"/>
      <c r="C340" s="676"/>
      <c r="D340" s="676"/>
      <c r="E340" s="676"/>
      <c r="F340" s="676"/>
      <c r="G340" s="676"/>
      <c r="H340" s="677"/>
    </row>
    <row r="341" spans="1:26" ht="16.2" thickBot="1">
      <c r="B341" s="678"/>
      <c r="C341" s="679"/>
      <c r="D341" s="679"/>
      <c r="E341" s="679"/>
      <c r="F341" s="679"/>
      <c r="G341" s="679"/>
      <c r="H341" s="680"/>
    </row>
    <row r="342" spans="1:26" ht="16.2" thickBot="1"/>
    <row r="343" spans="1:26" ht="16.2" thickBot="1">
      <c r="A343" s="669" t="s">
        <v>411</v>
      </c>
      <c r="B343" s="670"/>
      <c r="C343" s="670"/>
      <c r="D343" s="670"/>
      <c r="E343" s="670"/>
      <c r="F343" s="670"/>
      <c r="G343" s="670"/>
      <c r="H343" s="670"/>
      <c r="I343" s="671"/>
    </row>
    <row r="344" spans="1:26" ht="16.2" thickBot="1"/>
    <row r="345" spans="1:26" ht="16.2" thickBot="1">
      <c r="A345" s="147" t="s">
        <v>412</v>
      </c>
      <c r="B345" s="148">
        <f>E313</f>
        <v>4000</v>
      </c>
      <c r="C345" s="149" t="s">
        <v>258</v>
      </c>
      <c r="F345" s="150" t="s">
        <v>413</v>
      </c>
      <c r="G345" s="151"/>
      <c r="H345" s="152"/>
      <c r="L345" s="717" t="s">
        <v>398</v>
      </c>
      <c r="M345" s="718"/>
      <c r="N345" s="153" t="s">
        <v>63</v>
      </c>
      <c r="O345" s="154" t="s">
        <v>414</v>
      </c>
      <c r="P345" s="154"/>
      <c r="Q345" s="155"/>
    </row>
    <row r="346" spans="1:26" ht="16.2" thickBot="1">
      <c r="A346" s="156"/>
      <c r="B346" s="157">
        <f>B345*Z8</f>
        <v>5361.9199999999992</v>
      </c>
      <c r="C346" s="158" t="s">
        <v>252</v>
      </c>
      <c r="F346" s="159" t="s">
        <v>398</v>
      </c>
      <c r="G346" s="3" t="s">
        <v>63</v>
      </c>
      <c r="H346" s="160" t="s">
        <v>415</v>
      </c>
      <c r="L346" s="714" t="s">
        <v>336</v>
      </c>
      <c r="M346" s="715"/>
      <c r="N346" s="161" t="s">
        <v>63</v>
      </c>
      <c r="O346" s="162" t="s">
        <v>416</v>
      </c>
      <c r="P346" s="5"/>
      <c r="Q346" s="163"/>
      <c r="R346" s="692" t="s">
        <v>413</v>
      </c>
      <c r="S346" s="692"/>
      <c r="T346" s="692"/>
      <c r="U346" s="692"/>
      <c r="V346" s="692"/>
      <c r="W346" s="692"/>
      <c r="X346" s="699"/>
      <c r="Y346" s="699"/>
      <c r="Z346" s="698"/>
    </row>
    <row r="347" spans="1:26" ht="16.2">
      <c r="A347" s="164" t="s">
        <v>417</v>
      </c>
      <c r="B347" s="165" t="s">
        <v>418</v>
      </c>
      <c r="C347" s="166"/>
      <c r="F347" s="159" t="s">
        <v>336</v>
      </c>
      <c r="G347" s="3" t="s">
        <v>63</v>
      </c>
      <c r="H347" s="160" t="s">
        <v>419</v>
      </c>
      <c r="L347" s="714" t="s">
        <v>420</v>
      </c>
      <c r="M347" s="715"/>
      <c r="N347" s="161" t="s">
        <v>63</v>
      </c>
      <c r="O347" s="716">
        <v>3750</v>
      </c>
      <c r="P347" s="716"/>
      <c r="Q347" s="163" t="s">
        <v>250</v>
      </c>
      <c r="R347" s="167" t="s">
        <v>398</v>
      </c>
      <c r="S347" s="167"/>
      <c r="T347" s="167"/>
      <c r="U347" s="167"/>
      <c r="V347" s="167"/>
      <c r="W347" s="167"/>
      <c r="X347" s="19" t="s">
        <v>63</v>
      </c>
      <c r="Y347" s="687" t="s">
        <v>415</v>
      </c>
      <c r="Z347" s="719"/>
    </row>
    <row r="348" spans="1:26">
      <c r="A348" s="168"/>
      <c r="B348" s="169">
        <f>B345*0.85</f>
        <v>3400</v>
      </c>
      <c r="C348" s="170" t="s">
        <v>258</v>
      </c>
      <c r="F348" s="159" t="s">
        <v>420</v>
      </c>
      <c r="G348" s="3" t="s">
        <v>63</v>
      </c>
      <c r="H348" s="160">
        <v>5390</v>
      </c>
      <c r="I348" s="1" t="s">
        <v>250</v>
      </c>
      <c r="L348" s="714" t="s">
        <v>421</v>
      </c>
      <c r="M348" s="715"/>
      <c r="N348" s="161" t="s">
        <v>63</v>
      </c>
      <c r="O348" s="716">
        <v>3.8570000000000002</v>
      </c>
      <c r="P348" s="716"/>
      <c r="Q348" s="163"/>
      <c r="R348" s="167" t="s">
        <v>336</v>
      </c>
      <c r="S348" s="167"/>
      <c r="T348" s="167"/>
      <c r="U348" s="167"/>
      <c r="V348" s="167"/>
      <c r="W348" s="167"/>
      <c r="X348" s="19" t="s">
        <v>63</v>
      </c>
      <c r="Y348" s="683" t="s">
        <v>422</v>
      </c>
      <c r="Z348" s="682"/>
    </row>
    <row r="349" spans="1:26" ht="16.2" thickBot="1">
      <c r="A349" s="171"/>
      <c r="B349" s="172">
        <f>B348*Z8</f>
        <v>4557.6319999999996</v>
      </c>
      <c r="C349" s="173" t="s">
        <v>252</v>
      </c>
      <c r="F349" s="159" t="s">
        <v>421</v>
      </c>
      <c r="G349" s="3" t="s">
        <v>63</v>
      </c>
      <c r="H349" s="716">
        <v>3.8570000000000002</v>
      </c>
      <c r="I349" s="716"/>
      <c r="L349" s="714" t="s">
        <v>423</v>
      </c>
      <c r="M349" s="715"/>
      <c r="N349" s="161" t="s">
        <v>63</v>
      </c>
      <c r="O349" s="716">
        <v>750</v>
      </c>
      <c r="P349" s="716"/>
      <c r="Q349" s="163" t="s">
        <v>349</v>
      </c>
      <c r="R349" s="167" t="s">
        <v>420</v>
      </c>
      <c r="S349" s="167"/>
      <c r="T349" s="167"/>
      <c r="U349" s="167"/>
      <c r="V349" s="167"/>
      <c r="W349" s="167"/>
      <c r="X349" s="19" t="s">
        <v>63</v>
      </c>
      <c r="Y349" s="46">
        <v>6369.5</v>
      </c>
      <c r="Z349" s="144" t="s">
        <v>250</v>
      </c>
    </row>
    <row r="350" spans="1:26">
      <c r="A350" s="174" t="s">
        <v>307</v>
      </c>
      <c r="B350" s="175" t="s">
        <v>424</v>
      </c>
      <c r="C350" s="176"/>
      <c r="F350" s="159" t="s">
        <v>423</v>
      </c>
      <c r="G350" s="3" t="s">
        <v>63</v>
      </c>
      <c r="H350" s="160">
        <v>750</v>
      </c>
      <c r="L350" s="709" t="s">
        <v>409</v>
      </c>
      <c r="M350" s="710"/>
      <c r="N350" s="177" t="s">
        <v>63</v>
      </c>
      <c r="O350" s="711">
        <v>11600</v>
      </c>
      <c r="P350" s="711"/>
      <c r="Q350" s="178" t="s">
        <v>425</v>
      </c>
      <c r="R350" s="167" t="s">
        <v>421</v>
      </c>
      <c r="S350" s="167"/>
      <c r="T350" s="167"/>
      <c r="U350" s="167"/>
      <c r="V350" s="167"/>
      <c r="W350" s="167"/>
      <c r="X350" s="19" t="s">
        <v>63</v>
      </c>
      <c r="Y350" s="179">
        <v>4.609</v>
      </c>
      <c r="Z350" s="144"/>
    </row>
    <row r="351" spans="1:26">
      <c r="A351" s="180"/>
      <c r="B351" s="181">
        <f>B348*0.98</f>
        <v>3332</v>
      </c>
      <c r="C351" s="170" t="s">
        <v>258</v>
      </c>
      <c r="F351" s="159" t="s">
        <v>409</v>
      </c>
      <c r="G351" s="3" t="s">
        <v>63</v>
      </c>
      <c r="H351" s="160">
        <v>9270</v>
      </c>
      <c r="I351" s="1" t="s">
        <v>426</v>
      </c>
      <c r="R351" s="182" t="s">
        <v>423</v>
      </c>
      <c r="S351" s="167"/>
      <c r="T351" s="167"/>
      <c r="U351" s="167"/>
      <c r="V351" s="167"/>
      <c r="W351" s="167"/>
      <c r="X351" s="19" t="s">
        <v>63</v>
      </c>
      <c r="Y351" s="46">
        <v>750</v>
      </c>
      <c r="Z351" s="144"/>
    </row>
    <row r="352" spans="1:26" ht="16.2" thickBot="1">
      <c r="A352" s="183"/>
      <c r="B352" s="172">
        <f>B351*Z8</f>
        <v>4466.4793599999994</v>
      </c>
      <c r="C352" s="173" t="s">
        <v>252</v>
      </c>
      <c r="F352" s="184" t="s">
        <v>427</v>
      </c>
      <c r="G352" s="185" t="s">
        <v>63</v>
      </c>
      <c r="H352" s="186">
        <f>E319/H349</f>
        <v>194.45164635727249</v>
      </c>
      <c r="L352" s="703" t="s">
        <v>334</v>
      </c>
      <c r="M352" s="703"/>
      <c r="N352" s="703"/>
      <c r="O352" s="703"/>
      <c r="P352" s="703"/>
      <c r="R352" s="182" t="s">
        <v>409</v>
      </c>
      <c r="S352" s="167"/>
      <c r="T352" s="167"/>
      <c r="U352" s="167"/>
      <c r="V352" s="167"/>
      <c r="W352" s="167"/>
      <c r="X352" s="19" t="s">
        <v>63</v>
      </c>
      <c r="Y352" s="46">
        <v>14800</v>
      </c>
      <c r="Z352" s="144" t="s">
        <v>426</v>
      </c>
    </row>
    <row r="353" spans="1:26">
      <c r="A353" s="147" t="s">
        <v>261</v>
      </c>
      <c r="B353" s="165" t="s">
        <v>428</v>
      </c>
      <c r="C353" s="149"/>
      <c r="L353" s="703" t="s">
        <v>336</v>
      </c>
      <c r="M353" s="703"/>
      <c r="N353" s="703" t="s">
        <v>337</v>
      </c>
      <c r="O353" s="703"/>
      <c r="P353" s="703"/>
      <c r="R353" s="712" t="s">
        <v>429</v>
      </c>
      <c r="S353" s="187"/>
      <c r="T353" s="187"/>
      <c r="U353" s="187"/>
      <c r="V353" s="187"/>
      <c r="W353" s="187"/>
      <c r="X353" s="703" t="s">
        <v>430</v>
      </c>
      <c r="Y353" s="705">
        <f>Y351/Y350</f>
        <v>162.72510305923194</v>
      </c>
      <c r="Z353" s="706"/>
    </row>
    <row r="354" spans="1:26" ht="16.2" thickBot="1">
      <c r="A354" s="180"/>
      <c r="B354" s="169">
        <f>B351*0.98</f>
        <v>3265.36</v>
      </c>
      <c r="C354" s="170" t="s">
        <v>258</v>
      </c>
      <c r="L354" s="134" t="s">
        <v>340</v>
      </c>
      <c r="M354" s="134"/>
      <c r="N354" s="703">
        <v>5.95</v>
      </c>
      <c r="O354" s="703"/>
      <c r="P354" s="4"/>
      <c r="R354" s="713"/>
      <c r="S354" s="188"/>
      <c r="T354" s="188"/>
      <c r="U354" s="188"/>
      <c r="V354" s="188"/>
      <c r="W354" s="188"/>
      <c r="X354" s="704"/>
      <c r="Y354" s="707"/>
      <c r="Z354" s="708"/>
    </row>
    <row r="355" spans="1:26" ht="16.2" thickBot="1">
      <c r="A355" s="183"/>
      <c r="B355" s="172">
        <f>B354*Z8</f>
        <v>4377.1497727999995</v>
      </c>
      <c r="C355" s="173" t="s">
        <v>252</v>
      </c>
      <c r="L355" s="134" t="s">
        <v>342</v>
      </c>
      <c r="M355" s="134"/>
      <c r="N355" s="703">
        <v>7.6585999999999999</v>
      </c>
      <c r="O355" s="703"/>
      <c r="P355" s="4" t="s">
        <v>343</v>
      </c>
      <c r="Y355" s="1">
        <f>Y353/60</f>
        <v>2.712085050987199</v>
      </c>
    </row>
    <row r="356" spans="1:26">
      <c r="A356" s="174" t="s">
        <v>256</v>
      </c>
      <c r="B356" s="175" t="s">
        <v>431</v>
      </c>
      <c r="C356" s="176"/>
      <c r="L356" s="683" t="s">
        <v>345</v>
      </c>
      <c r="M356" s="683"/>
      <c r="N356" s="683">
        <v>16600</v>
      </c>
      <c r="O356" s="683"/>
      <c r="P356" s="4" t="s">
        <v>346</v>
      </c>
    </row>
    <row r="357" spans="1:26">
      <c r="A357" s="180"/>
      <c r="B357" s="181">
        <f>B354*B62</f>
        <v>2170.375946666667</v>
      </c>
      <c r="C357" s="170" t="s">
        <v>258</v>
      </c>
      <c r="L357" s="703" t="s">
        <v>348</v>
      </c>
      <c r="M357" s="703"/>
      <c r="N357" s="703">
        <v>750</v>
      </c>
      <c r="O357" s="703"/>
      <c r="P357" s="4" t="s">
        <v>349</v>
      </c>
    </row>
    <row r="358" spans="1:26" ht="16.2" thickBot="1">
      <c r="A358" s="156"/>
      <c r="B358" s="189">
        <f>B357*Z8</f>
        <v>2909.3455489877338</v>
      </c>
      <c r="C358" s="158" t="s">
        <v>252</v>
      </c>
      <c r="L358" s="683" t="s">
        <v>352</v>
      </c>
      <c r="M358" s="683"/>
      <c r="N358" s="702">
        <f>750/N354</f>
        <v>126.05042016806722</v>
      </c>
      <c r="O358" s="702"/>
      <c r="P358" s="4" t="s">
        <v>349</v>
      </c>
    </row>
    <row r="359" spans="1:26">
      <c r="A359" s="147" t="s">
        <v>432</v>
      </c>
      <c r="B359" s="165" t="s">
        <v>433</v>
      </c>
      <c r="C359" s="149"/>
      <c r="N359" s="1">
        <f>E319/N354</f>
        <v>126.05042016806722</v>
      </c>
    </row>
    <row r="360" spans="1:26">
      <c r="A360" s="180"/>
      <c r="B360" s="181">
        <v>2157.1213874564705</v>
      </c>
      <c r="C360" s="170" t="s">
        <v>258</v>
      </c>
      <c r="L360" s="703" t="s">
        <v>334</v>
      </c>
      <c r="M360" s="703"/>
      <c r="N360" s="703"/>
      <c r="O360" s="703"/>
      <c r="P360" s="703"/>
    </row>
    <row r="361" spans="1:26" ht="16.2" thickBot="1">
      <c r="A361" s="183"/>
      <c r="B361" s="172">
        <f>B360*Z8</f>
        <v>2891.5780774576492</v>
      </c>
      <c r="C361" s="173" t="s">
        <v>252</v>
      </c>
      <c r="L361" s="703" t="s">
        <v>336</v>
      </c>
      <c r="M361" s="703"/>
      <c r="N361" s="703" t="s">
        <v>434</v>
      </c>
      <c r="O361" s="703"/>
      <c r="P361" s="703"/>
    </row>
    <row r="362" spans="1:26">
      <c r="L362" s="134" t="s">
        <v>340</v>
      </c>
      <c r="M362" s="134"/>
      <c r="N362" s="703">
        <v>5</v>
      </c>
      <c r="O362" s="703"/>
      <c r="P362" s="4"/>
    </row>
    <row r="363" spans="1:26" ht="16.2" thickBot="1">
      <c r="L363" s="134" t="s">
        <v>342</v>
      </c>
      <c r="M363" s="134"/>
      <c r="N363" s="703">
        <v>5.6077000000000004</v>
      </c>
      <c r="O363" s="703"/>
      <c r="P363" s="4" t="s">
        <v>343</v>
      </c>
    </row>
    <row r="364" spans="1:26" ht="16.2" thickBot="1">
      <c r="B364" s="669" t="s">
        <v>435</v>
      </c>
      <c r="C364" s="670"/>
      <c r="D364" s="670"/>
      <c r="E364" s="670"/>
      <c r="F364" s="670"/>
      <c r="G364" s="670"/>
      <c r="H364" s="671"/>
      <c r="L364" s="683" t="s">
        <v>345</v>
      </c>
      <c r="M364" s="683"/>
      <c r="N364" s="683">
        <v>11900</v>
      </c>
      <c r="O364" s="683"/>
      <c r="P364" s="4" t="s">
        <v>346</v>
      </c>
    </row>
    <row r="365" spans="1:26" ht="16.2" thickBot="1">
      <c r="C365" s="694" t="s">
        <v>397</v>
      </c>
      <c r="D365" s="695"/>
      <c r="E365" s="695"/>
      <c r="F365" s="695"/>
      <c r="G365" s="696"/>
      <c r="L365" s="703" t="s">
        <v>348</v>
      </c>
      <c r="M365" s="703"/>
      <c r="N365" s="703">
        <v>1000</v>
      </c>
      <c r="O365" s="703"/>
      <c r="P365" s="4" t="s">
        <v>349</v>
      </c>
    </row>
    <row r="366" spans="1:26" ht="16.2" thickBot="1">
      <c r="C366" s="697" t="s">
        <v>398</v>
      </c>
      <c r="D366" s="698"/>
      <c r="E366" s="697" t="s">
        <v>373</v>
      </c>
      <c r="F366" s="699"/>
      <c r="G366" s="698"/>
      <c r="H366" s="669" t="s">
        <v>401</v>
      </c>
      <c r="I366" s="671"/>
      <c r="L366" s="683" t="s">
        <v>352</v>
      </c>
      <c r="M366" s="683"/>
      <c r="N366" s="702">
        <f>750/N362</f>
        <v>150</v>
      </c>
      <c r="O366" s="702"/>
      <c r="P366" s="4" t="s">
        <v>349</v>
      </c>
    </row>
    <row r="367" spans="1:26" ht="16.2" thickBot="1">
      <c r="C367" s="665" t="s">
        <v>399</v>
      </c>
      <c r="D367" s="666"/>
      <c r="E367" s="667" t="s">
        <v>436</v>
      </c>
      <c r="F367" s="700"/>
      <c r="G367" s="701"/>
      <c r="H367" s="669" t="s">
        <v>403</v>
      </c>
      <c r="I367" s="671"/>
      <c r="N367" s="1">
        <f>E319/N362</f>
        <v>150</v>
      </c>
    </row>
    <row r="368" spans="1:26" ht="16.2" thickBot="1">
      <c r="C368" s="689" t="s">
        <v>402</v>
      </c>
      <c r="D368" s="690"/>
      <c r="E368" s="691">
        <v>3500</v>
      </c>
      <c r="F368" s="692"/>
      <c r="G368" s="143" t="s">
        <v>250</v>
      </c>
      <c r="H368" s="669" t="s">
        <v>405</v>
      </c>
      <c r="I368" s="671"/>
    </row>
    <row r="369" spans="2:9" ht="16.2" thickBot="1">
      <c r="C369" s="681" t="s">
        <v>404</v>
      </c>
      <c r="D369" s="682"/>
      <c r="E369" s="693">
        <v>320</v>
      </c>
      <c r="F369" s="688"/>
      <c r="G369" s="144" t="s">
        <v>351</v>
      </c>
      <c r="H369" s="669" t="s">
        <v>407</v>
      </c>
      <c r="I369" s="671"/>
    </row>
    <row r="370" spans="2:9">
      <c r="C370" s="681" t="s">
        <v>406</v>
      </c>
      <c r="D370" s="682"/>
      <c r="E370" s="693">
        <v>400</v>
      </c>
      <c r="F370" s="688"/>
      <c r="G370" s="144" t="s">
        <v>351</v>
      </c>
    </row>
    <row r="371" spans="2:9">
      <c r="C371" s="681" t="s">
        <v>408</v>
      </c>
      <c r="D371" s="682"/>
      <c r="E371" s="681">
        <v>7</v>
      </c>
      <c r="F371" s="683"/>
      <c r="G371" s="144"/>
    </row>
    <row r="372" spans="2:9">
      <c r="C372" s="684" t="s">
        <v>409</v>
      </c>
      <c r="D372" s="685"/>
      <c r="E372" s="684">
        <v>42</v>
      </c>
      <c r="F372" s="686"/>
      <c r="G372" s="145" t="s">
        <v>361</v>
      </c>
    </row>
    <row r="373" spans="2:9">
      <c r="C373" s="681" t="s">
        <v>359</v>
      </c>
      <c r="D373" s="682"/>
      <c r="E373" s="190">
        <v>183</v>
      </c>
      <c r="F373" s="191">
        <v>182</v>
      </c>
      <c r="G373" s="144" t="s">
        <v>360</v>
      </c>
    </row>
    <row r="374" spans="2:9" ht="16.2" thickBot="1">
      <c r="C374" s="665" t="s">
        <v>355</v>
      </c>
      <c r="D374" s="666"/>
      <c r="E374" s="667">
        <v>750</v>
      </c>
      <c r="F374" s="668"/>
      <c r="G374" s="146"/>
    </row>
    <row r="375" spans="2:9" ht="16.2" thickBot="1"/>
    <row r="376" spans="2:9" ht="16.2" thickBot="1">
      <c r="B376" s="669" t="s">
        <v>437</v>
      </c>
      <c r="C376" s="670"/>
      <c r="D376" s="670"/>
      <c r="E376" s="670"/>
      <c r="F376" s="670"/>
      <c r="G376" s="670"/>
      <c r="H376" s="671"/>
    </row>
    <row r="377" spans="2:9">
      <c r="B377" s="672"/>
      <c r="C377" s="673"/>
      <c r="D377" s="673"/>
      <c r="E377" s="673"/>
      <c r="F377" s="673"/>
      <c r="G377" s="673"/>
      <c r="H377" s="674"/>
    </row>
    <row r="378" spans="2:9">
      <c r="B378" s="675"/>
      <c r="C378" s="676"/>
      <c r="D378" s="676"/>
      <c r="E378" s="676"/>
      <c r="F378" s="676"/>
      <c r="G378" s="676"/>
      <c r="H378" s="677"/>
    </row>
    <row r="379" spans="2:9">
      <c r="B379" s="675"/>
      <c r="C379" s="676"/>
      <c r="D379" s="676"/>
      <c r="E379" s="676"/>
      <c r="F379" s="676"/>
      <c r="G379" s="676"/>
      <c r="H379" s="677"/>
    </row>
    <row r="380" spans="2:9">
      <c r="B380" s="675"/>
      <c r="C380" s="676"/>
      <c r="D380" s="676"/>
      <c r="E380" s="676"/>
      <c r="F380" s="676"/>
      <c r="G380" s="676"/>
      <c r="H380" s="677"/>
    </row>
    <row r="381" spans="2:9">
      <c r="B381" s="675"/>
      <c r="C381" s="676"/>
      <c r="D381" s="676"/>
      <c r="E381" s="676"/>
      <c r="F381" s="676"/>
      <c r="G381" s="676"/>
      <c r="H381" s="677"/>
    </row>
    <row r="382" spans="2:9">
      <c r="B382" s="675"/>
      <c r="C382" s="676"/>
      <c r="D382" s="676"/>
      <c r="E382" s="676"/>
      <c r="F382" s="676"/>
      <c r="G382" s="676"/>
      <c r="H382" s="677"/>
    </row>
    <row r="383" spans="2:9">
      <c r="B383" s="675"/>
      <c r="C383" s="676"/>
      <c r="D383" s="676"/>
      <c r="E383" s="676"/>
      <c r="F383" s="676"/>
      <c r="G383" s="676"/>
      <c r="H383" s="677"/>
    </row>
    <row r="384" spans="2:9">
      <c r="B384" s="675"/>
      <c r="C384" s="676"/>
      <c r="D384" s="676"/>
      <c r="E384" s="676"/>
      <c r="F384" s="676"/>
      <c r="G384" s="676"/>
      <c r="H384" s="677"/>
    </row>
    <row r="385" spans="1:9">
      <c r="B385" s="675"/>
      <c r="C385" s="676"/>
      <c r="D385" s="676"/>
      <c r="E385" s="676"/>
      <c r="F385" s="676"/>
      <c r="G385" s="676"/>
      <c r="H385" s="677"/>
    </row>
    <row r="386" spans="1:9">
      <c r="B386" s="675"/>
      <c r="C386" s="676"/>
      <c r="D386" s="676"/>
      <c r="E386" s="676"/>
      <c r="F386" s="676"/>
      <c r="G386" s="676"/>
      <c r="H386" s="677"/>
    </row>
    <row r="387" spans="1:9">
      <c r="B387" s="675"/>
      <c r="C387" s="676"/>
      <c r="D387" s="676"/>
      <c r="E387" s="676"/>
      <c r="F387" s="676"/>
      <c r="G387" s="676"/>
      <c r="H387" s="677"/>
    </row>
    <row r="388" spans="1:9" ht="16.2" thickBot="1">
      <c r="B388" s="678"/>
      <c r="C388" s="679"/>
      <c r="D388" s="679"/>
      <c r="E388" s="679"/>
      <c r="F388" s="679"/>
      <c r="G388" s="679"/>
      <c r="H388" s="680"/>
    </row>
    <row r="389" spans="1:9">
      <c r="B389" s="672"/>
      <c r="C389" s="673"/>
      <c r="D389" s="673"/>
      <c r="E389" s="673"/>
      <c r="F389" s="673"/>
      <c r="G389" s="673"/>
      <c r="H389" s="674"/>
    </row>
    <row r="390" spans="1:9">
      <c r="B390" s="675"/>
      <c r="C390" s="676"/>
      <c r="D390" s="676"/>
      <c r="E390" s="676"/>
      <c r="F390" s="676"/>
      <c r="G390" s="676"/>
      <c r="H390" s="677"/>
    </row>
    <row r="391" spans="1:9">
      <c r="B391" s="675"/>
      <c r="C391" s="676"/>
      <c r="D391" s="676"/>
      <c r="E391" s="676"/>
      <c r="F391" s="676"/>
      <c r="G391" s="676"/>
      <c r="H391" s="677"/>
    </row>
    <row r="392" spans="1:9">
      <c r="B392" s="675"/>
      <c r="C392" s="676"/>
      <c r="D392" s="676"/>
      <c r="E392" s="676"/>
      <c r="F392" s="676"/>
      <c r="G392" s="676"/>
      <c r="H392" s="677"/>
    </row>
    <row r="393" spans="1:9" ht="16.2" thickBot="1">
      <c r="B393" s="678"/>
      <c r="C393" s="679"/>
      <c r="D393" s="679"/>
      <c r="E393" s="679"/>
      <c r="F393" s="679"/>
      <c r="G393" s="679"/>
      <c r="H393" s="680"/>
    </row>
    <row r="394" spans="1:9" ht="16.2" thickBot="1">
      <c r="B394" s="192"/>
      <c r="C394" s="193"/>
      <c r="D394" s="193"/>
      <c r="E394" s="193"/>
      <c r="F394" s="193"/>
      <c r="G394" s="193"/>
      <c r="H394" s="193"/>
    </row>
    <row r="398" spans="1:9" ht="16.2" thickBot="1"/>
    <row r="399" spans="1:9" ht="16.2" thickBot="1">
      <c r="A399" s="669" t="s">
        <v>411</v>
      </c>
      <c r="B399" s="670"/>
      <c r="C399" s="670"/>
      <c r="D399" s="670"/>
      <c r="E399" s="670"/>
      <c r="F399" s="670"/>
      <c r="G399" s="670"/>
      <c r="H399" s="670"/>
      <c r="I399" s="671"/>
    </row>
    <row r="400" spans="1:9" ht="16.2" thickBot="1"/>
    <row r="401" spans="1:10">
      <c r="A401" s="147" t="s">
        <v>412</v>
      </c>
      <c r="B401" s="148">
        <f>E368</f>
        <v>3500</v>
      </c>
      <c r="C401" s="149" t="s">
        <v>258</v>
      </c>
      <c r="F401" s="150" t="s">
        <v>413</v>
      </c>
      <c r="G401" s="151"/>
      <c r="H401" s="194"/>
    </row>
    <row r="402" spans="1:10" ht="16.2" thickBot="1">
      <c r="A402" s="156"/>
      <c r="B402" s="157">
        <f>B401*Z8</f>
        <v>4691.6799999999994</v>
      </c>
      <c r="C402" s="158" t="s">
        <v>252</v>
      </c>
      <c r="F402" s="159" t="s">
        <v>398</v>
      </c>
      <c r="G402" s="3" t="s">
        <v>63</v>
      </c>
      <c r="H402" s="195" t="s">
        <v>415</v>
      </c>
    </row>
    <row r="403" spans="1:10" ht="16.2">
      <c r="A403" s="164" t="s">
        <v>417</v>
      </c>
      <c r="B403" s="165" t="s">
        <v>418</v>
      </c>
      <c r="C403" s="166"/>
      <c r="F403" s="159" t="s">
        <v>336</v>
      </c>
      <c r="G403" s="3" t="s">
        <v>63</v>
      </c>
      <c r="H403" s="195" t="s">
        <v>438</v>
      </c>
    </row>
    <row r="404" spans="1:10">
      <c r="A404" s="168"/>
      <c r="B404" s="169">
        <f>B401*0.85</f>
        <v>2975</v>
      </c>
      <c r="C404" s="170" t="s">
        <v>258</v>
      </c>
      <c r="F404" s="159" t="s">
        <v>420</v>
      </c>
      <c r="G404" s="3" t="s">
        <v>63</v>
      </c>
      <c r="H404" s="195">
        <v>2217.8000000000002</v>
      </c>
      <c r="I404" s="1" t="s">
        <v>250</v>
      </c>
    </row>
    <row r="405" spans="1:10" ht="16.2" thickBot="1">
      <c r="A405" s="171"/>
      <c r="B405" s="172">
        <f>B404*Z8</f>
        <v>3987.9279999999999</v>
      </c>
      <c r="C405" s="173" t="s">
        <v>252</v>
      </c>
      <c r="F405" s="159" t="s">
        <v>421</v>
      </c>
      <c r="G405" s="3" t="s">
        <v>63</v>
      </c>
      <c r="H405" s="196">
        <v>4.9569999999999999</v>
      </c>
    </row>
    <row r="406" spans="1:10">
      <c r="A406" s="174" t="s">
        <v>307</v>
      </c>
      <c r="B406" s="175" t="s">
        <v>424</v>
      </c>
      <c r="C406" s="176"/>
      <c r="F406" s="159" t="s">
        <v>423</v>
      </c>
      <c r="G406" s="3" t="s">
        <v>63</v>
      </c>
      <c r="H406" s="195">
        <v>750</v>
      </c>
    </row>
    <row r="407" spans="1:10">
      <c r="A407" s="180"/>
      <c r="B407" s="181">
        <f>B404*0.98</f>
        <v>2915.5</v>
      </c>
      <c r="C407" s="170" t="s">
        <v>258</v>
      </c>
      <c r="F407" s="159" t="s">
        <v>409</v>
      </c>
      <c r="G407" s="3" t="s">
        <v>63</v>
      </c>
      <c r="H407" s="195">
        <v>4500</v>
      </c>
      <c r="I407" s="1" t="s">
        <v>426</v>
      </c>
    </row>
    <row r="408" spans="1:10" ht="16.2" thickBot="1">
      <c r="A408" s="156"/>
      <c r="B408" s="189">
        <f>B407*Z8</f>
        <v>3908.1694399999997</v>
      </c>
      <c r="C408" s="158" t="s">
        <v>252</v>
      </c>
      <c r="F408" s="184" t="s">
        <v>427</v>
      </c>
      <c r="G408" s="185" t="s">
        <v>63</v>
      </c>
      <c r="H408" s="197">
        <f>E374/H405</f>
        <v>151.30119023602987</v>
      </c>
      <c r="J408" s="1">
        <v>151.30119023603001</v>
      </c>
    </row>
    <row r="409" spans="1:10" ht="16.2" thickBot="1">
      <c r="A409" s="198"/>
      <c r="B409" s="199"/>
      <c r="C409" s="200"/>
    </row>
    <row r="410" spans="1:10">
      <c r="A410" s="147" t="s">
        <v>261</v>
      </c>
      <c r="B410" s="165" t="s">
        <v>428</v>
      </c>
      <c r="C410" s="149"/>
    </row>
    <row r="411" spans="1:10">
      <c r="A411" s="180"/>
      <c r="B411" s="169">
        <f>B407*0.98</f>
        <v>2857.19</v>
      </c>
      <c r="C411" s="170" t="s">
        <v>258</v>
      </c>
    </row>
    <row r="412" spans="1:10" ht="16.2" thickBot="1">
      <c r="A412" s="183"/>
      <c r="B412" s="172">
        <f>B411*Z8</f>
        <v>3830.0060511999995</v>
      </c>
      <c r="C412" s="173" t="s">
        <v>252</v>
      </c>
    </row>
    <row r="413" spans="1:10">
      <c r="A413" s="174" t="s">
        <v>256</v>
      </c>
      <c r="B413" s="175" t="s">
        <v>431</v>
      </c>
      <c r="C413" s="176"/>
    </row>
    <row r="414" spans="1:10">
      <c r="A414" s="180"/>
      <c r="B414" s="181">
        <f>B411*B62</f>
        <v>1899.0789533333336</v>
      </c>
      <c r="C414" s="170" t="s">
        <v>258</v>
      </c>
    </row>
    <row r="415" spans="1:10" ht="16.2" thickBot="1">
      <c r="A415" s="156"/>
      <c r="B415" s="189">
        <f>B414*Z8</f>
        <v>2545.677355364267</v>
      </c>
      <c r="C415" s="158" t="s">
        <v>252</v>
      </c>
    </row>
    <row r="416" spans="1:10">
      <c r="A416" s="147" t="s">
        <v>432</v>
      </c>
      <c r="B416" s="165" t="s">
        <v>433</v>
      </c>
      <c r="C416" s="149"/>
    </row>
    <row r="417" spans="1:8">
      <c r="A417" s="180"/>
      <c r="B417" s="181">
        <f>B414*C47</f>
        <v>2185.7220392188556</v>
      </c>
      <c r="C417" s="170" t="s">
        <v>258</v>
      </c>
    </row>
    <row r="418" spans="1:8" ht="16.2" thickBot="1">
      <c r="A418" s="183"/>
      <c r="B418" s="172">
        <f>B417*Z8</f>
        <v>2929.9166791320913</v>
      </c>
      <c r="C418" s="173" t="s">
        <v>252</v>
      </c>
    </row>
    <row r="419" spans="1:8" ht="16.2" thickBot="1"/>
    <row r="420" spans="1:8" ht="16.2" thickBot="1">
      <c r="B420" s="669" t="s">
        <v>439</v>
      </c>
      <c r="C420" s="670"/>
      <c r="D420" s="670"/>
      <c r="E420" s="670"/>
      <c r="F420" s="670"/>
      <c r="G420" s="670"/>
      <c r="H420" s="671"/>
    </row>
    <row r="421" spans="1:8" ht="16.2" thickBot="1">
      <c r="C421" s="694" t="s">
        <v>397</v>
      </c>
      <c r="D421" s="695"/>
      <c r="E421" s="695"/>
      <c r="F421" s="695"/>
      <c r="G421" s="696"/>
    </row>
    <row r="422" spans="1:8">
      <c r="C422" s="697" t="s">
        <v>398</v>
      </c>
      <c r="D422" s="698"/>
      <c r="E422" s="697" t="s">
        <v>373</v>
      </c>
      <c r="F422" s="699"/>
      <c r="G422" s="698"/>
    </row>
    <row r="423" spans="1:8" ht="16.2" thickBot="1">
      <c r="C423" s="665" t="s">
        <v>399</v>
      </c>
      <c r="D423" s="666"/>
      <c r="E423" s="667" t="s">
        <v>440</v>
      </c>
      <c r="F423" s="700"/>
      <c r="G423" s="701"/>
    </row>
    <row r="424" spans="1:8">
      <c r="C424" s="689" t="s">
        <v>402</v>
      </c>
      <c r="D424" s="690"/>
      <c r="E424" s="691">
        <v>3600</v>
      </c>
      <c r="F424" s="692"/>
      <c r="G424" s="143" t="s">
        <v>250</v>
      </c>
    </row>
    <row r="425" spans="1:8">
      <c r="C425" s="681" t="s">
        <v>404</v>
      </c>
      <c r="D425" s="682"/>
      <c r="E425" s="693">
        <v>320</v>
      </c>
      <c r="F425" s="688"/>
      <c r="G425" s="144" t="s">
        <v>351</v>
      </c>
    </row>
    <row r="426" spans="1:8">
      <c r="C426" s="681" t="s">
        <v>406</v>
      </c>
      <c r="D426" s="682"/>
      <c r="E426" s="693">
        <v>480</v>
      </c>
      <c r="F426" s="688"/>
      <c r="G426" s="144" t="s">
        <v>351</v>
      </c>
    </row>
    <row r="427" spans="1:8">
      <c r="C427" s="681" t="s">
        <v>408</v>
      </c>
      <c r="D427" s="682"/>
      <c r="E427" s="681">
        <v>9</v>
      </c>
      <c r="F427" s="683"/>
      <c r="G427" s="144"/>
    </row>
    <row r="428" spans="1:8">
      <c r="C428" s="684" t="s">
        <v>409</v>
      </c>
      <c r="D428" s="685"/>
      <c r="E428" s="684">
        <v>58</v>
      </c>
      <c r="F428" s="686"/>
      <c r="G428" s="145" t="s">
        <v>361</v>
      </c>
    </row>
    <row r="429" spans="1:8">
      <c r="C429" s="681" t="s">
        <v>359</v>
      </c>
      <c r="D429" s="687"/>
      <c r="E429" s="687">
        <v>179</v>
      </c>
      <c r="F429" s="688"/>
      <c r="G429" s="144" t="s">
        <v>360</v>
      </c>
    </row>
    <row r="430" spans="1:8" ht="16.2" thickBot="1">
      <c r="C430" s="665" t="s">
        <v>355</v>
      </c>
      <c r="D430" s="666"/>
      <c r="E430" s="667">
        <v>250</v>
      </c>
      <c r="F430" s="668"/>
      <c r="G430" s="146"/>
    </row>
    <row r="431" spans="1:8">
      <c r="C431" s="89"/>
      <c r="D431" s="89"/>
      <c r="E431" s="89"/>
      <c r="F431" s="89"/>
    </row>
    <row r="432" spans="1:8">
      <c r="C432" s="89"/>
      <c r="D432" s="89"/>
      <c r="E432" s="89"/>
      <c r="F432" s="89"/>
    </row>
    <row r="433" spans="1:16">
      <c r="A433" s="2"/>
      <c r="B433" s="2"/>
      <c r="C433" s="100"/>
      <c r="D433" s="100"/>
      <c r="E433" s="100"/>
      <c r="F433" s="100"/>
      <c r="G433" s="2"/>
      <c r="H433" s="2"/>
      <c r="I433" s="2"/>
      <c r="J433" s="2"/>
      <c r="K433" s="2"/>
      <c r="L433" s="2"/>
      <c r="M433" s="2"/>
      <c r="N433" s="2"/>
      <c r="O433" s="2"/>
      <c r="P433" s="2"/>
    </row>
    <row r="434" spans="1:16">
      <c r="C434" s="89"/>
      <c r="D434" s="89"/>
      <c r="E434" s="89"/>
      <c r="F434" s="89"/>
    </row>
    <row r="435" spans="1:16" ht="16.2" thickBot="1"/>
    <row r="436" spans="1:16" ht="16.2" thickBot="1">
      <c r="B436" s="669" t="s">
        <v>441</v>
      </c>
      <c r="C436" s="670"/>
      <c r="D436" s="670"/>
      <c r="E436" s="670"/>
      <c r="F436" s="670"/>
      <c r="G436" s="670"/>
      <c r="H436" s="671"/>
    </row>
    <row r="437" spans="1:16">
      <c r="B437" s="201"/>
      <c r="C437" s="202"/>
      <c r="D437" s="202"/>
      <c r="E437" s="202"/>
      <c r="F437" s="202"/>
      <c r="G437" s="202"/>
      <c r="H437" s="202"/>
    </row>
    <row r="438" spans="1:16">
      <c r="B438" s="203"/>
    </row>
    <row r="439" spans="1:16">
      <c r="B439" s="203"/>
    </row>
    <row r="440" spans="1:16">
      <c r="B440" s="203"/>
    </row>
    <row r="441" spans="1:16">
      <c r="B441" s="203"/>
    </row>
    <row r="442" spans="1:16">
      <c r="B442" s="203"/>
    </row>
    <row r="443" spans="1:16">
      <c r="B443" s="203"/>
    </row>
    <row r="444" spans="1:16">
      <c r="B444" s="203"/>
    </row>
    <row r="445" spans="1:16">
      <c r="B445" s="203"/>
    </row>
    <row r="446" spans="1:16">
      <c r="B446" s="203"/>
    </row>
    <row r="447" spans="1:16">
      <c r="B447" s="203"/>
    </row>
    <row r="448" spans="1:16" ht="16.2" thickBot="1">
      <c r="B448" s="192"/>
      <c r="C448" s="193"/>
      <c r="D448" s="193"/>
      <c r="E448" s="193"/>
      <c r="F448" s="193"/>
      <c r="G448" s="193"/>
      <c r="H448" s="193"/>
    </row>
    <row r="449" spans="1:9">
      <c r="B449" s="672"/>
      <c r="C449" s="673"/>
      <c r="D449" s="673"/>
      <c r="E449" s="673"/>
      <c r="F449" s="673"/>
      <c r="G449" s="673"/>
      <c r="H449" s="674"/>
    </row>
    <row r="450" spans="1:9">
      <c r="B450" s="675"/>
      <c r="C450" s="676"/>
      <c r="D450" s="676"/>
      <c r="E450" s="676"/>
      <c r="F450" s="676"/>
      <c r="G450" s="676"/>
      <c r="H450" s="677"/>
    </row>
    <row r="451" spans="1:9">
      <c r="B451" s="675"/>
      <c r="C451" s="676"/>
      <c r="D451" s="676"/>
      <c r="E451" s="676"/>
      <c r="F451" s="676"/>
      <c r="G451" s="676"/>
      <c r="H451" s="677"/>
    </row>
    <row r="452" spans="1:9">
      <c r="B452" s="675"/>
      <c r="C452" s="676"/>
      <c r="D452" s="676"/>
      <c r="E452" s="676"/>
      <c r="F452" s="676"/>
      <c r="G452" s="676"/>
      <c r="H452" s="677"/>
    </row>
    <row r="453" spans="1:9" ht="16.2" thickBot="1">
      <c r="B453" s="678"/>
      <c r="C453" s="679"/>
      <c r="D453" s="679"/>
      <c r="E453" s="679"/>
      <c r="F453" s="679"/>
      <c r="G453" s="679"/>
      <c r="H453" s="680"/>
    </row>
    <row r="454" spans="1:9" ht="16.2" thickBot="1">
      <c r="B454" s="192"/>
      <c r="C454" s="193"/>
      <c r="D454" s="193"/>
      <c r="E454" s="193"/>
      <c r="F454" s="193"/>
      <c r="G454" s="193"/>
      <c r="H454" s="193"/>
    </row>
    <row r="455" spans="1:9" ht="16.2" thickBot="1"/>
    <row r="456" spans="1:9" ht="16.2" thickBot="1">
      <c r="A456" s="669" t="s">
        <v>411</v>
      </c>
      <c r="B456" s="670"/>
      <c r="C456" s="670"/>
      <c r="D456" s="670"/>
      <c r="E456" s="670"/>
      <c r="F456" s="670"/>
      <c r="G456" s="670"/>
      <c r="H456" s="670"/>
      <c r="I456" s="671"/>
    </row>
    <row r="457" spans="1:9" ht="16.2" thickBot="1"/>
    <row r="458" spans="1:9">
      <c r="A458" s="147" t="s">
        <v>412</v>
      </c>
      <c r="B458" s="148">
        <f>E424</f>
        <v>3600</v>
      </c>
      <c r="C458" s="149" t="s">
        <v>258</v>
      </c>
      <c r="F458" s="150" t="s">
        <v>413</v>
      </c>
      <c r="G458" s="151"/>
      <c r="H458" s="152"/>
    </row>
    <row r="459" spans="1:9" ht="16.2" thickBot="1">
      <c r="A459" s="156"/>
      <c r="B459" s="157">
        <f>B458*Z8</f>
        <v>4825.7280000000001</v>
      </c>
      <c r="C459" s="158" t="s">
        <v>252</v>
      </c>
      <c r="F459" s="159" t="s">
        <v>398</v>
      </c>
      <c r="G459" s="3" t="s">
        <v>63</v>
      </c>
      <c r="H459" s="160" t="s">
        <v>415</v>
      </c>
    </row>
    <row r="460" spans="1:9" ht="16.2">
      <c r="A460" s="164" t="s">
        <v>417</v>
      </c>
      <c r="B460" s="165" t="s">
        <v>418</v>
      </c>
      <c r="C460" s="166"/>
      <c r="F460" s="159" t="s">
        <v>336</v>
      </c>
      <c r="G460" s="3" t="s">
        <v>63</v>
      </c>
      <c r="H460" s="160" t="s">
        <v>438</v>
      </c>
    </row>
    <row r="461" spans="1:9">
      <c r="A461" s="168"/>
      <c r="B461" s="169">
        <f>B458*0.85</f>
        <v>3060</v>
      </c>
      <c r="C461" s="170" t="s">
        <v>258</v>
      </c>
      <c r="F461" s="159" t="s">
        <v>420</v>
      </c>
      <c r="G461" s="3" t="s">
        <v>63</v>
      </c>
      <c r="H461" s="160">
        <v>2217.8000000000002</v>
      </c>
      <c r="I461" s="1" t="s">
        <v>250</v>
      </c>
    </row>
    <row r="462" spans="1:9" ht="16.2" thickBot="1">
      <c r="A462" s="171"/>
      <c r="B462" s="172">
        <f>B461*Z8</f>
        <v>4101.8687999999993</v>
      </c>
      <c r="C462" s="173" t="s">
        <v>252</v>
      </c>
      <c r="F462" s="159" t="s">
        <v>421</v>
      </c>
      <c r="G462" s="3" t="s">
        <v>63</v>
      </c>
      <c r="H462" s="204">
        <v>4.9569999999999999</v>
      </c>
    </row>
    <row r="463" spans="1:9">
      <c r="A463" s="174" t="s">
        <v>307</v>
      </c>
      <c r="B463" s="175" t="s">
        <v>424</v>
      </c>
      <c r="C463" s="176"/>
      <c r="F463" s="159" t="s">
        <v>423</v>
      </c>
      <c r="G463" s="3" t="s">
        <v>63</v>
      </c>
      <c r="H463" s="160">
        <v>750</v>
      </c>
    </row>
    <row r="464" spans="1:9">
      <c r="A464" s="180"/>
      <c r="B464" s="181">
        <f>B461*0.98</f>
        <v>2998.7999999999997</v>
      </c>
      <c r="C464" s="170" t="s">
        <v>258</v>
      </c>
      <c r="F464" s="159" t="s">
        <v>409</v>
      </c>
      <c r="G464" s="3" t="s">
        <v>63</v>
      </c>
      <c r="H464" s="160">
        <v>4500</v>
      </c>
      <c r="I464" s="1" t="s">
        <v>426</v>
      </c>
    </row>
    <row r="465" spans="1:8" ht="16.2" thickBot="1">
      <c r="A465" s="156"/>
      <c r="B465" s="189">
        <f>B464*Z8</f>
        <v>4019.8314239999995</v>
      </c>
      <c r="C465" s="158" t="s">
        <v>252</v>
      </c>
      <c r="F465" s="184" t="s">
        <v>427</v>
      </c>
      <c r="G465" s="185" t="s">
        <v>63</v>
      </c>
      <c r="H465" s="186">
        <f>E430/H462</f>
        <v>50.433730078676618</v>
      </c>
    </row>
    <row r="466" spans="1:8" ht="16.2" thickBot="1">
      <c r="A466" s="198"/>
      <c r="B466" s="199"/>
      <c r="C466" s="200"/>
    </row>
    <row r="467" spans="1:8">
      <c r="A467" s="147" t="s">
        <v>261</v>
      </c>
      <c r="B467" s="165" t="s">
        <v>428</v>
      </c>
      <c r="C467" s="149"/>
    </row>
    <row r="468" spans="1:8">
      <c r="A468" s="180"/>
      <c r="B468" s="169">
        <f>B464*0.98</f>
        <v>2938.8239999999996</v>
      </c>
      <c r="C468" s="170" t="s">
        <v>258</v>
      </c>
    </row>
    <row r="469" spans="1:8" ht="16.2" thickBot="1">
      <c r="A469" s="183"/>
      <c r="B469" s="172">
        <f>B468*Z8</f>
        <v>3939.4347955199992</v>
      </c>
      <c r="C469" s="173" t="s">
        <v>252</v>
      </c>
    </row>
    <row r="470" spans="1:8">
      <c r="A470" s="174" t="s">
        <v>256</v>
      </c>
      <c r="B470" s="175" t="s">
        <v>431</v>
      </c>
      <c r="C470" s="176"/>
    </row>
    <row r="471" spans="1:8">
      <c r="A471" s="180"/>
      <c r="B471" s="181">
        <f>B468*B62</f>
        <v>1953.338352</v>
      </c>
      <c r="C471" s="170" t="s">
        <v>258</v>
      </c>
    </row>
    <row r="472" spans="1:8" ht="16.2" thickBot="1">
      <c r="A472" s="156"/>
      <c r="B472" s="189">
        <f>B471*Z8</f>
        <v>2618.4109940889598</v>
      </c>
      <c r="C472" s="158" t="s">
        <v>252</v>
      </c>
    </row>
    <row r="473" spans="1:8">
      <c r="A473" s="147" t="s">
        <v>432</v>
      </c>
      <c r="B473" s="165" t="s">
        <v>433</v>
      </c>
      <c r="C473" s="149"/>
    </row>
    <row r="474" spans="1:8">
      <c r="A474" s="180"/>
      <c r="B474" s="181">
        <f>B471*C47</f>
        <v>2248.171240339394</v>
      </c>
      <c r="C474" s="170" t="s">
        <v>258</v>
      </c>
    </row>
    <row r="475" spans="1:8" ht="16.2" thickBot="1">
      <c r="A475" s="183"/>
      <c r="B475" s="172">
        <f>B474*Z8</f>
        <v>3013.6285842501507</v>
      </c>
      <c r="C475" s="173" t="s">
        <v>252</v>
      </c>
    </row>
  </sheetData>
  <mergeCells count="222">
    <mergeCell ref="B24:I26"/>
    <mergeCell ref="K24:R26"/>
    <mergeCell ref="E27:I28"/>
    <mergeCell ref="N27:R28"/>
    <mergeCell ref="B37:F38"/>
    <mergeCell ref="K37:O38"/>
    <mergeCell ref="A1:R1"/>
    <mergeCell ref="C2:F2"/>
    <mergeCell ref="L2:P2"/>
    <mergeCell ref="A15:I16"/>
    <mergeCell ref="J15:R16"/>
    <mergeCell ref="F18:I18"/>
    <mergeCell ref="O18:R18"/>
    <mergeCell ref="A56:I57"/>
    <mergeCell ref="J56:R57"/>
    <mergeCell ref="A65:I66"/>
    <mergeCell ref="J65:R66"/>
    <mergeCell ref="A72:H73"/>
    <mergeCell ref="J72:Q73"/>
    <mergeCell ref="B41:I41"/>
    <mergeCell ref="K41:R41"/>
    <mergeCell ref="E44:I44"/>
    <mergeCell ref="N44:R44"/>
    <mergeCell ref="A50:I51"/>
    <mergeCell ref="J50:R51"/>
    <mergeCell ref="A97:I99"/>
    <mergeCell ref="J97:R99"/>
    <mergeCell ref="A109:R109"/>
    <mergeCell ref="A111:R111"/>
    <mergeCell ref="R113:V113"/>
    <mergeCell ref="B114:D114"/>
    <mergeCell ref="R114:S114"/>
    <mergeCell ref="T114:V114"/>
    <mergeCell ref="A76:I80"/>
    <mergeCell ref="J76:R80"/>
    <mergeCell ref="A87:I88"/>
    <mergeCell ref="J87:R88"/>
    <mergeCell ref="A91:I92"/>
    <mergeCell ref="J91:R92"/>
    <mergeCell ref="C118:D118"/>
    <mergeCell ref="R118:S118"/>
    <mergeCell ref="T118:U118"/>
    <mergeCell ref="R119:S119"/>
    <mergeCell ref="T119:U119"/>
    <mergeCell ref="B126:D126"/>
    <mergeCell ref="C115:D115"/>
    <mergeCell ref="T115:V115"/>
    <mergeCell ref="C116:D116"/>
    <mergeCell ref="T116:U116"/>
    <mergeCell ref="C117:D117"/>
    <mergeCell ref="R117:S117"/>
    <mergeCell ref="T117:U117"/>
    <mergeCell ref="C149:D149"/>
    <mergeCell ref="R149:V155"/>
    <mergeCell ref="C150:D150"/>
    <mergeCell ref="C151:D151"/>
    <mergeCell ref="C152:D152"/>
    <mergeCell ref="B160:D160"/>
    <mergeCell ref="AG129:AH129"/>
    <mergeCell ref="AG130:AH130"/>
    <mergeCell ref="C136:D136"/>
    <mergeCell ref="C137:D137"/>
    <mergeCell ref="B148:D148"/>
    <mergeCell ref="R148:V148"/>
    <mergeCell ref="C180:D180"/>
    <mergeCell ref="X180:Y180"/>
    <mergeCell ref="C181:D181"/>
    <mergeCell ref="V181:W181"/>
    <mergeCell ref="X181:Y181"/>
    <mergeCell ref="C182:D182"/>
    <mergeCell ref="V182:W182"/>
    <mergeCell ref="X182:Y182"/>
    <mergeCell ref="C170:D170"/>
    <mergeCell ref="C171:D171"/>
    <mergeCell ref="V177:Z177"/>
    <mergeCell ref="V178:W178"/>
    <mergeCell ref="X178:Z178"/>
    <mergeCell ref="B179:D179"/>
    <mergeCell ref="X179:Z179"/>
    <mergeCell ref="AB214:AF214"/>
    <mergeCell ref="B215:D215"/>
    <mergeCell ref="AB215:AC215"/>
    <mergeCell ref="AD215:AF215"/>
    <mergeCell ref="C216:D216"/>
    <mergeCell ref="AD216:AF216"/>
    <mergeCell ref="C183:D183"/>
    <mergeCell ref="V183:W183"/>
    <mergeCell ref="X183:Y183"/>
    <mergeCell ref="B191:D191"/>
    <mergeCell ref="C201:D201"/>
    <mergeCell ref="C202:D202"/>
    <mergeCell ref="AB220:AC220"/>
    <mergeCell ref="AD220:AE220"/>
    <mergeCell ref="B227:D227"/>
    <mergeCell ref="C237:D237"/>
    <mergeCell ref="C238:D238"/>
    <mergeCell ref="A308:I308"/>
    <mergeCell ref="C217:D217"/>
    <mergeCell ref="AD217:AE217"/>
    <mergeCell ref="C218:D218"/>
    <mergeCell ref="AB218:AC218"/>
    <mergeCell ref="AD218:AE218"/>
    <mergeCell ref="C219:D219"/>
    <mergeCell ref="AB219:AC219"/>
    <mergeCell ref="AD219:AE219"/>
    <mergeCell ref="C313:D313"/>
    <mergeCell ref="E313:F313"/>
    <mergeCell ref="H313:I313"/>
    <mergeCell ref="C314:D314"/>
    <mergeCell ref="E314:F314"/>
    <mergeCell ref="H314:I314"/>
    <mergeCell ref="B309:H309"/>
    <mergeCell ref="C310:G310"/>
    <mergeCell ref="C311:D311"/>
    <mergeCell ref="E311:G311"/>
    <mergeCell ref="C312:D312"/>
    <mergeCell ref="E312:G312"/>
    <mergeCell ref="H312:I312"/>
    <mergeCell ref="C318:D318"/>
    <mergeCell ref="E318:F318"/>
    <mergeCell ref="C319:D319"/>
    <mergeCell ref="E319:F319"/>
    <mergeCell ref="B321:H321"/>
    <mergeCell ref="B322:H333"/>
    <mergeCell ref="C315:D315"/>
    <mergeCell ref="E315:F315"/>
    <mergeCell ref="H315:I315"/>
    <mergeCell ref="C316:D316"/>
    <mergeCell ref="E316:F316"/>
    <mergeCell ref="C317:D317"/>
    <mergeCell ref="E317:F317"/>
    <mergeCell ref="H349:I349"/>
    <mergeCell ref="L349:M349"/>
    <mergeCell ref="O349:P349"/>
    <mergeCell ref="B334:H341"/>
    <mergeCell ref="A343:I343"/>
    <mergeCell ref="L345:M345"/>
    <mergeCell ref="L346:M346"/>
    <mergeCell ref="R346:Z346"/>
    <mergeCell ref="L347:M347"/>
    <mergeCell ref="O347:P347"/>
    <mergeCell ref="Y347:Z347"/>
    <mergeCell ref="L350:M350"/>
    <mergeCell ref="O350:P350"/>
    <mergeCell ref="L352:P352"/>
    <mergeCell ref="L353:M353"/>
    <mergeCell ref="N353:P353"/>
    <mergeCell ref="R353:R354"/>
    <mergeCell ref="L348:M348"/>
    <mergeCell ref="O348:P348"/>
    <mergeCell ref="Y348:Z348"/>
    <mergeCell ref="L357:M357"/>
    <mergeCell ref="N357:O357"/>
    <mergeCell ref="L358:M358"/>
    <mergeCell ref="N358:O358"/>
    <mergeCell ref="L360:P360"/>
    <mergeCell ref="L361:M361"/>
    <mergeCell ref="N361:P361"/>
    <mergeCell ref="X353:X354"/>
    <mergeCell ref="Y353:Z354"/>
    <mergeCell ref="N354:O354"/>
    <mergeCell ref="N355:O355"/>
    <mergeCell ref="L356:M356"/>
    <mergeCell ref="N356:O356"/>
    <mergeCell ref="L366:M366"/>
    <mergeCell ref="N366:O366"/>
    <mergeCell ref="C367:D367"/>
    <mergeCell ref="E367:G367"/>
    <mergeCell ref="H367:I367"/>
    <mergeCell ref="N362:O362"/>
    <mergeCell ref="N363:O363"/>
    <mergeCell ref="B364:H364"/>
    <mergeCell ref="L364:M364"/>
    <mergeCell ref="N364:O364"/>
    <mergeCell ref="C365:G365"/>
    <mergeCell ref="L365:M365"/>
    <mergeCell ref="N365:O365"/>
    <mergeCell ref="C368:D368"/>
    <mergeCell ref="E368:F368"/>
    <mergeCell ref="H368:I368"/>
    <mergeCell ref="C369:D369"/>
    <mergeCell ref="E369:F369"/>
    <mergeCell ref="H369:I369"/>
    <mergeCell ref="C366:D366"/>
    <mergeCell ref="E366:G366"/>
    <mergeCell ref="H366:I366"/>
    <mergeCell ref="C373:D373"/>
    <mergeCell ref="C374:D374"/>
    <mergeCell ref="E374:F374"/>
    <mergeCell ref="B376:H376"/>
    <mergeCell ref="B377:H388"/>
    <mergeCell ref="B389:H393"/>
    <mergeCell ref="C370:D370"/>
    <mergeCell ref="E370:F370"/>
    <mergeCell ref="C371:D371"/>
    <mergeCell ref="E371:F371"/>
    <mergeCell ref="C372:D372"/>
    <mergeCell ref="E372:F372"/>
    <mergeCell ref="C424:D424"/>
    <mergeCell ref="E424:F424"/>
    <mergeCell ref="C425:D425"/>
    <mergeCell ref="E425:F425"/>
    <mergeCell ref="C426:D426"/>
    <mergeCell ref="E426:F426"/>
    <mergeCell ref="A399:I399"/>
    <mergeCell ref="B420:H420"/>
    <mergeCell ref="C421:G421"/>
    <mergeCell ref="C422:D422"/>
    <mergeCell ref="E422:G422"/>
    <mergeCell ref="C423:D423"/>
    <mergeCell ref="E423:G423"/>
    <mergeCell ref="C430:D430"/>
    <mergeCell ref="E430:F430"/>
    <mergeCell ref="B436:H436"/>
    <mergeCell ref="B449:H453"/>
    <mergeCell ref="A456:I456"/>
    <mergeCell ref="C427:D427"/>
    <mergeCell ref="E427:F427"/>
    <mergeCell ref="C428:D428"/>
    <mergeCell ref="E428:F428"/>
    <mergeCell ref="C429:D429"/>
    <mergeCell ref="E429:F429"/>
  </mergeCells>
  <pageMargins left="0.7" right="0.7" top="0.75" bottom="0.75" header="0.3" footer="0.3"/>
  <pageSetup scale="84" orientation="portrait" r:id="rId1"/>
  <rowBreaks count="2" manualBreakCount="2">
    <brk id="52" max="35" man="1"/>
    <brk id="104" max="16383" man="1"/>
  </rowBreaks>
  <colBreaks count="1" manualBreakCount="1">
    <brk id="9" max="1048575" man="1"/>
  </colBreaks>
  <drawing r:id="rId2"/>
  <legacyDrawing r:id="rId3"/>
  <oleObjects>
    <mc:AlternateContent xmlns:mc="http://schemas.openxmlformats.org/markup-compatibility/2006">
      <mc:Choice Requires="x14">
        <oleObject progId="Equation.3" shapeId="4097" r:id="rId4">
          <objectPr defaultSize="0" autoPict="0" r:id="rId5">
            <anchor moveWithCells="1" sizeWithCells="1">
              <from>
                <xdr:col>3</xdr:col>
                <xdr:colOff>0</xdr:colOff>
                <xdr:row>24</xdr:row>
                <xdr:rowOff>0</xdr:rowOff>
              </from>
              <to>
                <xdr:col>3</xdr:col>
                <xdr:colOff>114300</xdr:colOff>
                <xdr:row>25</xdr:row>
                <xdr:rowOff>30480</xdr:rowOff>
              </to>
            </anchor>
          </objectPr>
        </oleObject>
      </mc:Choice>
      <mc:Fallback>
        <oleObject progId="Equation.3" shapeId="4097" r:id="rId4"/>
      </mc:Fallback>
    </mc:AlternateContent>
    <mc:AlternateContent xmlns:mc="http://schemas.openxmlformats.org/markup-compatibility/2006">
      <mc:Choice Requires="x14">
        <oleObject progId="Equation.3" shapeId="4099" r:id="rId6">
          <objectPr defaultSize="0" autoPict="0" altText="" r:id="rId5">
            <anchor moveWithCells="1" sizeWithCells="1">
              <from>
                <xdr:col>4</xdr:col>
                <xdr:colOff>0</xdr:colOff>
                <xdr:row>19</xdr:row>
                <xdr:rowOff>0</xdr:rowOff>
              </from>
              <to>
                <xdr:col>4</xdr:col>
                <xdr:colOff>114300</xdr:colOff>
                <xdr:row>20</xdr:row>
                <xdr:rowOff>30480</xdr:rowOff>
              </to>
            </anchor>
          </objectPr>
        </oleObject>
      </mc:Choice>
      <mc:Fallback>
        <oleObject progId="Equation.3" shapeId="4099" r:id="rId6"/>
      </mc:Fallback>
    </mc:AlternateContent>
    <mc:AlternateContent xmlns:mc="http://schemas.openxmlformats.org/markup-compatibility/2006">
      <mc:Choice Requires="x14">
        <oleObject progId="Equation.3" shapeId="4098" r:id="rId7">
          <objectPr defaultSize="0" autoPict="0" r:id="rId5">
            <anchor moveWithCells="1" sizeWithCells="1">
              <from>
                <xdr:col>12</xdr:col>
                <xdr:colOff>0</xdr:colOff>
                <xdr:row>24</xdr:row>
                <xdr:rowOff>0</xdr:rowOff>
              </from>
              <to>
                <xdr:col>12</xdr:col>
                <xdr:colOff>114300</xdr:colOff>
                <xdr:row>25</xdr:row>
                <xdr:rowOff>30480</xdr:rowOff>
              </to>
            </anchor>
          </objectPr>
        </oleObject>
      </mc:Choice>
      <mc:Fallback>
        <oleObject progId="Equation.3" shapeId="4098" r:id="rId7"/>
      </mc:Fallback>
    </mc:AlternateContent>
    <mc:AlternateContent xmlns:mc="http://schemas.openxmlformats.org/markup-compatibility/2006">
      <mc:Choice Requires="x14">
        <oleObject progId="Equation.3" shapeId="4100" r:id="rId8">
          <objectPr defaultSize="0" autoPict="0" altText="" r:id="rId5">
            <anchor moveWithCells="1" sizeWithCells="1">
              <from>
                <xdr:col>13</xdr:col>
                <xdr:colOff>0</xdr:colOff>
                <xdr:row>19</xdr:row>
                <xdr:rowOff>0</xdr:rowOff>
              </from>
              <to>
                <xdr:col>13</xdr:col>
                <xdr:colOff>114300</xdr:colOff>
                <xdr:row>20</xdr:row>
                <xdr:rowOff>30480</xdr:rowOff>
              </to>
            </anchor>
          </objectPr>
        </oleObject>
      </mc:Choice>
      <mc:Fallback>
        <oleObject progId="Equation.3" shapeId="4100" r:id="rId8"/>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D747-E9F5-41EB-AC89-C4E39F720233}">
  <dimension ref="A1:BR278"/>
  <sheetViews>
    <sheetView showWhiteSpace="0" zoomScaleNormal="100" zoomScaleSheetLayoutView="85" zoomScalePageLayoutView="85" workbookViewId="0">
      <selection activeCell="N180" sqref="N180:T195"/>
    </sheetView>
  </sheetViews>
  <sheetFormatPr defaultColWidth="9.109375" defaultRowHeight="14.4"/>
  <cols>
    <col min="1" max="1" width="9.109375" style="229"/>
    <col min="2" max="2" width="9.109375" style="229" customWidth="1"/>
    <col min="3" max="3" width="10.109375" style="229" customWidth="1"/>
    <col min="4" max="4" width="9.109375" style="229"/>
    <col min="5" max="5" width="11.109375" style="229" bestFit="1" customWidth="1"/>
    <col min="6" max="6" width="11" style="229" customWidth="1"/>
    <col min="7" max="7" width="10.109375" style="229" customWidth="1"/>
    <col min="8" max="10" width="9.109375" style="229"/>
    <col min="11" max="11" width="11.5546875" style="229" customWidth="1"/>
    <col min="12" max="16384" width="9.109375" style="229"/>
  </cols>
  <sheetData>
    <row r="1" spans="1:19">
      <c r="A1" s="781" t="s">
        <v>465</v>
      </c>
      <c r="B1" s="781"/>
      <c r="C1" s="781"/>
      <c r="D1" s="781"/>
      <c r="E1" s="781"/>
      <c r="F1" s="781"/>
      <c r="G1" s="781"/>
      <c r="H1" s="781"/>
      <c r="I1" s="781"/>
      <c r="K1" s="230" t="s">
        <v>466</v>
      </c>
      <c r="L1" s="231"/>
      <c r="M1" s="231"/>
      <c r="N1" s="232"/>
    </row>
    <row r="2" spans="1:19" ht="15.6">
      <c r="C2" s="233" t="s">
        <v>399</v>
      </c>
      <c r="D2" s="233" t="s">
        <v>467</v>
      </c>
      <c r="E2" s="233" t="s">
        <v>468</v>
      </c>
      <c r="F2" s="233" t="s">
        <v>469</v>
      </c>
      <c r="G2" s="233" t="s">
        <v>470</v>
      </c>
      <c r="K2" s="234" t="s">
        <v>471</v>
      </c>
      <c r="L2" s="235"/>
      <c r="M2" s="236" t="s">
        <v>2</v>
      </c>
      <c r="N2" s="237"/>
      <c r="O2" s="238"/>
      <c r="P2" s="239" t="s">
        <v>336</v>
      </c>
      <c r="Q2" s="239" t="s">
        <v>472</v>
      </c>
      <c r="R2" s="240" t="s">
        <v>473</v>
      </c>
      <c r="S2" s="241" t="s">
        <v>474</v>
      </c>
    </row>
    <row r="3" spans="1:19">
      <c r="C3" s="242" t="s">
        <v>475</v>
      </c>
      <c r="D3" s="243">
        <v>4.072925285668588</v>
      </c>
      <c r="E3" s="243">
        <v>0.74546298220162577</v>
      </c>
      <c r="F3" s="244">
        <v>0.55160085964391181</v>
      </c>
      <c r="G3" s="245">
        <v>2.5944375259443757</v>
      </c>
      <c r="H3" s="229">
        <f>E3*D3</f>
        <v>3.0362150297389143</v>
      </c>
      <c r="K3" s="234" t="s">
        <v>476</v>
      </c>
      <c r="L3" s="235"/>
      <c r="M3" s="246">
        <v>139.85</v>
      </c>
      <c r="N3" s="247" t="s">
        <v>477</v>
      </c>
      <c r="O3" s="238"/>
      <c r="P3" s="248" t="s">
        <v>475</v>
      </c>
      <c r="Q3" s="248">
        <v>4.072925285668588</v>
      </c>
      <c r="R3" s="248">
        <v>0.74546298220162577</v>
      </c>
      <c r="S3" s="248">
        <v>0.55160085964391181</v>
      </c>
    </row>
    <row r="4" spans="1:19">
      <c r="K4" s="234" t="s">
        <v>478</v>
      </c>
      <c r="L4" s="235"/>
      <c r="M4" s="246">
        <v>23.535</v>
      </c>
      <c r="N4" s="247" t="s">
        <v>477</v>
      </c>
      <c r="O4" s="238"/>
      <c r="P4" s="248" t="s">
        <v>479</v>
      </c>
      <c r="Q4" s="249">
        <v>3.9553771378309088</v>
      </c>
      <c r="R4" s="249">
        <v>0.77444555848931595</v>
      </c>
      <c r="S4" s="249">
        <v>0.55218321556960459</v>
      </c>
    </row>
    <row r="5" spans="1:19">
      <c r="A5" s="781" t="s">
        <v>480</v>
      </c>
      <c r="B5" s="781"/>
      <c r="C5" s="781"/>
      <c r="D5" s="781"/>
      <c r="E5" s="781"/>
      <c r="F5" s="781"/>
      <c r="G5" s="781"/>
      <c r="H5" s="781"/>
      <c r="I5" s="781"/>
      <c r="K5" s="234" t="s">
        <v>481</v>
      </c>
      <c r="L5" s="235"/>
      <c r="M5" s="246">
        <v>9.0500000000000007</v>
      </c>
      <c r="N5" s="247" t="s">
        <v>477</v>
      </c>
      <c r="O5" s="238"/>
      <c r="P5" s="248" t="s">
        <v>482</v>
      </c>
      <c r="Q5" s="249">
        <v>4.2157371133534465</v>
      </c>
      <c r="R5" s="249">
        <v>0.72212029246643061</v>
      </c>
      <c r="S5" s="249">
        <v>0.54383348436792034</v>
      </c>
    </row>
    <row r="6" spans="1:19" ht="16.2">
      <c r="C6" s="250" t="s">
        <v>483</v>
      </c>
      <c r="D6" s="782" t="s">
        <v>484</v>
      </c>
      <c r="E6" s="783"/>
      <c r="F6" s="784"/>
      <c r="K6" s="234" t="s">
        <v>485</v>
      </c>
      <c r="L6" s="235"/>
      <c r="M6" s="246">
        <v>13</v>
      </c>
      <c r="N6" s="247" t="s">
        <v>11</v>
      </c>
      <c r="O6" s="251"/>
      <c r="P6" s="248" t="s">
        <v>486</v>
      </c>
      <c r="Q6" s="249">
        <v>3.9441916153603307</v>
      </c>
      <c r="R6" s="249">
        <v>0.79245647960017751</v>
      </c>
      <c r="S6" s="249">
        <v>0.53868370938290244</v>
      </c>
    </row>
    <row r="7" spans="1:19">
      <c r="C7" s="252"/>
      <c r="D7" s="253"/>
      <c r="E7" s="253"/>
      <c r="F7" s="253"/>
      <c r="G7" s="253"/>
      <c r="K7" s="234" t="s">
        <v>487</v>
      </c>
      <c r="L7" s="235"/>
      <c r="M7" s="254">
        <f>0.7*M8</f>
        <v>0.236565</v>
      </c>
      <c r="N7" s="247"/>
      <c r="O7" s="251"/>
      <c r="P7" s="248" t="s">
        <v>488</v>
      </c>
      <c r="Q7" s="249">
        <v>3.7932537450875112</v>
      </c>
      <c r="R7" s="249">
        <v>0.85000000000000009</v>
      </c>
      <c r="S7" s="249">
        <v>0.52373315362191641</v>
      </c>
    </row>
    <row r="8" spans="1:19">
      <c r="A8" s="255" t="s">
        <v>489</v>
      </c>
      <c r="B8" s="233" t="s">
        <v>490</v>
      </c>
      <c r="C8" s="256" t="s">
        <v>491</v>
      </c>
      <c r="D8" s="256" t="s">
        <v>492</v>
      </c>
      <c r="E8" s="233" t="s">
        <v>493</v>
      </c>
      <c r="F8" s="257" t="s">
        <v>494</v>
      </c>
      <c r="G8" s="255" t="s">
        <v>495</v>
      </c>
      <c r="H8" s="255" t="s">
        <v>496</v>
      </c>
      <c r="K8" s="234" t="s">
        <v>497</v>
      </c>
      <c r="L8" s="235"/>
      <c r="M8" s="258">
        <v>0.33795000000000003</v>
      </c>
      <c r="N8" s="247"/>
      <c r="O8" s="251"/>
      <c r="P8" s="248" t="s">
        <v>498</v>
      </c>
      <c r="Q8" s="249">
        <v>3.8814689484616394</v>
      </c>
      <c r="R8" s="249">
        <v>0.80600591385201636</v>
      </c>
      <c r="S8" s="249">
        <v>0.54134945891866459</v>
      </c>
    </row>
    <row r="9" spans="1:19" ht="16.2">
      <c r="A9" s="259">
        <v>14</v>
      </c>
      <c r="B9" s="260">
        <f t="shared" ref="B9:B14" si="0">A9*0.51444</f>
        <v>7.2021600000000001</v>
      </c>
      <c r="C9" s="258">
        <v>364.4</v>
      </c>
      <c r="D9" s="261">
        <f t="shared" ref="D9:D14" si="1">120%*C9</f>
        <v>437.28</v>
      </c>
      <c r="E9" s="262">
        <f t="shared" ref="E9:E14" si="2">(2*C9)/(1.025*$M$9*B9^2)</f>
        <v>2.8082009620500514E-3</v>
      </c>
      <c r="F9" s="261">
        <f t="shared" ref="F9:F14" si="3">(2*D9)/(1.025*$M$9*B9^2)</f>
        <v>3.3698411544600617E-3</v>
      </c>
      <c r="G9" s="263">
        <f>(0.5*E9*$M$9)/((1-$M$7)*((1-$M$8)^2)*$D$3^2)</f>
        <v>1.2347028180244493</v>
      </c>
      <c r="H9" s="264">
        <f>(0.5*F9*$M$9)/((1-$M$7)*((1-$M$8)^2)*$D$3^2)</f>
        <v>1.4816433816293391</v>
      </c>
      <c r="K9" s="234" t="s">
        <v>499</v>
      </c>
      <c r="L9" s="235"/>
      <c r="M9" s="243">
        <v>4881.2470000000003</v>
      </c>
      <c r="N9" s="247" t="s">
        <v>500</v>
      </c>
      <c r="O9" s="251"/>
      <c r="P9" s="251" t="s">
        <v>501</v>
      </c>
      <c r="Q9" s="251">
        <v>3.8071700540091324</v>
      </c>
      <c r="R9" s="229">
        <v>0.85000000000000009</v>
      </c>
      <c r="S9" s="229">
        <v>0.5243057057447037</v>
      </c>
    </row>
    <row r="10" spans="1:19">
      <c r="A10" s="265">
        <v>13</v>
      </c>
      <c r="B10" s="266">
        <f t="shared" si="0"/>
        <v>6.6877200000000006</v>
      </c>
      <c r="C10" s="267">
        <v>296.89999999999998</v>
      </c>
      <c r="D10" s="268">
        <f t="shared" si="1"/>
        <v>356.28</v>
      </c>
      <c r="E10" s="269">
        <f t="shared" si="2"/>
        <v>2.6535628586831783E-3</v>
      </c>
      <c r="F10" s="268">
        <f t="shared" si="3"/>
        <v>3.1842754304198142E-3</v>
      </c>
      <c r="G10" s="270">
        <f>(0.5*E10*$M$9)/((1-$M$7)*(1-$M$8)^2*$D$3^2)</f>
        <v>1.1667119211544299</v>
      </c>
      <c r="H10" s="266">
        <f>(0.5*F10*$M$9)/((1-$M$7)*((1-$M$8)^2)*$D$3^2)</f>
        <v>1.4000543053853161</v>
      </c>
      <c r="O10" s="251"/>
      <c r="P10" s="248" t="s">
        <v>502</v>
      </c>
      <c r="Q10" s="249">
        <v>3.83936750845792</v>
      </c>
      <c r="R10" s="249">
        <v>0.81262301233197642</v>
      </c>
      <c r="S10" s="249">
        <v>0.54507494259618494</v>
      </c>
    </row>
    <row r="11" spans="1:19">
      <c r="A11" s="259">
        <v>12</v>
      </c>
      <c r="B11" s="260">
        <f t="shared" si="0"/>
        <v>6.1732800000000001</v>
      </c>
      <c r="C11" s="258">
        <v>245.8</v>
      </c>
      <c r="D11" s="261">
        <f t="shared" si="1"/>
        <v>294.95999999999998</v>
      </c>
      <c r="E11" s="262">
        <f t="shared" si="2"/>
        <v>2.5782514656606929E-3</v>
      </c>
      <c r="F11" s="261">
        <f t="shared" si="3"/>
        <v>3.0939017587928307E-3</v>
      </c>
      <c r="G11" s="263">
        <f>(0.5*E11*$M$9)/((1-$M$7)*(1-$M$8)^2*$D$3^2)</f>
        <v>1.1335991950885835</v>
      </c>
      <c r="H11" s="264">
        <f>(0.5*F11*$M$9)/((1-$M$7)*((1-$M$8)^2)*$D$3^2)</f>
        <v>1.3603190341062998</v>
      </c>
      <c r="O11" s="251"/>
      <c r="P11" s="251" t="s">
        <v>503</v>
      </c>
      <c r="Q11" s="251">
        <v>3.7932537450875112</v>
      </c>
      <c r="R11" s="229">
        <v>0.83140516472807946</v>
      </c>
      <c r="S11" s="229">
        <v>0.534725017407226</v>
      </c>
    </row>
    <row r="12" spans="1:19">
      <c r="A12" s="259">
        <v>11</v>
      </c>
      <c r="B12" s="260">
        <f t="shared" si="0"/>
        <v>5.6588399999999996</v>
      </c>
      <c r="C12" s="258">
        <v>200.2</v>
      </c>
      <c r="D12" s="261">
        <f t="shared" si="1"/>
        <v>240.23999999999998</v>
      </c>
      <c r="E12" s="262">
        <f t="shared" si="2"/>
        <v>2.4991054964137675E-3</v>
      </c>
      <c r="F12" s="261">
        <f t="shared" si="3"/>
        <v>2.998926595696521E-3</v>
      </c>
      <c r="G12" s="263">
        <f>(0.5*E12*$M$9)/((1-$M$7)*(1-$M$8)^2*$D$3^2)</f>
        <v>1.0988004920808343</v>
      </c>
      <c r="H12" s="264">
        <f>(0.5*F12*$M$9)/((1-$M$7)*((1-$M$8)^2)*$D$3^2)</f>
        <v>1.3185605904970013</v>
      </c>
    </row>
    <row r="13" spans="1:19">
      <c r="A13" s="259">
        <v>10</v>
      </c>
      <c r="B13" s="260">
        <f t="shared" si="0"/>
        <v>5.1444000000000001</v>
      </c>
      <c r="C13" s="258">
        <v>167.5</v>
      </c>
      <c r="D13" s="271">
        <f t="shared" si="1"/>
        <v>201</v>
      </c>
      <c r="E13" s="262">
        <f t="shared" si="2"/>
        <v>2.5300010313969046E-3</v>
      </c>
      <c r="F13" s="261">
        <f t="shared" si="3"/>
        <v>3.0360012376762853E-3</v>
      </c>
      <c r="G13" s="263">
        <f>(0.5*E13*$M$9)/((1-$M$7)*(1-$M$8)^2*$D$3^2)</f>
        <v>1.1123845640983172</v>
      </c>
      <c r="H13" s="264">
        <f>(0.5*F13*$M$9)/((1-$M$7)*((1-$M$8)^2)*$D$3^2)</f>
        <v>1.3348614769179805</v>
      </c>
    </row>
    <row r="14" spans="1:19">
      <c r="A14" s="259">
        <v>9</v>
      </c>
      <c r="B14" s="260">
        <f t="shared" si="0"/>
        <v>4.6299600000000005</v>
      </c>
      <c r="C14" s="258">
        <v>134.80000000000001</v>
      </c>
      <c r="D14" s="261">
        <f t="shared" si="1"/>
        <v>161.76000000000002</v>
      </c>
      <c r="E14" s="262">
        <f t="shared" si="2"/>
        <v>2.5136844594236428E-3</v>
      </c>
      <c r="F14" s="261">
        <f t="shared" si="3"/>
        <v>3.0164213513083713E-3</v>
      </c>
      <c r="G14" s="263">
        <f>(0.5*E14*$M$9)/((1-$M$7)*(1-$M$8)^2*$D$3^2)</f>
        <v>1.1052105342948455</v>
      </c>
      <c r="H14" s="264">
        <f>(0.5*F14*$M$9)/((1-$M$7)*((1-$M$8)^2)*$D$3^2)</f>
        <v>1.3262526411538145</v>
      </c>
    </row>
    <row r="16" spans="1:19">
      <c r="A16" s="781" t="s">
        <v>504</v>
      </c>
      <c r="B16" s="781"/>
      <c r="C16" s="781"/>
      <c r="D16" s="781"/>
      <c r="E16" s="781"/>
      <c r="F16" s="781"/>
      <c r="G16" s="781"/>
      <c r="H16" s="781"/>
      <c r="I16" s="781"/>
    </row>
    <row r="17" spans="1:9" ht="16.2">
      <c r="A17" s="272" t="s">
        <v>505</v>
      </c>
      <c r="B17" s="273" t="s">
        <v>506</v>
      </c>
      <c r="C17" s="274" t="s">
        <v>63</v>
      </c>
      <c r="D17" s="275">
        <f>'[3]Propeller '!E19/(G3*D3)</f>
        <v>0.4512400580385435</v>
      </c>
      <c r="E17" s="273"/>
      <c r="F17" s="276" t="s">
        <v>507</v>
      </c>
      <c r="G17" s="277" t="s">
        <v>508</v>
      </c>
      <c r="H17" s="252" t="s">
        <v>63</v>
      </c>
      <c r="I17" s="278">
        <f>G10*(D17^2)</f>
        <v>0.2375630695848002</v>
      </c>
    </row>
    <row r="19" spans="1:9">
      <c r="B19" s="774" t="s">
        <v>509</v>
      </c>
      <c r="C19" s="775"/>
      <c r="D19" s="775"/>
      <c r="E19" s="775"/>
      <c r="F19" s="775"/>
      <c r="G19" s="775"/>
      <c r="H19" s="776"/>
    </row>
    <row r="20" spans="1:9">
      <c r="B20" s="785" t="s">
        <v>510</v>
      </c>
      <c r="C20" s="787" t="s">
        <v>511</v>
      </c>
      <c r="D20" s="788"/>
      <c r="E20" s="788"/>
      <c r="F20" s="788"/>
      <c r="G20" s="788"/>
      <c r="H20" s="789"/>
    </row>
    <row r="21" spans="1:9">
      <c r="B21" s="786"/>
      <c r="C21" s="279">
        <v>14</v>
      </c>
      <c r="D21" s="280">
        <v>13</v>
      </c>
      <c r="E21" s="279">
        <v>12</v>
      </c>
      <c r="F21" s="279">
        <v>11</v>
      </c>
      <c r="G21" s="279">
        <v>10</v>
      </c>
      <c r="H21" s="279">
        <v>9</v>
      </c>
    </row>
    <row r="22" spans="1:9">
      <c r="B22" s="250">
        <v>0</v>
      </c>
      <c r="C22" s="250">
        <f>$G$9*(B22^2)</f>
        <v>0</v>
      </c>
      <c r="D22" s="255">
        <f>$G$10*(B22^2)</f>
        <v>0</v>
      </c>
      <c r="E22" s="250">
        <f>$G$11*(B22^2)</f>
        <v>0</v>
      </c>
      <c r="F22" s="250">
        <f>$G$12*(B22^2)</f>
        <v>0</v>
      </c>
      <c r="G22" s="250">
        <f>$G$13*(B22^2)</f>
        <v>0</v>
      </c>
      <c r="H22" s="281">
        <f>$G$14*(B22^2)</f>
        <v>0</v>
      </c>
    </row>
    <row r="23" spans="1:9">
      <c r="B23" s="250">
        <v>0.1</v>
      </c>
      <c r="C23" s="250">
        <f>$G$9*(B23^2)</f>
        <v>1.2347028180244494E-2</v>
      </c>
      <c r="D23" s="255">
        <f t="shared" ref="D23:D32" si="4">$G$10*(B23^2)</f>
        <v>1.1667119211544301E-2</v>
      </c>
      <c r="E23" s="250">
        <f t="shared" ref="E23:E32" si="5">$G$11*(B23^2)</f>
        <v>1.1335991950885837E-2</v>
      </c>
      <c r="F23" s="250">
        <f t="shared" ref="F23:F32" si="6">$G$12*(B23^2)</f>
        <v>1.0988004920808345E-2</v>
      </c>
      <c r="G23" s="250">
        <f t="shared" ref="G23:G32" si="7">$G$13*(B23^2)</f>
        <v>1.1123845640983175E-2</v>
      </c>
      <c r="H23" s="281">
        <f t="shared" ref="H23:H32" si="8">$G$14*(B23^2)</f>
        <v>1.1052105342948457E-2</v>
      </c>
    </row>
    <row r="24" spans="1:9">
      <c r="B24" s="250">
        <v>0.2</v>
      </c>
      <c r="C24" s="250">
        <f t="shared" ref="C24:C32" si="9">$G$9*(B24^2)</f>
        <v>4.9388112720977977E-2</v>
      </c>
      <c r="D24" s="255">
        <f t="shared" si="4"/>
        <v>4.6668476846177205E-2</v>
      </c>
      <c r="E24" s="250">
        <f t="shared" si="5"/>
        <v>4.5343967803543349E-2</v>
      </c>
      <c r="F24" s="250">
        <f t="shared" si="6"/>
        <v>4.3952019683233381E-2</v>
      </c>
      <c r="G24" s="250">
        <f t="shared" si="7"/>
        <v>4.4495382563932699E-2</v>
      </c>
      <c r="H24" s="281">
        <f t="shared" si="8"/>
        <v>4.420842137179383E-2</v>
      </c>
    </row>
    <row r="25" spans="1:9">
      <c r="B25" s="250">
        <v>0.3</v>
      </c>
      <c r="C25" s="250">
        <f t="shared" si="9"/>
        <v>0.11112325362220044</v>
      </c>
      <c r="D25" s="255">
        <f t="shared" si="4"/>
        <v>0.10500407290389868</v>
      </c>
      <c r="E25" s="250">
        <f t="shared" si="5"/>
        <v>0.10202392755797252</v>
      </c>
      <c r="F25" s="250">
        <f t="shared" si="6"/>
        <v>9.8892044287275077E-2</v>
      </c>
      <c r="G25" s="250">
        <f t="shared" si="7"/>
        <v>0.10011461076884855</v>
      </c>
      <c r="H25" s="281">
        <f t="shared" si="8"/>
        <v>9.9468948086536085E-2</v>
      </c>
    </row>
    <row r="26" spans="1:9">
      <c r="B26" s="250">
        <v>0.4</v>
      </c>
      <c r="C26" s="250">
        <f t="shared" si="9"/>
        <v>0.19755245088391191</v>
      </c>
      <c r="D26" s="255">
        <f t="shared" si="4"/>
        <v>0.18667390738470882</v>
      </c>
      <c r="E26" s="250">
        <f t="shared" si="5"/>
        <v>0.1813758712141734</v>
      </c>
      <c r="F26" s="250">
        <f t="shared" si="6"/>
        <v>0.17580807873293353</v>
      </c>
      <c r="G26" s="250">
        <f t="shared" si="7"/>
        <v>0.1779815302557308</v>
      </c>
      <c r="H26" s="281">
        <f t="shared" si="8"/>
        <v>0.17683368548717532</v>
      </c>
    </row>
    <row r="27" spans="1:9">
      <c r="B27" s="250">
        <v>0.5</v>
      </c>
      <c r="C27" s="250">
        <f t="shared" si="9"/>
        <v>0.30867570450611231</v>
      </c>
      <c r="D27" s="255">
        <f t="shared" si="4"/>
        <v>0.29167798028860747</v>
      </c>
      <c r="E27" s="250">
        <f t="shared" si="5"/>
        <v>0.28339979877214588</v>
      </c>
      <c r="F27" s="250">
        <f t="shared" si="6"/>
        <v>0.27470012302020858</v>
      </c>
      <c r="G27" s="250">
        <f t="shared" si="7"/>
        <v>0.2780961410245793</v>
      </c>
      <c r="H27" s="281">
        <f t="shared" si="8"/>
        <v>0.27630263357371138</v>
      </c>
    </row>
    <row r="28" spans="1:9">
      <c r="B28" s="250">
        <v>0.6</v>
      </c>
      <c r="C28" s="250">
        <f t="shared" si="9"/>
        <v>0.44449301448880174</v>
      </c>
      <c r="D28" s="255">
        <f t="shared" si="4"/>
        <v>0.42001629161559473</v>
      </c>
      <c r="E28" s="250">
        <f t="shared" si="5"/>
        <v>0.40809571023189006</v>
      </c>
      <c r="F28" s="250">
        <f t="shared" si="6"/>
        <v>0.39556817714910031</v>
      </c>
      <c r="G28" s="250">
        <f t="shared" si="7"/>
        <v>0.40045844307539419</v>
      </c>
      <c r="H28" s="281">
        <f t="shared" si="8"/>
        <v>0.39787579234614434</v>
      </c>
    </row>
    <row r="29" spans="1:9">
      <c r="B29" s="250">
        <v>0.7</v>
      </c>
      <c r="C29" s="250">
        <f t="shared" si="9"/>
        <v>0.60500438083198005</v>
      </c>
      <c r="D29" s="255">
        <f t="shared" si="4"/>
        <v>0.57168884136567055</v>
      </c>
      <c r="E29" s="250">
        <f t="shared" si="5"/>
        <v>0.55546360559340591</v>
      </c>
      <c r="F29" s="250">
        <f t="shared" si="6"/>
        <v>0.53841224111960873</v>
      </c>
      <c r="G29" s="250">
        <f t="shared" si="7"/>
        <v>0.54506843640817537</v>
      </c>
      <c r="H29" s="281">
        <f t="shared" si="8"/>
        <v>0.54155316180447421</v>
      </c>
    </row>
    <row r="30" spans="1:9">
      <c r="B30" s="250">
        <v>0.8</v>
      </c>
      <c r="C30" s="250">
        <f t="shared" si="9"/>
        <v>0.79020980353564763</v>
      </c>
      <c r="D30" s="255">
        <f t="shared" si="4"/>
        <v>0.74669562953883528</v>
      </c>
      <c r="E30" s="250">
        <f t="shared" si="5"/>
        <v>0.72550348485669358</v>
      </c>
      <c r="F30" s="250">
        <f t="shared" si="6"/>
        <v>0.7032323149317341</v>
      </c>
      <c r="G30" s="250">
        <f t="shared" si="7"/>
        <v>0.71192612102292319</v>
      </c>
      <c r="H30" s="281">
        <f t="shared" si="8"/>
        <v>0.70733474194870127</v>
      </c>
    </row>
    <row r="31" spans="1:9">
      <c r="B31" s="250">
        <v>0.9</v>
      </c>
      <c r="C31" s="250">
        <f t="shared" si="9"/>
        <v>1.0001092825998039</v>
      </c>
      <c r="D31" s="255">
        <f t="shared" si="4"/>
        <v>0.94503665613508825</v>
      </c>
      <c r="E31" s="250">
        <f t="shared" si="5"/>
        <v>0.91821534802175275</v>
      </c>
      <c r="F31" s="250">
        <f t="shared" si="6"/>
        <v>0.89002839858547589</v>
      </c>
      <c r="G31" s="250">
        <f t="shared" si="7"/>
        <v>0.90103149691963702</v>
      </c>
      <c r="H31" s="281">
        <f t="shared" si="8"/>
        <v>0.89522053277882496</v>
      </c>
    </row>
    <row r="32" spans="1:9">
      <c r="B32" s="250">
        <v>1</v>
      </c>
      <c r="C32" s="250">
        <f t="shared" si="9"/>
        <v>1.2347028180244493</v>
      </c>
      <c r="D32" s="255">
        <f t="shared" si="4"/>
        <v>1.1667119211544299</v>
      </c>
      <c r="E32" s="250">
        <f t="shared" si="5"/>
        <v>1.1335991950885835</v>
      </c>
      <c r="F32" s="250">
        <f t="shared" si="6"/>
        <v>1.0988004920808343</v>
      </c>
      <c r="G32" s="250">
        <f t="shared" si="7"/>
        <v>1.1123845640983172</v>
      </c>
      <c r="H32" s="281">
        <f t="shared" si="8"/>
        <v>1.1052105342948455</v>
      </c>
    </row>
    <row r="51" spans="1:9">
      <c r="A51" s="781" t="s">
        <v>512</v>
      </c>
      <c r="B51" s="781"/>
      <c r="C51" s="781"/>
      <c r="D51" s="781"/>
      <c r="E51" s="781"/>
      <c r="F51" s="781"/>
      <c r="G51" s="781"/>
      <c r="H51" s="781"/>
      <c r="I51" s="781"/>
    </row>
    <row r="52" spans="1:9">
      <c r="E52" s="273"/>
    </row>
    <row r="53" spans="1:9" ht="16.2">
      <c r="C53" s="272" t="s">
        <v>505</v>
      </c>
      <c r="D53" s="282" t="s">
        <v>513</v>
      </c>
      <c r="F53" s="276" t="s">
        <v>507</v>
      </c>
      <c r="G53" s="283" t="s">
        <v>508</v>
      </c>
    </row>
    <row r="54" spans="1:9">
      <c r="C54" s="284" t="s">
        <v>63</v>
      </c>
      <c r="D54" s="275">
        <f>D17</f>
        <v>0.4512400580385435</v>
      </c>
      <c r="F54" s="284" t="s">
        <v>63</v>
      </c>
      <c r="G54" s="278">
        <f>I17</f>
        <v>0.2375630695848002</v>
      </c>
    </row>
    <row r="56" spans="1:9">
      <c r="B56" s="774" t="s">
        <v>514</v>
      </c>
      <c r="C56" s="775"/>
      <c r="D56" s="775"/>
      <c r="E56" s="775"/>
      <c r="F56" s="775"/>
      <c r="G56" s="775"/>
      <c r="H56" s="776"/>
    </row>
    <row r="57" spans="1:9">
      <c r="B57" s="785" t="s">
        <v>510</v>
      </c>
      <c r="C57" s="787" t="s">
        <v>515</v>
      </c>
      <c r="D57" s="788"/>
      <c r="E57" s="788"/>
      <c r="F57" s="788"/>
      <c r="G57" s="788"/>
      <c r="H57" s="789"/>
    </row>
    <row r="58" spans="1:9">
      <c r="B58" s="786"/>
      <c r="C58" s="279">
        <v>14</v>
      </c>
      <c r="D58" s="280">
        <v>13</v>
      </c>
      <c r="E58" s="279">
        <v>12</v>
      </c>
      <c r="F58" s="279">
        <v>11</v>
      </c>
      <c r="G58" s="279">
        <v>10</v>
      </c>
      <c r="H58" s="279">
        <v>9</v>
      </c>
    </row>
    <row r="59" spans="1:9">
      <c r="B59" s="250">
        <v>0</v>
      </c>
      <c r="C59" s="250">
        <f t="shared" ref="C59:C69" si="10">$H$9*(B59^2)</f>
        <v>0</v>
      </c>
      <c r="D59" s="255">
        <f t="shared" ref="D59:D69" si="11">$H$10*(B59^2)</f>
        <v>0</v>
      </c>
      <c r="E59" s="250">
        <f t="shared" ref="E59:E69" si="12">$H$11*(B59^2)</f>
        <v>0</v>
      </c>
      <c r="F59" s="250">
        <f t="shared" ref="F59:F69" si="13">$H$12*(B59^2)</f>
        <v>0</v>
      </c>
      <c r="G59" s="250">
        <f t="shared" ref="G59:G69" si="14">$H$13*(B59^2)</f>
        <v>0</v>
      </c>
      <c r="H59" s="281">
        <f t="shared" ref="H59:H69" si="15">$H$14*(B59^2)</f>
        <v>0</v>
      </c>
    </row>
    <row r="60" spans="1:9">
      <c r="B60" s="250">
        <v>0.1</v>
      </c>
      <c r="C60" s="250">
        <f>$H$9*(B60^2)</f>
        <v>1.4816433816293393E-2</v>
      </c>
      <c r="D60" s="255">
        <f t="shared" si="11"/>
        <v>1.4000543053853164E-2</v>
      </c>
      <c r="E60" s="250">
        <f t="shared" si="12"/>
        <v>1.3603190341063002E-2</v>
      </c>
      <c r="F60" s="250">
        <f t="shared" si="13"/>
        <v>1.3185605904970015E-2</v>
      </c>
      <c r="G60" s="250">
        <f t="shared" si="14"/>
        <v>1.3348614769179808E-2</v>
      </c>
      <c r="H60" s="281">
        <f t="shared" si="15"/>
        <v>1.3262526411538147E-2</v>
      </c>
    </row>
    <row r="61" spans="1:9">
      <c r="B61" s="250">
        <v>0.2</v>
      </c>
      <c r="C61" s="250">
        <f t="shared" si="10"/>
        <v>5.9265735265173571E-2</v>
      </c>
      <c r="D61" s="255">
        <f t="shared" si="11"/>
        <v>5.6002172215412656E-2</v>
      </c>
      <c r="E61" s="250">
        <f t="shared" si="12"/>
        <v>5.4412761364252007E-2</v>
      </c>
      <c r="F61" s="250">
        <f t="shared" si="13"/>
        <v>5.2742423619880061E-2</v>
      </c>
      <c r="G61" s="250">
        <f t="shared" si="14"/>
        <v>5.3394459076719233E-2</v>
      </c>
      <c r="H61" s="281">
        <f t="shared" si="15"/>
        <v>5.305010564615259E-2</v>
      </c>
    </row>
    <row r="62" spans="1:9">
      <c r="B62" s="250">
        <v>0.3</v>
      </c>
      <c r="C62" s="250">
        <f t="shared" si="10"/>
        <v>0.13334790434664051</v>
      </c>
      <c r="D62" s="255">
        <f t="shared" si="11"/>
        <v>0.12600488748467845</v>
      </c>
      <c r="E62" s="250">
        <f t="shared" si="12"/>
        <v>0.12242871306956699</v>
      </c>
      <c r="F62" s="250">
        <f t="shared" si="13"/>
        <v>0.11867045314473011</v>
      </c>
      <c r="G62" s="250">
        <f t="shared" si="14"/>
        <v>0.12013753292261824</v>
      </c>
      <c r="H62" s="281">
        <f t="shared" si="15"/>
        <v>0.1193627377038433</v>
      </c>
    </row>
    <row r="63" spans="1:9">
      <c r="B63" s="250">
        <v>0.4</v>
      </c>
      <c r="C63" s="250">
        <f t="shared" si="10"/>
        <v>0.23706294106069428</v>
      </c>
      <c r="D63" s="255">
        <f t="shared" si="11"/>
        <v>0.22400868886165062</v>
      </c>
      <c r="E63" s="250">
        <f t="shared" si="12"/>
        <v>0.21765104545700803</v>
      </c>
      <c r="F63" s="250">
        <f t="shared" si="13"/>
        <v>0.21096969447952024</v>
      </c>
      <c r="G63" s="250">
        <f t="shared" si="14"/>
        <v>0.21357783630687693</v>
      </c>
      <c r="H63" s="281">
        <f t="shared" si="15"/>
        <v>0.21220042258461036</v>
      </c>
    </row>
    <row r="64" spans="1:9">
      <c r="B64" s="250">
        <v>0.5</v>
      </c>
      <c r="C64" s="250">
        <f t="shared" si="10"/>
        <v>0.37041084540733477</v>
      </c>
      <c r="D64" s="255">
        <f t="shared" si="11"/>
        <v>0.35001357634632901</v>
      </c>
      <c r="E64" s="250">
        <f t="shared" si="12"/>
        <v>0.34007975852657496</v>
      </c>
      <c r="F64" s="250">
        <f t="shared" si="13"/>
        <v>0.32964014762425031</v>
      </c>
      <c r="G64" s="250">
        <f t="shared" si="14"/>
        <v>0.33371536922949513</v>
      </c>
      <c r="H64" s="281">
        <f t="shared" si="15"/>
        <v>0.33156316028845362</v>
      </c>
    </row>
    <row r="65" spans="2:8">
      <c r="B65" s="250">
        <v>0.6</v>
      </c>
      <c r="C65" s="250">
        <f t="shared" si="10"/>
        <v>0.53339161738656204</v>
      </c>
      <c r="D65" s="255">
        <f t="shared" si="11"/>
        <v>0.50401954993871378</v>
      </c>
      <c r="E65" s="250">
        <f t="shared" si="12"/>
        <v>0.48971485227826794</v>
      </c>
      <c r="F65" s="250">
        <f t="shared" si="13"/>
        <v>0.47468181257892045</v>
      </c>
      <c r="G65" s="250">
        <f t="shared" si="14"/>
        <v>0.48055013169047295</v>
      </c>
      <c r="H65" s="281">
        <f t="shared" si="15"/>
        <v>0.4774509508153732</v>
      </c>
    </row>
    <row r="66" spans="2:8">
      <c r="B66" s="250">
        <v>0.7</v>
      </c>
      <c r="C66" s="250">
        <f t="shared" si="10"/>
        <v>0.72600525699837604</v>
      </c>
      <c r="D66" s="255">
        <f t="shared" si="11"/>
        <v>0.6860266096388048</v>
      </c>
      <c r="E66" s="250">
        <f t="shared" si="12"/>
        <v>0.66655632671208687</v>
      </c>
      <c r="F66" s="250">
        <f t="shared" si="13"/>
        <v>0.64609468934353054</v>
      </c>
      <c r="G66" s="250">
        <f t="shared" si="14"/>
        <v>0.65408212368981034</v>
      </c>
      <c r="H66" s="281">
        <f t="shared" si="15"/>
        <v>0.64986379416536899</v>
      </c>
    </row>
    <row r="67" spans="2:8">
      <c r="B67" s="250">
        <v>0.8</v>
      </c>
      <c r="C67" s="250">
        <f t="shared" si="10"/>
        <v>0.94825176424277713</v>
      </c>
      <c r="D67" s="255">
        <f t="shared" si="11"/>
        <v>0.89603475544660249</v>
      </c>
      <c r="E67" s="250">
        <f t="shared" si="12"/>
        <v>0.87060418182803212</v>
      </c>
      <c r="F67" s="250">
        <f t="shared" si="13"/>
        <v>0.84387877791808097</v>
      </c>
      <c r="G67" s="250">
        <f t="shared" si="14"/>
        <v>0.85431134522750773</v>
      </c>
      <c r="H67" s="281">
        <f t="shared" si="15"/>
        <v>0.84880169033844144</v>
      </c>
    </row>
    <row r="68" spans="2:8">
      <c r="B68" s="250">
        <v>0.9</v>
      </c>
      <c r="C68" s="250">
        <f t="shared" si="10"/>
        <v>1.2001311391197647</v>
      </c>
      <c r="D68" s="255">
        <f t="shared" si="11"/>
        <v>1.134043987362106</v>
      </c>
      <c r="E68" s="250">
        <f t="shared" si="12"/>
        <v>1.101858417626103</v>
      </c>
      <c r="F68" s="250">
        <f t="shared" si="13"/>
        <v>1.068034078302571</v>
      </c>
      <c r="G68" s="250">
        <f t="shared" si="14"/>
        <v>1.0812377963035642</v>
      </c>
      <c r="H68" s="281">
        <f t="shared" si="15"/>
        <v>1.0742646393345898</v>
      </c>
    </row>
    <row r="69" spans="2:8">
      <c r="B69" s="250">
        <v>1</v>
      </c>
      <c r="C69" s="250">
        <f t="shared" si="10"/>
        <v>1.4816433816293391</v>
      </c>
      <c r="D69" s="255">
        <f t="shared" si="11"/>
        <v>1.4000543053853161</v>
      </c>
      <c r="E69" s="250">
        <f t="shared" si="12"/>
        <v>1.3603190341062998</v>
      </c>
      <c r="F69" s="250">
        <f t="shared" si="13"/>
        <v>1.3185605904970013</v>
      </c>
      <c r="G69" s="250">
        <f t="shared" si="14"/>
        <v>1.3348614769179805</v>
      </c>
      <c r="H69" s="281">
        <f t="shared" si="15"/>
        <v>1.3262526411538145</v>
      </c>
    </row>
    <row r="90" spans="3:6">
      <c r="C90" s="233" t="s">
        <v>489</v>
      </c>
      <c r="D90" s="233" t="s">
        <v>516</v>
      </c>
      <c r="E90" s="233" t="s">
        <v>517</v>
      </c>
      <c r="F90" s="233" t="s">
        <v>510</v>
      </c>
    </row>
    <row r="91" spans="3:6">
      <c r="C91" s="259">
        <v>14</v>
      </c>
      <c r="D91" s="285">
        <f t="shared" ref="D91:D96" si="16">C91*(1-0.3)</f>
        <v>9.7999999999999989</v>
      </c>
      <c r="E91" s="285">
        <f t="shared" ref="E91:E96" si="17">D91*0.514</f>
        <v>5.0371999999999995</v>
      </c>
      <c r="F91" s="285">
        <f t="shared" ref="F91:F96" si="18">E91/(G$3*D$3)</f>
        <v>0.47669383350381972</v>
      </c>
    </row>
    <row r="92" spans="3:6">
      <c r="C92" s="265">
        <v>13</v>
      </c>
      <c r="D92" s="286">
        <f t="shared" si="16"/>
        <v>9.1</v>
      </c>
      <c r="E92" s="286">
        <f t="shared" si="17"/>
        <v>4.6773999999999996</v>
      </c>
      <c r="F92" s="286">
        <f t="shared" si="18"/>
        <v>0.44264427396783262</v>
      </c>
    </row>
    <row r="93" spans="3:6">
      <c r="C93" s="259">
        <v>12</v>
      </c>
      <c r="D93" s="285">
        <f t="shared" si="16"/>
        <v>8.3999999999999986</v>
      </c>
      <c r="E93" s="285">
        <f t="shared" si="17"/>
        <v>4.3175999999999997</v>
      </c>
      <c r="F93" s="285">
        <f t="shared" si="18"/>
        <v>0.40859471443184553</v>
      </c>
    </row>
    <row r="94" spans="3:6">
      <c r="C94" s="259">
        <v>11</v>
      </c>
      <c r="D94" s="285">
        <f t="shared" si="16"/>
        <v>7.6999999999999993</v>
      </c>
      <c r="E94" s="285">
        <f t="shared" si="17"/>
        <v>3.9577999999999998</v>
      </c>
      <c r="F94" s="285">
        <f t="shared" si="18"/>
        <v>0.37454515489585838</v>
      </c>
    </row>
    <row r="95" spans="3:6">
      <c r="C95" s="259">
        <v>10</v>
      </c>
      <c r="D95" s="285">
        <f t="shared" si="16"/>
        <v>7</v>
      </c>
      <c r="E95" s="285">
        <f t="shared" si="17"/>
        <v>3.5979999999999999</v>
      </c>
      <c r="F95" s="285">
        <f t="shared" si="18"/>
        <v>0.34049559535987128</v>
      </c>
    </row>
    <row r="96" spans="3:6">
      <c r="C96" s="259">
        <v>9</v>
      </c>
      <c r="D96" s="285">
        <f t="shared" si="16"/>
        <v>6.3</v>
      </c>
      <c r="E96" s="285">
        <f t="shared" si="17"/>
        <v>3.2382</v>
      </c>
      <c r="F96" s="285">
        <f t="shared" si="18"/>
        <v>0.30644603582388413</v>
      </c>
    </row>
    <row r="100" spans="1:13">
      <c r="A100" s="781" t="s">
        <v>518</v>
      </c>
      <c r="B100" s="781"/>
      <c r="C100" s="781"/>
      <c r="D100" s="781"/>
      <c r="E100" s="781"/>
      <c r="F100" s="781"/>
      <c r="G100" s="781"/>
      <c r="H100" s="781"/>
      <c r="I100" s="781"/>
    </row>
    <row r="101" spans="1:13">
      <c r="B101" s="780" t="s">
        <v>519</v>
      </c>
      <c r="C101" s="780"/>
      <c r="D101" s="780"/>
      <c r="E101" s="780"/>
      <c r="F101" s="780"/>
      <c r="G101" s="780"/>
      <c r="H101" s="780"/>
    </row>
    <row r="102" spans="1:13">
      <c r="B102" s="780"/>
      <c r="C102" s="780"/>
      <c r="D102" s="780"/>
      <c r="E102" s="780"/>
      <c r="F102" s="780"/>
      <c r="G102" s="780"/>
      <c r="H102" s="780"/>
    </row>
    <row r="104" spans="1:13" ht="15.6">
      <c r="C104" s="255" t="s">
        <v>510</v>
      </c>
      <c r="D104" s="255" t="s">
        <v>520</v>
      </c>
      <c r="E104" s="255" t="s">
        <v>521</v>
      </c>
      <c r="F104" s="255" t="s">
        <v>522</v>
      </c>
    </row>
    <row r="105" spans="1:13">
      <c r="C105" s="250">
        <v>0.1</v>
      </c>
      <c r="D105" s="287">
        <v>0.29619687317127957</v>
      </c>
      <c r="E105" s="287">
        <v>0.34874395365648869</v>
      </c>
      <c r="F105" s="287">
        <v>0.1351198474658539</v>
      </c>
      <c r="K105" s="288"/>
      <c r="L105" s="288"/>
      <c r="M105" s="288"/>
    </row>
    <row r="106" spans="1:13">
      <c r="C106" s="250">
        <v>0.2</v>
      </c>
      <c r="D106" s="287">
        <v>0.26239925282192522</v>
      </c>
      <c r="E106" s="287">
        <v>0.31580457178765031</v>
      </c>
      <c r="F106" s="287">
        <v>0.26437448603046382</v>
      </c>
      <c r="K106" s="288"/>
      <c r="L106" s="288"/>
      <c r="M106" s="288"/>
    </row>
    <row r="107" spans="1:13">
      <c r="C107" s="250">
        <v>0.3</v>
      </c>
      <c r="D107" s="287">
        <v>0.22494700624831754</v>
      </c>
      <c r="E107" s="287">
        <v>0.27876483765733806</v>
      </c>
      <c r="F107" s="287">
        <v>0.38513132454653259</v>
      </c>
      <c r="K107" s="288"/>
      <c r="L107" s="288"/>
      <c r="M107" s="288"/>
    </row>
    <row r="108" spans="1:13">
      <c r="C108" s="250">
        <v>0.4</v>
      </c>
      <c r="D108" s="287">
        <v>0.18433617152956891</v>
      </c>
      <c r="E108" s="287">
        <v>0.23810941286675114</v>
      </c>
      <c r="F108" s="287">
        <v>0.49265098349367942</v>
      </c>
      <c r="K108" s="288"/>
      <c r="L108" s="288"/>
      <c r="M108" s="288"/>
    </row>
    <row r="109" spans="1:13">
      <c r="C109" s="250">
        <v>0.5</v>
      </c>
      <c r="D109" s="287">
        <v>0.14106278674479097</v>
      </c>
      <c r="E109" s="287">
        <v>0.19432295901708913</v>
      </c>
      <c r="F109" s="287">
        <v>0.57743580829664765</v>
      </c>
      <c r="K109" s="288"/>
      <c r="L109" s="288"/>
      <c r="M109" s="288"/>
    </row>
    <row r="110" spans="1:13">
      <c r="C110" s="250">
        <v>0.6</v>
      </c>
      <c r="D110" s="287">
        <v>9.5622889973095954E-2</v>
      </c>
      <c r="E110" s="287">
        <v>0.14789013770955073</v>
      </c>
      <c r="F110" s="287">
        <v>0.6171905469016562</v>
      </c>
      <c r="K110" s="288"/>
      <c r="L110" s="288"/>
      <c r="M110" s="288"/>
    </row>
    <row r="111" spans="1:13">
      <c r="C111" s="250">
        <v>0.7</v>
      </c>
      <c r="D111" s="287">
        <v>4.8512519293595846E-2</v>
      </c>
      <c r="E111" s="287">
        <v>9.9295610545335811E-2</v>
      </c>
      <c r="F111" s="287">
        <v>0.54408553691597927</v>
      </c>
      <c r="K111" s="288"/>
      <c r="L111" s="288"/>
      <c r="M111" s="288"/>
    </row>
    <row r="112" spans="1:13">
      <c r="C112" s="250">
        <v>0.8</v>
      </c>
      <c r="D112" s="287">
        <v>2.2771278540251617E-4</v>
      </c>
      <c r="E112" s="287">
        <v>4.9024039125643126E-2</v>
      </c>
      <c r="F112" s="287">
        <v>5.9117175471345481E-3</v>
      </c>
      <c r="K112" s="288"/>
      <c r="L112" s="288"/>
      <c r="M112" s="288"/>
    </row>
    <row r="113" spans="3:62">
      <c r="C113" s="250">
        <v>0.9</v>
      </c>
      <c r="D113" s="250">
        <v>-4.8735491472371877E-2</v>
      </c>
      <c r="E113" s="250">
        <v>-2.4399149483277228E-3</v>
      </c>
      <c r="F113" s="250">
        <v>0</v>
      </c>
      <c r="K113" s="288"/>
      <c r="L113" s="288"/>
    </row>
    <row r="114" spans="3:62">
      <c r="C114" s="250">
        <v>1</v>
      </c>
      <c r="D114" s="250">
        <v>0</v>
      </c>
      <c r="E114" s="250">
        <v>0</v>
      </c>
      <c r="F114" s="250">
        <v>0</v>
      </c>
    </row>
    <row r="119" spans="3:62">
      <c r="L119" s="289"/>
      <c r="M119" s="289"/>
      <c r="N119" s="289"/>
      <c r="O119" s="289"/>
      <c r="P119" s="289"/>
      <c r="Q119" s="289"/>
      <c r="R119" s="289"/>
      <c r="S119" s="289"/>
      <c r="T119" s="289"/>
      <c r="U119" s="289"/>
      <c r="V119" s="289"/>
      <c r="W119" s="289"/>
      <c r="X119" s="289"/>
      <c r="Y119" s="289"/>
      <c r="Z119" s="289"/>
      <c r="AA119" s="289"/>
      <c r="AB119" s="289"/>
      <c r="AC119" s="289"/>
      <c r="AD119" s="289"/>
      <c r="AE119" s="289"/>
      <c r="AF119" s="289"/>
      <c r="AG119" s="289"/>
      <c r="AH119" s="289"/>
      <c r="AI119" s="289"/>
      <c r="AJ119" s="289"/>
      <c r="AK119" s="289"/>
      <c r="AL119" s="289"/>
      <c r="AM119" s="289"/>
      <c r="AN119" s="289"/>
      <c r="AO119" s="289"/>
      <c r="AP119" s="289"/>
      <c r="AQ119" s="289"/>
      <c r="AR119" s="289"/>
      <c r="AS119" s="289"/>
      <c r="AT119" s="289"/>
      <c r="AU119" s="289"/>
      <c r="AV119" s="289"/>
      <c r="AW119" s="289"/>
      <c r="AX119" s="289"/>
      <c r="AY119" s="289"/>
      <c r="AZ119" s="289"/>
      <c r="BA119" s="289"/>
      <c r="BB119" s="289"/>
      <c r="BC119" s="289"/>
      <c r="BD119" s="289"/>
      <c r="BE119" s="289"/>
      <c r="BF119" s="289"/>
      <c r="BG119" s="289"/>
      <c r="BH119" s="289"/>
      <c r="BI119" s="289"/>
      <c r="BJ119" s="289"/>
    </row>
    <row r="120" spans="3:62">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89"/>
      <c r="AH120" s="289"/>
      <c r="AI120" s="289"/>
      <c r="AJ120" s="289"/>
      <c r="AK120" s="289"/>
      <c r="AL120" s="289"/>
      <c r="AM120" s="289"/>
      <c r="AN120" s="289"/>
      <c r="AO120" s="289"/>
      <c r="AP120" s="289"/>
      <c r="AQ120" s="289"/>
      <c r="AR120" s="289"/>
      <c r="AS120" s="289"/>
      <c r="AT120" s="289"/>
      <c r="AU120" s="289"/>
      <c r="AV120" s="289"/>
      <c r="AW120" s="289"/>
      <c r="AX120" s="289"/>
      <c r="AY120" s="289"/>
      <c r="AZ120" s="289"/>
      <c r="BA120" s="289"/>
      <c r="BB120" s="289"/>
      <c r="BC120" s="289"/>
      <c r="BD120" s="289"/>
      <c r="BE120" s="289"/>
      <c r="BF120" s="289"/>
      <c r="BG120" s="289"/>
      <c r="BH120" s="289"/>
      <c r="BI120" s="289"/>
      <c r="BJ120" s="289"/>
    </row>
    <row r="121" spans="3:62">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289"/>
      <c r="AH121" s="289"/>
      <c r="AI121" s="289"/>
      <c r="AJ121" s="289"/>
      <c r="AK121" s="289"/>
      <c r="AL121" s="289"/>
      <c r="AM121" s="289"/>
      <c r="AN121" s="289"/>
      <c r="AO121" s="289"/>
      <c r="AP121" s="289"/>
      <c r="AQ121" s="289"/>
      <c r="AR121" s="289"/>
      <c r="AS121" s="289"/>
      <c r="AT121" s="289"/>
      <c r="AU121" s="289"/>
      <c r="AV121" s="289"/>
      <c r="AW121" s="289"/>
      <c r="AX121" s="289"/>
      <c r="AY121" s="289"/>
      <c r="AZ121" s="289"/>
      <c r="BA121" s="289"/>
      <c r="BB121" s="289"/>
      <c r="BC121" s="289"/>
      <c r="BD121" s="289"/>
      <c r="BE121" s="289"/>
      <c r="BF121" s="289"/>
      <c r="BG121" s="289"/>
      <c r="BH121" s="289"/>
      <c r="BI121" s="289"/>
      <c r="BJ121" s="289"/>
    </row>
    <row r="122" spans="3:62">
      <c r="L122" s="289"/>
      <c r="M122" s="289"/>
      <c r="N122" s="289"/>
      <c r="O122" s="289"/>
      <c r="P122" s="289"/>
      <c r="Q122" s="289"/>
      <c r="R122" s="289"/>
      <c r="S122" s="289"/>
      <c r="T122" s="289"/>
      <c r="U122" s="289"/>
      <c r="V122" s="289"/>
      <c r="W122" s="289"/>
      <c r="X122" s="289"/>
      <c r="Y122" s="289"/>
      <c r="Z122" s="289"/>
      <c r="AA122" s="289"/>
      <c r="AB122" s="289"/>
      <c r="AC122" s="289"/>
      <c r="AD122" s="289"/>
      <c r="AE122" s="289"/>
      <c r="AF122" s="289"/>
      <c r="AG122" s="289"/>
      <c r="AH122" s="289"/>
      <c r="AI122" s="289"/>
      <c r="AJ122" s="289"/>
      <c r="AK122" s="289"/>
      <c r="AL122" s="289"/>
      <c r="AM122" s="289"/>
      <c r="AN122" s="289"/>
      <c r="AO122" s="289"/>
      <c r="AP122" s="289"/>
      <c r="AQ122" s="289"/>
      <c r="AR122" s="289"/>
      <c r="AS122" s="289"/>
      <c r="AT122" s="289"/>
      <c r="AU122" s="289"/>
      <c r="AV122" s="289"/>
      <c r="AW122" s="289"/>
      <c r="AX122" s="289"/>
      <c r="AY122" s="289"/>
      <c r="AZ122" s="289"/>
      <c r="BA122" s="289"/>
      <c r="BB122" s="289"/>
      <c r="BC122" s="289"/>
      <c r="BD122" s="289"/>
      <c r="BE122" s="289"/>
      <c r="BF122" s="289"/>
      <c r="BG122" s="289"/>
      <c r="BH122" s="289"/>
      <c r="BI122" s="289"/>
      <c r="BJ122" s="289"/>
    </row>
    <row r="123" spans="3:62">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9"/>
      <c r="AS123" s="289"/>
      <c r="AT123" s="289"/>
      <c r="AU123" s="289"/>
      <c r="AV123" s="289"/>
      <c r="AW123" s="289"/>
      <c r="AX123" s="289"/>
      <c r="AY123" s="289"/>
      <c r="AZ123" s="289"/>
      <c r="BA123" s="289"/>
      <c r="BB123" s="289"/>
      <c r="BC123" s="289"/>
      <c r="BD123" s="289"/>
      <c r="BE123" s="289"/>
      <c r="BF123" s="289"/>
      <c r="BG123" s="289"/>
      <c r="BH123" s="289"/>
      <c r="BI123" s="289"/>
      <c r="BJ123" s="289"/>
    </row>
    <row r="124" spans="3:62">
      <c r="L124" s="289"/>
      <c r="M124" s="289"/>
      <c r="N124" s="289"/>
      <c r="O124" s="289"/>
      <c r="P124" s="289"/>
      <c r="Q124" s="289"/>
      <c r="R124" s="289"/>
      <c r="S124" s="289"/>
      <c r="T124" s="289"/>
      <c r="U124" s="289"/>
      <c r="V124" s="289"/>
      <c r="W124" s="289"/>
      <c r="X124" s="289"/>
      <c r="Y124" s="289"/>
      <c r="Z124" s="289"/>
      <c r="AA124" s="289"/>
      <c r="AB124" s="289"/>
      <c r="AC124" s="289"/>
      <c r="AD124" s="289"/>
      <c r="AE124" s="289"/>
      <c r="AF124" s="289"/>
      <c r="AG124" s="289"/>
      <c r="AH124" s="289"/>
      <c r="AI124" s="289"/>
      <c r="AJ124" s="289"/>
      <c r="AK124" s="289"/>
      <c r="AL124" s="289"/>
      <c r="AM124" s="289"/>
      <c r="AN124" s="289"/>
      <c r="AO124" s="289"/>
      <c r="AP124" s="289"/>
      <c r="AQ124" s="289"/>
      <c r="AR124" s="289"/>
      <c r="AS124" s="289"/>
      <c r="AT124" s="289"/>
      <c r="AU124" s="289"/>
      <c r="AV124" s="289"/>
      <c r="AW124" s="289"/>
      <c r="AX124" s="289"/>
      <c r="AY124" s="289"/>
      <c r="AZ124" s="289"/>
      <c r="BA124" s="289"/>
      <c r="BB124" s="289"/>
      <c r="BC124" s="289"/>
      <c r="BD124" s="289"/>
      <c r="BE124" s="289"/>
      <c r="BF124" s="289"/>
      <c r="BG124" s="289"/>
      <c r="BH124" s="289"/>
      <c r="BI124" s="289"/>
      <c r="BJ124" s="289"/>
    </row>
    <row r="125" spans="3:62">
      <c r="L125" s="289"/>
      <c r="M125" s="289"/>
      <c r="N125" s="289"/>
      <c r="O125" s="289"/>
      <c r="P125" s="289"/>
      <c r="Q125" s="289"/>
      <c r="R125" s="289"/>
      <c r="S125" s="289"/>
      <c r="T125" s="289"/>
      <c r="U125" s="289"/>
      <c r="V125" s="289"/>
      <c r="W125" s="289"/>
      <c r="X125" s="289"/>
      <c r="Y125" s="289"/>
      <c r="Z125" s="289"/>
      <c r="AA125" s="289"/>
      <c r="AB125" s="289"/>
      <c r="AC125" s="289"/>
      <c r="AD125" s="289"/>
      <c r="AE125" s="289"/>
      <c r="AF125" s="289"/>
      <c r="AG125" s="289"/>
      <c r="AH125" s="289"/>
      <c r="AI125" s="289"/>
      <c r="AJ125" s="289"/>
      <c r="AK125" s="289"/>
      <c r="AL125" s="289"/>
      <c r="AM125" s="289"/>
      <c r="AN125" s="289"/>
      <c r="AO125" s="289"/>
      <c r="AP125" s="289"/>
      <c r="AQ125" s="289"/>
      <c r="AR125" s="289"/>
      <c r="AS125" s="289"/>
      <c r="AT125" s="289"/>
      <c r="AU125" s="289"/>
      <c r="AV125" s="289"/>
      <c r="AW125" s="289"/>
      <c r="AX125" s="289"/>
      <c r="AY125" s="289"/>
      <c r="AZ125" s="289"/>
      <c r="BA125" s="289"/>
      <c r="BB125" s="289"/>
      <c r="BC125" s="289"/>
      <c r="BD125" s="289"/>
      <c r="BE125" s="289"/>
      <c r="BF125" s="289"/>
      <c r="BG125" s="289"/>
      <c r="BH125" s="289"/>
      <c r="BI125" s="289"/>
      <c r="BJ125" s="289"/>
    </row>
    <row r="126" spans="3:62">
      <c r="L126" s="289"/>
      <c r="M126" s="289"/>
      <c r="N126" s="289"/>
      <c r="O126" s="289"/>
      <c r="P126" s="289"/>
      <c r="Q126" s="289"/>
      <c r="R126" s="289"/>
      <c r="S126" s="289"/>
      <c r="T126" s="289"/>
      <c r="U126" s="289"/>
      <c r="V126" s="289"/>
      <c r="W126" s="289"/>
      <c r="X126" s="289"/>
      <c r="Y126" s="289"/>
      <c r="Z126" s="289"/>
      <c r="AA126" s="289"/>
      <c r="AB126" s="289"/>
      <c r="AC126" s="289"/>
      <c r="AD126" s="289"/>
      <c r="AE126" s="289"/>
      <c r="AF126" s="289"/>
      <c r="AG126" s="289"/>
      <c r="AH126" s="289"/>
      <c r="AI126" s="289"/>
      <c r="AJ126" s="289"/>
      <c r="AK126" s="289"/>
      <c r="AL126" s="289"/>
      <c r="AM126" s="289"/>
      <c r="AN126" s="289"/>
      <c r="AO126" s="289"/>
      <c r="AP126" s="289"/>
      <c r="AQ126" s="289"/>
      <c r="AR126" s="289"/>
      <c r="AS126" s="289"/>
      <c r="AT126" s="289"/>
      <c r="AU126" s="289"/>
      <c r="AV126" s="289"/>
      <c r="AW126" s="289"/>
      <c r="AX126" s="289"/>
      <c r="AY126" s="289"/>
      <c r="AZ126" s="289"/>
      <c r="BA126" s="289"/>
      <c r="BB126" s="289"/>
      <c r="BC126" s="289"/>
      <c r="BD126" s="289"/>
      <c r="BE126" s="289"/>
      <c r="BF126" s="289"/>
      <c r="BG126" s="289"/>
      <c r="BH126" s="289"/>
      <c r="BI126" s="289"/>
      <c r="BJ126" s="289"/>
    </row>
    <row r="127" spans="3:62">
      <c r="L127" s="289"/>
      <c r="M127" s="289"/>
      <c r="N127" s="289"/>
      <c r="O127" s="289"/>
      <c r="P127" s="289"/>
      <c r="Q127" s="289"/>
      <c r="R127" s="289"/>
      <c r="S127" s="289"/>
      <c r="T127" s="289"/>
      <c r="U127" s="289"/>
      <c r="V127" s="289"/>
      <c r="W127" s="289"/>
      <c r="X127" s="289"/>
      <c r="Y127" s="289"/>
      <c r="Z127" s="289"/>
      <c r="AA127" s="289"/>
      <c r="AB127" s="289"/>
      <c r="AC127" s="289"/>
      <c r="AD127" s="289"/>
      <c r="AE127" s="289"/>
      <c r="AF127" s="289"/>
      <c r="AG127" s="289"/>
      <c r="AH127" s="289"/>
      <c r="AI127" s="289"/>
      <c r="AJ127" s="289"/>
      <c r="AK127" s="289"/>
      <c r="AL127" s="289"/>
      <c r="AM127" s="289"/>
      <c r="AN127" s="289"/>
      <c r="AO127" s="289"/>
      <c r="AP127" s="289"/>
      <c r="AQ127" s="289"/>
      <c r="AR127" s="289"/>
      <c r="AS127" s="289"/>
      <c r="AT127" s="289"/>
      <c r="AU127" s="289"/>
      <c r="AV127" s="289"/>
      <c r="AW127" s="289"/>
      <c r="AX127" s="289"/>
      <c r="AY127" s="289"/>
      <c r="AZ127" s="289"/>
      <c r="BA127" s="289"/>
      <c r="BB127" s="289"/>
      <c r="BC127" s="289"/>
      <c r="BD127" s="289"/>
      <c r="BE127" s="289"/>
      <c r="BF127" s="289"/>
      <c r="BG127" s="289"/>
      <c r="BH127" s="289"/>
      <c r="BI127" s="289"/>
      <c r="BJ127" s="289"/>
    </row>
    <row r="128" spans="3:62">
      <c r="L128" s="289"/>
      <c r="M128" s="289"/>
      <c r="N128" s="289"/>
      <c r="O128" s="289"/>
      <c r="P128" s="289"/>
      <c r="Q128" s="289"/>
      <c r="R128" s="289"/>
      <c r="S128" s="289"/>
      <c r="T128" s="289"/>
      <c r="U128" s="289"/>
      <c r="V128" s="289"/>
      <c r="W128" s="289"/>
      <c r="X128" s="289"/>
      <c r="Y128" s="289"/>
      <c r="Z128" s="289"/>
      <c r="AA128" s="289"/>
      <c r="AB128" s="289"/>
      <c r="AC128" s="289"/>
      <c r="AD128" s="289"/>
      <c r="AE128" s="289"/>
      <c r="AF128" s="289"/>
      <c r="AG128" s="289"/>
      <c r="AH128" s="289"/>
      <c r="AI128" s="289"/>
      <c r="AJ128" s="289"/>
      <c r="AK128" s="289"/>
      <c r="AL128" s="289"/>
      <c r="AM128" s="289"/>
      <c r="AN128" s="289"/>
      <c r="AO128" s="289"/>
      <c r="AP128" s="289"/>
      <c r="AQ128" s="289"/>
      <c r="AR128" s="289"/>
      <c r="AS128" s="289"/>
      <c r="AT128" s="289"/>
      <c r="AU128" s="289"/>
      <c r="AV128" s="289"/>
      <c r="AW128" s="289"/>
      <c r="AX128" s="289"/>
      <c r="AY128" s="289"/>
      <c r="AZ128" s="289"/>
      <c r="BA128" s="289"/>
      <c r="BB128" s="289"/>
      <c r="BC128" s="289"/>
      <c r="BD128" s="289"/>
      <c r="BE128" s="289"/>
      <c r="BF128" s="289"/>
      <c r="BG128" s="289"/>
      <c r="BH128" s="289"/>
      <c r="BI128" s="289"/>
      <c r="BJ128" s="289"/>
    </row>
    <row r="129" spans="12:62">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c r="AZ129" s="289"/>
      <c r="BA129" s="289"/>
      <c r="BB129" s="289"/>
      <c r="BC129" s="289"/>
      <c r="BD129" s="289"/>
      <c r="BE129" s="289"/>
      <c r="BF129" s="289"/>
      <c r="BG129" s="289"/>
      <c r="BH129" s="289"/>
      <c r="BI129" s="289"/>
      <c r="BJ129" s="289"/>
    </row>
    <row r="130" spans="12:62">
      <c r="L130" s="289"/>
      <c r="M130" s="289"/>
      <c r="N130" s="289"/>
      <c r="O130" s="289"/>
      <c r="P130" s="289"/>
      <c r="Q130" s="289"/>
      <c r="R130" s="289"/>
      <c r="S130" s="289"/>
      <c r="T130" s="289"/>
      <c r="U130" s="289"/>
      <c r="V130" s="289"/>
      <c r="W130" s="289"/>
      <c r="X130" s="289"/>
      <c r="Y130" s="289"/>
      <c r="Z130" s="289"/>
      <c r="AA130" s="289"/>
      <c r="AB130" s="289"/>
      <c r="AC130" s="289"/>
      <c r="AD130" s="289"/>
      <c r="AE130" s="289"/>
      <c r="AF130" s="289"/>
      <c r="AG130" s="289"/>
      <c r="AH130" s="289"/>
      <c r="AI130" s="289"/>
      <c r="AJ130" s="289"/>
      <c r="AK130" s="289"/>
      <c r="AL130" s="289"/>
      <c r="AM130" s="289"/>
      <c r="AN130" s="289"/>
      <c r="AO130" s="289"/>
      <c r="AP130" s="289"/>
      <c r="AQ130" s="289"/>
      <c r="AR130" s="289"/>
      <c r="AS130" s="289"/>
      <c r="AT130" s="289"/>
      <c r="AU130" s="289"/>
      <c r="AV130" s="289"/>
      <c r="AW130" s="289"/>
      <c r="AX130" s="289"/>
      <c r="AY130" s="289"/>
      <c r="AZ130" s="289"/>
      <c r="BA130" s="289"/>
      <c r="BB130" s="289"/>
      <c r="BC130" s="289"/>
      <c r="BD130" s="289"/>
      <c r="BE130" s="289"/>
      <c r="BF130" s="289"/>
      <c r="BG130" s="289"/>
      <c r="BH130" s="289"/>
      <c r="BI130" s="289"/>
      <c r="BJ130" s="289"/>
    </row>
    <row r="131" spans="12:62">
      <c r="L131" s="289"/>
      <c r="M131" s="289"/>
      <c r="N131" s="289"/>
      <c r="O131" s="289"/>
      <c r="P131" s="289"/>
      <c r="Q131" s="289"/>
      <c r="R131" s="289"/>
      <c r="S131" s="289"/>
      <c r="T131" s="289"/>
      <c r="U131" s="289"/>
      <c r="V131" s="289"/>
      <c r="W131" s="289"/>
      <c r="X131" s="289"/>
      <c r="Y131" s="289"/>
      <c r="Z131" s="289"/>
      <c r="AA131" s="289"/>
      <c r="AB131" s="289"/>
      <c r="AC131" s="289"/>
      <c r="AD131" s="289"/>
      <c r="AE131" s="289"/>
      <c r="AF131" s="289"/>
      <c r="AG131" s="289"/>
      <c r="AH131" s="289"/>
      <c r="AI131" s="289"/>
      <c r="AJ131" s="289"/>
      <c r="AK131" s="289"/>
      <c r="AL131" s="289"/>
      <c r="AM131" s="289"/>
      <c r="AN131" s="289"/>
      <c r="AO131" s="289"/>
      <c r="AP131" s="289"/>
      <c r="AQ131" s="289"/>
      <c r="AR131" s="289"/>
      <c r="AS131" s="289"/>
      <c r="AT131" s="289"/>
      <c r="AU131" s="289"/>
      <c r="AV131" s="289"/>
      <c r="AW131" s="289"/>
      <c r="AX131" s="289"/>
      <c r="AY131" s="289"/>
      <c r="AZ131" s="289"/>
      <c r="BA131" s="289"/>
      <c r="BB131" s="289"/>
      <c r="BC131" s="289"/>
      <c r="BD131" s="289"/>
      <c r="BE131" s="289"/>
      <c r="BF131" s="289"/>
      <c r="BG131" s="289"/>
      <c r="BH131" s="289"/>
      <c r="BI131" s="289"/>
      <c r="BJ131" s="289"/>
    </row>
    <row r="132" spans="12:62">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289"/>
      <c r="AH132" s="289"/>
      <c r="AI132" s="289"/>
      <c r="AJ132" s="289"/>
      <c r="AK132" s="289"/>
      <c r="AL132" s="289"/>
      <c r="AM132" s="289"/>
      <c r="AN132" s="289"/>
      <c r="AO132" s="289"/>
      <c r="AP132" s="289"/>
      <c r="AQ132" s="289"/>
      <c r="AR132" s="289"/>
      <c r="AS132" s="289"/>
      <c r="AT132" s="289"/>
      <c r="AU132" s="289"/>
      <c r="AV132" s="289"/>
      <c r="AW132" s="289"/>
      <c r="AX132" s="289"/>
      <c r="AY132" s="289"/>
      <c r="AZ132" s="289"/>
      <c r="BA132" s="289"/>
      <c r="BB132" s="289"/>
      <c r="BC132" s="289"/>
      <c r="BD132" s="289"/>
      <c r="BE132" s="289"/>
      <c r="BF132" s="289"/>
      <c r="BG132" s="289"/>
      <c r="BH132" s="289"/>
      <c r="BI132" s="289"/>
      <c r="BJ132" s="289"/>
    </row>
    <row r="133" spans="12:62">
      <c r="L133" s="289"/>
      <c r="M133" s="289"/>
      <c r="N133" s="289"/>
      <c r="O133" s="289"/>
      <c r="P133" s="289"/>
      <c r="Q133" s="290"/>
      <c r="R133" s="289"/>
      <c r="S133" s="289"/>
      <c r="T133" s="289"/>
      <c r="U133" s="289"/>
      <c r="V133" s="289"/>
      <c r="W133" s="289"/>
      <c r="X133" s="289"/>
      <c r="Y133" s="289"/>
      <c r="Z133" s="289"/>
      <c r="AA133" s="289"/>
      <c r="AB133" s="289"/>
      <c r="AC133" s="289"/>
      <c r="AD133" s="289"/>
      <c r="AE133" s="289"/>
      <c r="AF133" s="289"/>
      <c r="AG133" s="289"/>
      <c r="AH133" s="289"/>
      <c r="AI133" s="289"/>
      <c r="AJ133" s="289"/>
      <c r="AK133" s="289"/>
      <c r="AL133" s="289"/>
      <c r="AM133" s="289"/>
      <c r="AN133" s="289"/>
      <c r="AO133" s="289"/>
      <c r="AP133" s="289"/>
      <c r="AQ133" s="289"/>
      <c r="AR133" s="289"/>
      <c r="AS133" s="289"/>
      <c r="AT133" s="289"/>
      <c r="AU133" s="289"/>
      <c r="AV133" s="289"/>
      <c r="AW133" s="289"/>
      <c r="AX133" s="289"/>
      <c r="AY133" s="289"/>
      <c r="AZ133" s="289"/>
      <c r="BA133" s="289"/>
      <c r="BB133" s="289"/>
      <c r="BC133" s="289"/>
      <c r="BD133" s="289"/>
      <c r="BE133" s="289"/>
      <c r="BF133" s="289"/>
      <c r="BG133" s="289"/>
      <c r="BH133" s="289"/>
      <c r="BI133" s="289"/>
      <c r="BJ133" s="289"/>
    </row>
    <row r="134" spans="12:62">
      <c r="L134" s="289"/>
      <c r="M134" s="289"/>
      <c r="N134" s="289"/>
      <c r="O134" s="289"/>
      <c r="P134" s="289"/>
      <c r="Q134" s="289"/>
      <c r="R134" s="289"/>
      <c r="S134" s="289"/>
      <c r="T134" s="289"/>
      <c r="U134" s="289"/>
      <c r="V134" s="289"/>
      <c r="W134" s="289"/>
      <c r="X134" s="289"/>
      <c r="Y134" s="289"/>
      <c r="Z134" s="289"/>
      <c r="AA134" s="289"/>
      <c r="AB134" s="289"/>
      <c r="AC134" s="289"/>
      <c r="AD134" s="289"/>
      <c r="AE134" s="289"/>
      <c r="AF134" s="289"/>
      <c r="AG134" s="289"/>
      <c r="AH134" s="289"/>
      <c r="AI134" s="289"/>
      <c r="AJ134" s="289"/>
      <c r="AK134" s="289"/>
      <c r="AL134" s="289"/>
      <c r="AM134" s="289"/>
      <c r="AN134" s="289"/>
      <c r="AO134" s="289"/>
      <c r="AP134" s="289"/>
      <c r="AQ134" s="289"/>
      <c r="AR134" s="289"/>
      <c r="AS134" s="289"/>
      <c r="AT134" s="289"/>
      <c r="AU134" s="289"/>
      <c r="AV134" s="289"/>
      <c r="AW134" s="289"/>
      <c r="AX134" s="289"/>
      <c r="AY134" s="289"/>
      <c r="AZ134" s="289"/>
      <c r="BA134" s="289"/>
      <c r="BB134" s="289"/>
      <c r="BC134" s="289"/>
      <c r="BD134" s="289"/>
      <c r="BE134" s="289"/>
      <c r="BF134" s="289"/>
      <c r="BG134" s="289"/>
      <c r="BH134" s="289"/>
      <c r="BI134" s="289"/>
      <c r="BJ134" s="289"/>
    </row>
    <row r="135" spans="12:62">
      <c r="L135" s="289"/>
      <c r="M135" s="289"/>
      <c r="N135" s="289"/>
      <c r="O135" s="289"/>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89"/>
      <c r="AX135" s="289"/>
      <c r="AY135" s="289"/>
      <c r="AZ135" s="289"/>
      <c r="BA135" s="289"/>
      <c r="BB135" s="289"/>
      <c r="BC135" s="289"/>
      <c r="BD135" s="289"/>
      <c r="BE135" s="289"/>
      <c r="BF135" s="289"/>
      <c r="BG135" s="289"/>
      <c r="BH135" s="289"/>
      <c r="BI135" s="289"/>
      <c r="BJ135" s="289"/>
    </row>
    <row r="136" spans="12:62">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c r="AK136" s="289"/>
      <c r="AL136" s="289"/>
      <c r="AM136" s="289"/>
      <c r="AN136" s="289"/>
      <c r="AO136" s="289"/>
      <c r="AP136" s="289"/>
      <c r="AQ136" s="289"/>
      <c r="AR136" s="289"/>
      <c r="AS136" s="289"/>
      <c r="AT136" s="289"/>
      <c r="AU136" s="289"/>
      <c r="AV136" s="289"/>
      <c r="AW136" s="289"/>
      <c r="AX136" s="289"/>
      <c r="AY136" s="289"/>
      <c r="AZ136" s="289"/>
      <c r="BA136" s="289"/>
      <c r="BB136" s="289"/>
      <c r="BC136" s="289"/>
      <c r="BD136" s="289"/>
      <c r="BE136" s="289"/>
      <c r="BF136" s="289"/>
      <c r="BG136" s="289"/>
      <c r="BH136" s="289"/>
      <c r="BI136" s="289"/>
      <c r="BJ136" s="289"/>
    </row>
    <row r="137" spans="12:62">
      <c r="L137" s="289"/>
      <c r="M137" s="289"/>
      <c r="N137" s="289"/>
      <c r="O137" s="289"/>
      <c r="P137" s="289"/>
      <c r="Q137" s="289"/>
      <c r="R137" s="289"/>
      <c r="S137" s="289"/>
      <c r="T137" s="289"/>
      <c r="U137" s="289"/>
      <c r="V137" s="289"/>
      <c r="W137" s="289"/>
      <c r="X137" s="289"/>
      <c r="Y137" s="289"/>
      <c r="Z137" s="289"/>
      <c r="AA137" s="289"/>
      <c r="AB137" s="289"/>
      <c r="AC137" s="289"/>
      <c r="AD137" s="289"/>
      <c r="AE137" s="289"/>
      <c r="AF137" s="289"/>
      <c r="AG137" s="289"/>
      <c r="AH137" s="289"/>
      <c r="AI137" s="289"/>
      <c r="AJ137" s="289"/>
      <c r="AK137" s="289"/>
      <c r="AL137" s="289"/>
      <c r="AM137" s="289"/>
      <c r="AN137" s="289"/>
      <c r="AO137" s="289"/>
      <c r="AP137" s="289"/>
      <c r="AQ137" s="289"/>
      <c r="AR137" s="289"/>
      <c r="AS137" s="289"/>
      <c r="AT137" s="289"/>
      <c r="AU137" s="289"/>
      <c r="AV137" s="289"/>
      <c r="AW137" s="289"/>
      <c r="AX137" s="289"/>
      <c r="AY137" s="289"/>
      <c r="AZ137" s="289"/>
      <c r="BA137" s="289"/>
      <c r="BB137" s="289"/>
      <c r="BC137" s="289"/>
      <c r="BD137" s="289"/>
      <c r="BE137" s="289"/>
      <c r="BF137" s="289"/>
      <c r="BG137" s="289"/>
      <c r="BH137" s="289"/>
      <c r="BI137" s="289"/>
      <c r="BJ137" s="289"/>
    </row>
    <row r="138" spans="12:62">
      <c r="L138" s="289"/>
      <c r="M138" s="289"/>
      <c r="N138" s="289"/>
      <c r="O138" s="289"/>
      <c r="P138" s="289"/>
      <c r="Q138" s="289"/>
      <c r="R138" s="289"/>
      <c r="S138" s="289"/>
      <c r="T138" s="289"/>
      <c r="U138" s="289"/>
      <c r="V138" s="289"/>
      <c r="W138" s="289"/>
      <c r="X138" s="289"/>
      <c r="Y138" s="289"/>
      <c r="Z138" s="289"/>
      <c r="AA138" s="289"/>
      <c r="AB138" s="289"/>
      <c r="AC138" s="289"/>
      <c r="AD138" s="289"/>
      <c r="AE138" s="289"/>
      <c r="AF138" s="289"/>
      <c r="AG138" s="289"/>
      <c r="AH138" s="289"/>
      <c r="AI138" s="289"/>
      <c r="AJ138" s="289"/>
      <c r="AK138" s="289"/>
      <c r="AL138" s="289"/>
      <c r="AM138" s="289"/>
      <c r="AN138" s="289"/>
      <c r="AO138" s="289"/>
      <c r="AP138" s="289"/>
      <c r="AQ138" s="289"/>
      <c r="AR138" s="289"/>
      <c r="AS138" s="289"/>
      <c r="AT138" s="289"/>
      <c r="AU138" s="289"/>
      <c r="AV138" s="289"/>
      <c r="AW138" s="289"/>
      <c r="AX138" s="289"/>
      <c r="AY138" s="289"/>
      <c r="AZ138" s="289"/>
      <c r="BA138" s="289"/>
      <c r="BB138" s="289"/>
      <c r="BC138" s="289"/>
      <c r="BD138" s="289"/>
      <c r="BE138" s="289"/>
      <c r="BF138" s="289"/>
      <c r="BG138" s="289"/>
      <c r="BH138" s="289"/>
      <c r="BI138" s="289"/>
      <c r="BJ138" s="289"/>
    </row>
    <row r="139" spans="12:62">
      <c r="L139" s="289"/>
      <c r="M139" s="289"/>
      <c r="N139" s="289"/>
      <c r="O139" s="289"/>
      <c r="P139" s="289"/>
      <c r="Q139" s="289"/>
      <c r="R139" s="289"/>
      <c r="S139" s="289"/>
      <c r="T139" s="289"/>
      <c r="U139" s="289"/>
      <c r="V139" s="289"/>
      <c r="W139" s="289"/>
      <c r="X139" s="289"/>
      <c r="Y139" s="289"/>
      <c r="Z139" s="289"/>
      <c r="AA139" s="289"/>
      <c r="AB139" s="289"/>
      <c r="AC139" s="289"/>
      <c r="AD139" s="289"/>
      <c r="AE139" s="289"/>
      <c r="AF139" s="289"/>
      <c r="AG139" s="289"/>
      <c r="AH139" s="289"/>
      <c r="AI139" s="289"/>
      <c r="AJ139" s="289"/>
      <c r="AK139" s="289"/>
      <c r="AL139" s="289"/>
      <c r="AM139" s="289"/>
      <c r="AN139" s="289"/>
      <c r="AO139" s="289"/>
      <c r="AP139" s="289"/>
      <c r="AQ139" s="289"/>
      <c r="AR139" s="289"/>
      <c r="AS139" s="289"/>
      <c r="AT139" s="289"/>
      <c r="AU139" s="289"/>
      <c r="AV139" s="289"/>
      <c r="AW139" s="289"/>
      <c r="AX139" s="289"/>
      <c r="AY139" s="289"/>
      <c r="AZ139" s="289"/>
      <c r="BA139" s="289"/>
      <c r="BB139" s="289"/>
      <c r="BC139" s="289"/>
      <c r="BD139" s="289"/>
      <c r="BE139" s="289"/>
      <c r="BF139" s="289"/>
      <c r="BG139" s="289"/>
      <c r="BH139" s="289"/>
      <c r="BI139" s="289"/>
      <c r="BJ139" s="289"/>
    </row>
    <row r="140" spans="12:62">
      <c r="L140" s="289"/>
      <c r="M140" s="289"/>
      <c r="N140" s="289"/>
      <c r="O140" s="289"/>
      <c r="P140" s="289"/>
      <c r="Q140" s="289"/>
      <c r="R140" s="289"/>
      <c r="S140" s="289"/>
      <c r="T140" s="289"/>
      <c r="U140" s="289"/>
      <c r="V140" s="289"/>
      <c r="W140" s="289"/>
      <c r="X140" s="289"/>
      <c r="Y140" s="289"/>
      <c r="Z140" s="289"/>
      <c r="AA140" s="289"/>
      <c r="AB140" s="289"/>
      <c r="AC140" s="289"/>
      <c r="AD140" s="289"/>
      <c r="AE140" s="289"/>
      <c r="AF140" s="289"/>
      <c r="AG140" s="289"/>
      <c r="AH140" s="289"/>
      <c r="AI140" s="289"/>
      <c r="AJ140" s="289"/>
      <c r="AK140" s="289"/>
      <c r="AL140" s="289"/>
      <c r="AM140" s="289"/>
      <c r="AN140" s="289"/>
      <c r="AO140" s="289"/>
      <c r="AP140" s="289"/>
      <c r="AQ140" s="289"/>
      <c r="AR140" s="289"/>
      <c r="AS140" s="289"/>
      <c r="AT140" s="289"/>
      <c r="AU140" s="289"/>
      <c r="AV140" s="289"/>
      <c r="AW140" s="289"/>
      <c r="AX140" s="289"/>
      <c r="AY140" s="289"/>
      <c r="AZ140" s="289"/>
      <c r="BA140" s="289"/>
      <c r="BB140" s="289"/>
      <c r="BC140" s="289"/>
      <c r="BD140" s="289"/>
      <c r="BE140" s="289"/>
      <c r="BF140" s="289"/>
      <c r="BG140" s="289"/>
      <c r="BH140" s="289"/>
      <c r="BI140" s="289"/>
      <c r="BJ140" s="289"/>
    </row>
    <row r="141" spans="12:62">
      <c r="L141" s="289"/>
      <c r="M141" s="289"/>
      <c r="N141" s="289"/>
      <c r="O141" s="289"/>
      <c r="P141" s="289"/>
      <c r="Q141" s="289"/>
      <c r="R141" s="289"/>
      <c r="S141" s="289"/>
      <c r="T141" s="289"/>
      <c r="U141" s="289"/>
      <c r="V141" s="289"/>
      <c r="W141" s="289"/>
      <c r="X141" s="289"/>
      <c r="Y141" s="289"/>
      <c r="Z141" s="289"/>
      <c r="AA141" s="289"/>
      <c r="AB141" s="289"/>
      <c r="AC141" s="289"/>
      <c r="AD141" s="289"/>
      <c r="AE141" s="289"/>
      <c r="AF141" s="289"/>
      <c r="AG141" s="289"/>
      <c r="AH141" s="289"/>
      <c r="AI141" s="289"/>
      <c r="AJ141" s="289"/>
      <c r="AK141" s="289"/>
      <c r="AL141" s="289"/>
      <c r="AM141" s="289"/>
      <c r="AN141" s="289"/>
      <c r="AO141" s="289"/>
      <c r="AP141" s="289"/>
      <c r="AQ141" s="289"/>
      <c r="AR141" s="289"/>
      <c r="AS141" s="289"/>
      <c r="AT141" s="289"/>
      <c r="AU141" s="289"/>
      <c r="AV141" s="289"/>
      <c r="AW141" s="289"/>
      <c r="AX141" s="289"/>
      <c r="AY141" s="289"/>
      <c r="AZ141" s="289"/>
      <c r="BA141" s="289"/>
      <c r="BB141" s="289"/>
      <c r="BC141" s="289"/>
      <c r="BD141" s="289"/>
      <c r="BE141" s="289"/>
      <c r="BF141" s="289"/>
      <c r="BG141" s="289"/>
      <c r="BH141" s="289"/>
      <c r="BI141" s="289"/>
      <c r="BJ141" s="289"/>
    </row>
    <row r="142" spans="12:62">
      <c r="L142" s="289"/>
      <c r="M142" s="289"/>
      <c r="N142" s="289"/>
      <c r="O142" s="289"/>
      <c r="P142" s="289"/>
      <c r="Q142" s="289"/>
      <c r="R142" s="289"/>
      <c r="S142" s="289"/>
      <c r="T142" s="289"/>
      <c r="U142" s="289"/>
      <c r="V142" s="289"/>
      <c r="W142" s="289"/>
      <c r="X142" s="289"/>
      <c r="Y142" s="289"/>
      <c r="Z142" s="289"/>
      <c r="AA142" s="289"/>
      <c r="AB142" s="289"/>
      <c r="AC142" s="289"/>
      <c r="AD142" s="289"/>
      <c r="AE142" s="289"/>
      <c r="AF142" s="289"/>
      <c r="AG142" s="289"/>
      <c r="AH142" s="289"/>
      <c r="AI142" s="289"/>
      <c r="AJ142" s="289"/>
      <c r="AK142" s="289"/>
      <c r="AL142" s="289"/>
      <c r="AM142" s="289"/>
      <c r="AN142" s="289"/>
      <c r="AO142" s="289"/>
      <c r="AP142" s="289"/>
      <c r="AQ142" s="289"/>
      <c r="AR142" s="289"/>
      <c r="AS142" s="289"/>
      <c r="AT142" s="289"/>
      <c r="AU142" s="289"/>
      <c r="AV142" s="289"/>
      <c r="AW142" s="289"/>
      <c r="AX142" s="289"/>
      <c r="AY142" s="289"/>
      <c r="AZ142" s="289"/>
      <c r="BA142" s="289"/>
      <c r="BB142" s="289"/>
      <c r="BC142" s="289"/>
      <c r="BD142" s="289"/>
      <c r="BE142" s="289"/>
      <c r="BF142" s="289"/>
      <c r="BG142" s="289"/>
      <c r="BH142" s="289"/>
      <c r="BI142" s="289"/>
      <c r="BJ142" s="289"/>
    </row>
    <row r="143" spans="12:62">
      <c r="L143" s="289"/>
      <c r="M143" s="289"/>
      <c r="N143" s="289"/>
      <c r="O143" s="289"/>
      <c r="P143" s="289"/>
      <c r="Q143" s="289"/>
      <c r="R143" s="289"/>
      <c r="S143" s="289"/>
      <c r="T143" s="289"/>
      <c r="U143" s="289"/>
      <c r="V143" s="289"/>
      <c r="W143" s="289"/>
      <c r="X143" s="289"/>
      <c r="Y143" s="289"/>
      <c r="Z143" s="289"/>
      <c r="AA143" s="289"/>
      <c r="AB143" s="289"/>
      <c r="AC143" s="289"/>
      <c r="AD143" s="289"/>
      <c r="AE143" s="289"/>
      <c r="AF143" s="289"/>
      <c r="AG143" s="289"/>
      <c r="AH143" s="289"/>
      <c r="AI143" s="289"/>
      <c r="AJ143" s="289"/>
      <c r="AK143" s="289"/>
      <c r="AL143" s="289"/>
      <c r="AM143" s="289"/>
      <c r="AN143" s="289"/>
      <c r="AO143" s="289"/>
      <c r="AP143" s="289"/>
      <c r="AQ143" s="289"/>
      <c r="AR143" s="289"/>
      <c r="AS143" s="289"/>
      <c r="AT143" s="289"/>
      <c r="AU143" s="289"/>
      <c r="AV143" s="289"/>
      <c r="AW143" s="289"/>
      <c r="AX143" s="289"/>
      <c r="AY143" s="289"/>
      <c r="AZ143" s="289"/>
      <c r="BA143" s="289"/>
      <c r="BB143" s="289"/>
      <c r="BC143" s="289"/>
      <c r="BD143" s="289"/>
      <c r="BE143" s="289"/>
      <c r="BF143" s="289"/>
      <c r="BG143" s="289"/>
      <c r="BH143" s="289"/>
      <c r="BI143" s="289"/>
      <c r="BJ143" s="289"/>
    </row>
    <row r="144" spans="12:62">
      <c r="L144" s="289"/>
      <c r="M144" s="289"/>
      <c r="N144" s="289"/>
      <c r="O144" s="289"/>
      <c r="P144" s="289"/>
      <c r="Q144" s="289"/>
      <c r="R144" s="289"/>
      <c r="S144" s="289"/>
      <c r="T144" s="289"/>
      <c r="U144" s="289"/>
      <c r="V144" s="289"/>
      <c r="W144" s="289"/>
      <c r="X144" s="289"/>
      <c r="Y144" s="289"/>
      <c r="Z144" s="289"/>
      <c r="AA144" s="289"/>
      <c r="AB144" s="289"/>
      <c r="AC144" s="289"/>
      <c r="AD144" s="289"/>
      <c r="AE144" s="289"/>
      <c r="AF144" s="289"/>
      <c r="AG144" s="289"/>
      <c r="AH144" s="289"/>
      <c r="AI144" s="289"/>
      <c r="AJ144" s="289"/>
      <c r="AK144" s="289"/>
      <c r="AL144" s="289"/>
      <c r="AM144" s="289"/>
      <c r="AN144" s="289"/>
      <c r="AO144" s="289"/>
      <c r="AP144" s="289"/>
      <c r="AQ144" s="289"/>
      <c r="AR144" s="289"/>
      <c r="AS144" s="289"/>
      <c r="AT144" s="289"/>
      <c r="AU144" s="289"/>
      <c r="AV144" s="289"/>
      <c r="AW144" s="289"/>
      <c r="AX144" s="289"/>
      <c r="AY144" s="289"/>
      <c r="AZ144" s="289"/>
      <c r="BA144" s="289"/>
      <c r="BB144" s="289"/>
      <c r="BC144" s="289"/>
      <c r="BD144" s="289"/>
      <c r="BE144" s="289"/>
      <c r="BF144" s="289"/>
      <c r="BG144" s="289"/>
      <c r="BH144" s="289"/>
      <c r="BI144" s="289"/>
      <c r="BJ144" s="289"/>
    </row>
    <row r="145" spans="2:70">
      <c r="L145" s="289"/>
      <c r="M145" s="289"/>
      <c r="N145" s="289"/>
      <c r="O145" s="289"/>
      <c r="P145" s="289"/>
      <c r="Q145" s="289"/>
      <c r="R145" s="289"/>
      <c r="S145" s="289"/>
      <c r="T145" s="289"/>
      <c r="U145" s="289"/>
      <c r="V145" s="289"/>
      <c r="W145" s="289"/>
      <c r="X145" s="289"/>
      <c r="Y145" s="289"/>
      <c r="Z145" s="289"/>
      <c r="AA145" s="289"/>
      <c r="AB145" s="289"/>
      <c r="AC145" s="289"/>
      <c r="AD145" s="289"/>
      <c r="AE145" s="289"/>
      <c r="AF145" s="289"/>
      <c r="AG145" s="289"/>
      <c r="AH145" s="289"/>
      <c r="AI145" s="289"/>
      <c r="AJ145" s="289"/>
      <c r="AK145" s="289"/>
      <c r="AL145" s="289"/>
      <c r="AM145" s="289"/>
      <c r="AN145" s="289"/>
      <c r="AO145" s="289"/>
      <c r="AP145" s="289"/>
      <c r="AQ145" s="289"/>
      <c r="AR145" s="289"/>
      <c r="AS145" s="289"/>
      <c r="AT145" s="289"/>
      <c r="AU145" s="289"/>
      <c r="AV145" s="289"/>
      <c r="AW145" s="289"/>
      <c r="AX145" s="289"/>
      <c r="AY145" s="289"/>
      <c r="AZ145" s="289"/>
      <c r="BA145" s="289"/>
      <c r="BB145" s="289"/>
      <c r="BC145" s="289"/>
      <c r="BD145" s="289"/>
      <c r="BE145" s="289"/>
      <c r="BF145" s="289"/>
      <c r="BG145" s="289"/>
      <c r="BH145" s="289"/>
      <c r="BI145" s="289"/>
      <c r="BJ145" s="289"/>
    </row>
    <row r="146" spans="2:70">
      <c r="L146" s="289"/>
      <c r="M146" s="289"/>
      <c r="N146" s="289"/>
      <c r="O146" s="289"/>
      <c r="P146" s="289"/>
      <c r="Q146" s="289"/>
      <c r="R146" s="289"/>
      <c r="S146" s="289"/>
      <c r="T146" s="289"/>
      <c r="U146" s="289"/>
      <c r="V146" s="289"/>
      <c r="W146" s="289"/>
      <c r="X146" s="289"/>
      <c r="Y146" s="289"/>
      <c r="Z146" s="289"/>
      <c r="AA146" s="289"/>
      <c r="AB146" s="289"/>
      <c r="AC146" s="289"/>
      <c r="AD146" s="289"/>
      <c r="AE146" s="289"/>
      <c r="AF146" s="289"/>
      <c r="AG146" s="289"/>
      <c r="AH146" s="289"/>
      <c r="AI146" s="289"/>
      <c r="AJ146" s="289"/>
      <c r="AK146" s="289"/>
      <c r="AL146" s="289"/>
      <c r="AM146" s="289"/>
      <c r="AN146" s="289"/>
      <c r="AO146" s="289"/>
      <c r="AP146" s="289"/>
      <c r="AQ146" s="289"/>
      <c r="AR146" s="289"/>
      <c r="AS146" s="289"/>
      <c r="AT146" s="289"/>
      <c r="AU146" s="289"/>
      <c r="AV146" s="289"/>
      <c r="AW146" s="289"/>
      <c r="AX146" s="289"/>
      <c r="AY146" s="289"/>
      <c r="AZ146" s="289"/>
      <c r="BA146" s="289"/>
      <c r="BB146" s="289"/>
      <c r="BC146" s="289"/>
      <c r="BD146" s="289"/>
      <c r="BE146" s="289"/>
      <c r="BF146" s="289"/>
      <c r="BG146" s="289"/>
      <c r="BH146" s="289"/>
      <c r="BI146" s="289"/>
      <c r="BJ146" s="289"/>
    </row>
    <row r="147" spans="2:70">
      <c r="L147" s="289"/>
      <c r="M147" s="289"/>
      <c r="N147" s="289"/>
      <c r="O147" s="289"/>
      <c r="P147" s="289"/>
      <c r="Q147" s="289"/>
      <c r="R147" s="289"/>
      <c r="S147" s="289"/>
      <c r="T147" s="289"/>
      <c r="U147" s="289"/>
      <c r="V147" s="289"/>
      <c r="W147" s="289"/>
      <c r="X147" s="289"/>
      <c r="Y147" s="289"/>
      <c r="Z147" s="289"/>
      <c r="AA147" s="289"/>
      <c r="AB147" s="289"/>
      <c r="AC147" s="289"/>
      <c r="AD147" s="289"/>
      <c r="AE147" s="289"/>
      <c r="AF147" s="289"/>
      <c r="AG147" s="289"/>
      <c r="AH147" s="289"/>
      <c r="AI147" s="289"/>
      <c r="AJ147" s="289"/>
      <c r="AK147" s="289"/>
      <c r="AL147" s="289"/>
      <c r="AM147" s="289"/>
      <c r="AN147" s="289"/>
      <c r="AO147" s="289"/>
      <c r="AP147" s="289"/>
      <c r="AQ147" s="289"/>
      <c r="AR147" s="289"/>
      <c r="AS147" s="289"/>
      <c r="AT147" s="289"/>
      <c r="AU147" s="289"/>
      <c r="AV147" s="289"/>
      <c r="AW147" s="289"/>
      <c r="AX147" s="289"/>
      <c r="AY147" s="289"/>
      <c r="AZ147" s="289"/>
      <c r="BA147" s="289"/>
      <c r="BB147" s="289"/>
      <c r="BC147" s="289"/>
      <c r="BD147" s="289"/>
      <c r="BE147" s="289"/>
      <c r="BF147" s="289"/>
      <c r="BG147" s="289"/>
      <c r="BH147" s="289"/>
      <c r="BI147" s="289"/>
      <c r="BJ147" s="289"/>
    </row>
    <row r="148" spans="2:70">
      <c r="L148" s="289"/>
      <c r="M148" s="289"/>
      <c r="N148" s="289"/>
      <c r="O148" s="289"/>
      <c r="P148" s="289"/>
      <c r="Q148" s="289"/>
      <c r="R148" s="289"/>
      <c r="S148" s="289"/>
      <c r="T148" s="289"/>
      <c r="U148" s="289"/>
      <c r="V148" s="289"/>
      <c r="W148" s="289"/>
      <c r="X148" s="289"/>
      <c r="Y148" s="289"/>
      <c r="Z148" s="289"/>
      <c r="AA148" s="289"/>
      <c r="AB148" s="289"/>
      <c r="AC148" s="289"/>
      <c r="AD148" s="289"/>
      <c r="AE148" s="289"/>
      <c r="AF148" s="289"/>
      <c r="AG148" s="289"/>
      <c r="AH148" s="289"/>
      <c r="AI148" s="289"/>
      <c r="AJ148" s="289"/>
      <c r="AK148" s="289"/>
      <c r="AL148" s="289"/>
      <c r="AM148" s="289"/>
      <c r="AN148" s="289"/>
      <c r="AO148" s="289"/>
      <c r="AP148" s="289"/>
      <c r="AQ148" s="289"/>
      <c r="AR148" s="289"/>
      <c r="AS148" s="289"/>
      <c r="AT148" s="289"/>
      <c r="AU148" s="289"/>
      <c r="AV148" s="289"/>
      <c r="AW148" s="289"/>
      <c r="AX148" s="289"/>
      <c r="AY148" s="289"/>
      <c r="AZ148" s="289"/>
      <c r="BA148" s="289"/>
      <c r="BB148" s="289"/>
      <c r="BC148" s="289"/>
      <c r="BD148" s="289"/>
      <c r="BE148" s="289"/>
      <c r="BF148" s="289"/>
      <c r="BG148" s="289"/>
      <c r="BH148" s="289"/>
      <c r="BI148" s="289"/>
      <c r="BJ148" s="289"/>
    </row>
    <row r="149" spans="2:70">
      <c r="L149" s="289"/>
      <c r="M149" s="289"/>
      <c r="N149" s="289"/>
      <c r="O149" s="289"/>
      <c r="P149" s="289"/>
      <c r="Q149" s="289"/>
      <c r="R149" s="289"/>
      <c r="S149" s="289"/>
      <c r="T149" s="289"/>
      <c r="U149" s="289"/>
      <c r="V149" s="289"/>
      <c r="W149" s="289"/>
      <c r="X149" s="289"/>
      <c r="Y149" s="289"/>
      <c r="Z149" s="289"/>
      <c r="AA149" s="289"/>
      <c r="AB149" s="289"/>
      <c r="AC149" s="289"/>
      <c r="AD149" s="289"/>
      <c r="AE149" s="289"/>
      <c r="AF149" s="289"/>
      <c r="AG149" s="289"/>
      <c r="AH149" s="289"/>
      <c r="AI149" s="289"/>
      <c r="AJ149" s="289"/>
      <c r="AK149" s="289"/>
      <c r="AL149" s="289"/>
      <c r="AM149" s="289"/>
      <c r="AN149" s="289"/>
      <c r="AO149" s="289"/>
      <c r="AP149" s="289"/>
      <c r="AQ149" s="289"/>
      <c r="AR149" s="289"/>
      <c r="AS149" s="289"/>
      <c r="AT149" s="289"/>
      <c r="AU149" s="289"/>
      <c r="AV149" s="289"/>
      <c r="AW149" s="289"/>
      <c r="AX149" s="289"/>
      <c r="AY149" s="289"/>
      <c r="AZ149" s="289"/>
      <c r="BA149" s="289"/>
      <c r="BB149" s="289"/>
      <c r="BC149" s="289"/>
      <c r="BD149" s="289"/>
      <c r="BE149" s="289"/>
      <c r="BF149" s="289"/>
      <c r="BG149" s="289"/>
      <c r="BH149" s="289"/>
      <c r="BI149" s="289"/>
      <c r="BJ149" s="289"/>
    </row>
    <row r="150" spans="2:70">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c r="AQ150" s="289"/>
      <c r="AR150" s="289"/>
      <c r="AS150" s="289"/>
      <c r="AT150" s="289"/>
      <c r="AU150" s="289"/>
      <c r="AV150" s="289"/>
      <c r="AW150" s="289"/>
      <c r="AX150" s="289"/>
      <c r="AY150" s="289"/>
      <c r="AZ150" s="289"/>
      <c r="BA150" s="289"/>
      <c r="BB150" s="289"/>
      <c r="BC150" s="289"/>
      <c r="BD150" s="289"/>
      <c r="BE150" s="289"/>
      <c r="BF150" s="289"/>
      <c r="BG150" s="289"/>
      <c r="BH150" s="289"/>
      <c r="BI150" s="289"/>
      <c r="BJ150" s="289"/>
    </row>
    <row r="151" spans="2:70">
      <c r="L151" s="289"/>
      <c r="M151" s="289"/>
      <c r="N151" s="291"/>
      <c r="O151" s="291"/>
      <c r="P151" s="291"/>
      <c r="Q151" s="291"/>
      <c r="R151" s="291"/>
      <c r="S151" s="291"/>
      <c r="T151" s="291"/>
      <c r="U151" s="289"/>
      <c r="V151" s="289"/>
      <c r="W151" s="291" t="s">
        <v>510</v>
      </c>
      <c r="X151" s="291"/>
      <c r="Y151" s="291" t="s">
        <v>523</v>
      </c>
      <c r="Z151" s="291"/>
      <c r="AA151" s="291" t="s">
        <v>524</v>
      </c>
      <c r="AB151" s="291"/>
      <c r="AC151" s="291" t="s">
        <v>525</v>
      </c>
      <c r="AD151" s="289"/>
      <c r="AE151" s="289"/>
      <c r="AF151" s="289"/>
      <c r="AG151" s="291" t="s">
        <v>510</v>
      </c>
      <c r="AH151" s="291"/>
      <c r="AI151" s="291" t="s">
        <v>523</v>
      </c>
      <c r="AJ151" s="291"/>
      <c r="AK151" s="291" t="s">
        <v>524</v>
      </c>
      <c r="AL151" s="291"/>
      <c r="AM151" s="291" t="s">
        <v>525</v>
      </c>
      <c r="AN151" s="289"/>
      <c r="AO151" s="289"/>
      <c r="AP151" s="289"/>
      <c r="AQ151" s="291" t="s">
        <v>510</v>
      </c>
      <c r="AR151" s="291"/>
      <c r="AS151" s="291" t="s">
        <v>523</v>
      </c>
      <c r="AT151" s="291"/>
      <c r="AU151" s="291" t="s">
        <v>524</v>
      </c>
      <c r="AV151" s="291"/>
      <c r="AW151" s="291" t="s">
        <v>525</v>
      </c>
      <c r="AX151" s="289"/>
      <c r="AY151" s="289"/>
      <c r="AZ151" s="289"/>
      <c r="BA151" s="291" t="s">
        <v>510</v>
      </c>
      <c r="BB151" s="291"/>
      <c r="BC151" s="291" t="s">
        <v>523</v>
      </c>
      <c r="BD151" s="291"/>
      <c r="BE151" s="291" t="s">
        <v>524</v>
      </c>
      <c r="BF151" s="291"/>
      <c r="BG151" s="291" t="s">
        <v>525</v>
      </c>
      <c r="BH151" s="289"/>
      <c r="BI151" s="289"/>
      <c r="BJ151" s="289"/>
      <c r="BK151" s="292" t="s">
        <v>510</v>
      </c>
      <c r="BL151" s="292"/>
      <c r="BM151" s="292" t="s">
        <v>523</v>
      </c>
      <c r="BN151" s="292"/>
      <c r="BO151" s="292" t="s">
        <v>524</v>
      </c>
      <c r="BP151" s="292"/>
      <c r="BQ151" s="292" t="s">
        <v>525</v>
      </c>
      <c r="BR151" s="293"/>
    </row>
    <row r="152" spans="2:70">
      <c r="L152" s="289"/>
      <c r="M152" s="289"/>
      <c r="N152" s="291"/>
      <c r="O152" s="291"/>
      <c r="P152" s="291"/>
      <c r="Q152" s="291"/>
      <c r="R152" s="291"/>
      <c r="S152" s="291"/>
      <c r="T152" s="291"/>
      <c r="U152" s="289"/>
      <c r="V152" s="289"/>
      <c r="W152" s="291">
        <v>0.46</v>
      </c>
      <c r="X152" s="291"/>
      <c r="Y152" s="291">
        <v>0.214</v>
      </c>
      <c r="Z152" s="291"/>
      <c r="AA152" s="291">
        <v>0.27300000000000002</v>
      </c>
      <c r="AB152" s="291"/>
      <c r="AC152" s="291">
        <v>0.52</v>
      </c>
      <c r="AD152" s="289"/>
      <c r="AE152" s="289"/>
      <c r="AF152" s="289"/>
      <c r="AG152" s="291">
        <v>0.46600000000000003</v>
      </c>
      <c r="AH152" s="291"/>
      <c r="AI152" s="291">
        <v>0.21299999999999999</v>
      </c>
      <c r="AJ152" s="291"/>
      <c r="AK152" s="291">
        <v>0.26900000000000002</v>
      </c>
      <c r="AL152" s="291"/>
      <c r="AM152" s="291">
        <v>0.52400000000000002</v>
      </c>
      <c r="AN152" s="289"/>
      <c r="AO152" s="289"/>
      <c r="AP152" s="289"/>
      <c r="AQ152" s="291">
        <v>0.47</v>
      </c>
      <c r="AR152" s="291"/>
      <c r="AS152" s="291">
        <v>0.21</v>
      </c>
      <c r="AT152" s="291"/>
      <c r="AU152" s="291">
        <v>0.26700000000000002</v>
      </c>
      <c r="AV152" s="291"/>
      <c r="AW152" s="291">
        <v>0.53</v>
      </c>
      <c r="AX152" s="289"/>
      <c r="AY152" s="289"/>
      <c r="AZ152" s="289"/>
      <c r="BA152" s="291">
        <v>0.46800000000000003</v>
      </c>
      <c r="BB152" s="291"/>
      <c r="BC152" s="291">
        <v>0.21199999999999999</v>
      </c>
      <c r="BD152" s="291"/>
      <c r="BE152" s="291">
        <v>0.26800000000000002</v>
      </c>
      <c r="BF152" s="291"/>
      <c r="BG152" s="291">
        <v>0.52700000000000002</v>
      </c>
      <c r="BH152" s="289"/>
      <c r="BI152" s="289"/>
      <c r="BJ152" s="289"/>
      <c r="BK152" s="292">
        <v>0.47</v>
      </c>
      <c r="BL152" s="292"/>
      <c r="BM152" s="292">
        <v>0.21199999999999999</v>
      </c>
      <c r="BN152" s="292"/>
      <c r="BO152" s="292">
        <v>0.26800000000000002</v>
      </c>
      <c r="BP152" s="292"/>
      <c r="BQ152" s="292">
        <v>0.53</v>
      </c>
      <c r="BR152" s="293"/>
    </row>
    <row r="153" spans="2:70">
      <c r="B153" s="774" t="s">
        <v>526</v>
      </c>
      <c r="C153" s="775"/>
      <c r="D153" s="775"/>
      <c r="E153" s="775"/>
      <c r="F153" s="776"/>
      <c r="L153" s="289"/>
      <c r="M153" s="289"/>
      <c r="N153" s="291"/>
      <c r="O153" s="291"/>
      <c r="P153" s="291"/>
      <c r="Q153" s="291"/>
      <c r="R153" s="291"/>
      <c r="S153" s="291"/>
      <c r="T153" s="291"/>
      <c r="U153" s="289"/>
      <c r="V153" s="289"/>
      <c r="W153" s="291">
        <f t="shared" ref="W153:W159" si="19">W152</f>
        <v>0.46</v>
      </c>
      <c r="X153" s="291"/>
      <c r="Y153" s="291">
        <f t="shared" ref="Y153:Y159" si="20">Y152</f>
        <v>0.214</v>
      </c>
      <c r="Z153" s="291"/>
      <c r="AA153" s="291">
        <f t="shared" ref="AA153:AA159" si="21">AA152</f>
        <v>0.27300000000000002</v>
      </c>
      <c r="AB153" s="291"/>
      <c r="AC153" s="291">
        <f t="shared" ref="AC153:AC162" si="22">AC152</f>
        <v>0.52</v>
      </c>
      <c r="AD153" s="289"/>
      <c r="AE153" s="289"/>
      <c r="AF153" s="289"/>
      <c r="AG153" s="291">
        <f t="shared" ref="AG153:AG159" si="23">AG152</f>
        <v>0.46600000000000003</v>
      </c>
      <c r="AH153" s="291"/>
      <c r="AI153" s="291">
        <f t="shared" ref="AI153:AI159" si="24">AI152</f>
        <v>0.21299999999999999</v>
      </c>
      <c r="AJ153" s="291"/>
      <c r="AK153" s="291">
        <f t="shared" ref="AK153:AK159" si="25">AK152</f>
        <v>0.26900000000000002</v>
      </c>
      <c r="AL153" s="291"/>
      <c r="AM153" s="291">
        <f t="shared" ref="AM153:AM162" si="26">AM152</f>
        <v>0.52400000000000002</v>
      </c>
      <c r="AN153" s="289"/>
      <c r="AO153" s="289"/>
      <c r="AP153" s="289"/>
      <c r="AQ153" s="291">
        <f t="shared" ref="AQ153:AQ159" si="27">AQ152</f>
        <v>0.47</v>
      </c>
      <c r="AR153" s="291"/>
      <c r="AS153" s="291">
        <f t="shared" ref="AS153:AS159" si="28">AS152</f>
        <v>0.21</v>
      </c>
      <c r="AT153" s="291"/>
      <c r="AU153" s="291">
        <f t="shared" ref="AU153:AU159" si="29">AU152</f>
        <v>0.26700000000000002</v>
      </c>
      <c r="AV153" s="291"/>
      <c r="AW153" s="291">
        <f t="shared" ref="AW153:AW162" si="30">AW152</f>
        <v>0.53</v>
      </c>
      <c r="AX153" s="289"/>
      <c r="AY153" s="289"/>
      <c r="AZ153" s="289"/>
      <c r="BA153" s="291">
        <f t="shared" ref="BA153:BA159" si="31">BA152</f>
        <v>0.46800000000000003</v>
      </c>
      <c r="BB153" s="291"/>
      <c r="BC153" s="291">
        <f t="shared" ref="BC153:BC159" si="32">BC152</f>
        <v>0.21199999999999999</v>
      </c>
      <c r="BD153" s="291"/>
      <c r="BE153" s="291">
        <f t="shared" ref="BE153:BE159" si="33">BE152</f>
        <v>0.26800000000000002</v>
      </c>
      <c r="BF153" s="291"/>
      <c r="BG153" s="291">
        <f t="shared" ref="BG153:BG162" si="34">BG152</f>
        <v>0.52700000000000002</v>
      </c>
      <c r="BH153" s="289"/>
      <c r="BI153" s="289"/>
      <c r="BJ153" s="289"/>
      <c r="BK153" s="292">
        <f t="shared" ref="BK153:BK159" si="35">BK152</f>
        <v>0.47</v>
      </c>
      <c r="BL153" s="292"/>
      <c r="BM153" s="292">
        <f t="shared" ref="BM153:BM159" si="36">BM152</f>
        <v>0.21199999999999999</v>
      </c>
      <c r="BN153" s="292"/>
      <c r="BO153" s="292">
        <f t="shared" ref="BO153:BO159" si="37">BO152</f>
        <v>0.26800000000000002</v>
      </c>
      <c r="BP153" s="292"/>
      <c r="BQ153" s="292">
        <f t="shared" ref="BQ153:BQ162" si="38">BQ152</f>
        <v>0.53</v>
      </c>
      <c r="BR153" s="293"/>
    </row>
    <row r="154" spans="2:70">
      <c r="B154" s="250" t="s">
        <v>10</v>
      </c>
      <c r="C154" s="250" t="s">
        <v>510</v>
      </c>
      <c r="D154" s="250" t="s">
        <v>523</v>
      </c>
      <c r="E154" s="250" t="s">
        <v>524</v>
      </c>
      <c r="F154" s="250" t="s">
        <v>525</v>
      </c>
      <c r="L154" s="289"/>
      <c r="M154" s="289"/>
      <c r="N154" s="291"/>
      <c r="O154" s="291"/>
      <c r="P154" s="291"/>
      <c r="Q154" s="291"/>
      <c r="R154" s="291"/>
      <c r="S154" s="291"/>
      <c r="T154" s="291"/>
      <c r="U154" s="289"/>
      <c r="V154" s="289"/>
      <c r="W154" s="291">
        <f t="shared" si="19"/>
        <v>0.46</v>
      </c>
      <c r="X154" s="291"/>
      <c r="Y154" s="291">
        <f t="shared" si="20"/>
        <v>0.214</v>
      </c>
      <c r="Z154" s="291"/>
      <c r="AA154" s="291">
        <f t="shared" si="21"/>
        <v>0.27300000000000002</v>
      </c>
      <c r="AB154" s="291"/>
      <c r="AC154" s="291">
        <f t="shared" si="22"/>
        <v>0.52</v>
      </c>
      <c r="AD154" s="289"/>
      <c r="AE154" s="289"/>
      <c r="AF154" s="289"/>
      <c r="AG154" s="291">
        <f t="shared" si="23"/>
        <v>0.46600000000000003</v>
      </c>
      <c r="AH154" s="291"/>
      <c r="AI154" s="291">
        <f t="shared" si="24"/>
        <v>0.21299999999999999</v>
      </c>
      <c r="AJ154" s="291"/>
      <c r="AK154" s="291">
        <f t="shared" si="25"/>
        <v>0.26900000000000002</v>
      </c>
      <c r="AL154" s="291"/>
      <c r="AM154" s="291">
        <f t="shared" si="26"/>
        <v>0.52400000000000002</v>
      </c>
      <c r="AN154" s="289"/>
      <c r="AO154" s="289"/>
      <c r="AP154" s="289"/>
      <c r="AQ154" s="291">
        <f t="shared" si="27"/>
        <v>0.47</v>
      </c>
      <c r="AR154" s="291"/>
      <c r="AS154" s="291">
        <f t="shared" si="28"/>
        <v>0.21</v>
      </c>
      <c r="AT154" s="291"/>
      <c r="AU154" s="291">
        <f t="shared" si="29"/>
        <v>0.26700000000000002</v>
      </c>
      <c r="AV154" s="291"/>
      <c r="AW154" s="291">
        <f t="shared" si="30"/>
        <v>0.53</v>
      </c>
      <c r="AX154" s="289"/>
      <c r="AY154" s="289"/>
      <c r="AZ154" s="289"/>
      <c r="BA154" s="291">
        <f t="shared" si="31"/>
        <v>0.46800000000000003</v>
      </c>
      <c r="BB154" s="291"/>
      <c r="BC154" s="291">
        <f t="shared" si="32"/>
        <v>0.21199999999999999</v>
      </c>
      <c r="BD154" s="291"/>
      <c r="BE154" s="291">
        <f t="shared" si="33"/>
        <v>0.26800000000000002</v>
      </c>
      <c r="BF154" s="291"/>
      <c r="BG154" s="291">
        <f t="shared" si="34"/>
        <v>0.52700000000000002</v>
      </c>
      <c r="BH154" s="289"/>
      <c r="BI154" s="289"/>
      <c r="BJ154" s="289"/>
      <c r="BK154" s="292">
        <f t="shared" si="35"/>
        <v>0.47</v>
      </c>
      <c r="BL154" s="292"/>
      <c r="BM154" s="292">
        <f t="shared" si="36"/>
        <v>0.21199999999999999</v>
      </c>
      <c r="BN154" s="292"/>
      <c r="BO154" s="292">
        <f t="shared" si="37"/>
        <v>0.26800000000000002</v>
      </c>
      <c r="BP154" s="292"/>
      <c r="BQ154" s="292">
        <f t="shared" si="38"/>
        <v>0.53</v>
      </c>
      <c r="BR154" s="293"/>
    </row>
    <row r="155" spans="2:70">
      <c r="B155" s="259">
        <v>14</v>
      </c>
      <c r="C155" s="250">
        <v>0.46100000000000002</v>
      </c>
      <c r="D155" s="250">
        <f>P152</f>
        <v>0</v>
      </c>
      <c r="E155" s="250">
        <v>0.34</v>
      </c>
      <c r="F155" s="250">
        <f>T152</f>
        <v>0</v>
      </c>
      <c r="L155" s="289"/>
      <c r="M155" s="289"/>
      <c r="N155" s="291"/>
      <c r="O155" s="291"/>
      <c r="P155" s="291"/>
      <c r="Q155" s="291"/>
      <c r="R155" s="291"/>
      <c r="S155" s="291"/>
      <c r="T155" s="291"/>
      <c r="U155" s="289"/>
      <c r="V155" s="289"/>
      <c r="W155" s="291">
        <f t="shared" si="19"/>
        <v>0.46</v>
      </c>
      <c r="X155" s="291"/>
      <c r="Y155" s="291">
        <f t="shared" si="20"/>
        <v>0.214</v>
      </c>
      <c r="Z155" s="291"/>
      <c r="AA155" s="291">
        <f t="shared" si="21"/>
        <v>0.27300000000000002</v>
      </c>
      <c r="AB155" s="291"/>
      <c r="AC155" s="291">
        <f t="shared" si="22"/>
        <v>0.52</v>
      </c>
      <c r="AD155" s="289"/>
      <c r="AE155" s="289"/>
      <c r="AF155" s="289"/>
      <c r="AG155" s="291">
        <f t="shared" si="23"/>
        <v>0.46600000000000003</v>
      </c>
      <c r="AH155" s="291"/>
      <c r="AI155" s="291">
        <f t="shared" si="24"/>
        <v>0.21299999999999999</v>
      </c>
      <c r="AJ155" s="291"/>
      <c r="AK155" s="291">
        <f t="shared" si="25"/>
        <v>0.26900000000000002</v>
      </c>
      <c r="AL155" s="291"/>
      <c r="AM155" s="291">
        <f t="shared" si="26"/>
        <v>0.52400000000000002</v>
      </c>
      <c r="AN155" s="289"/>
      <c r="AO155" s="289"/>
      <c r="AP155" s="289"/>
      <c r="AQ155" s="291">
        <f t="shared" si="27"/>
        <v>0.47</v>
      </c>
      <c r="AR155" s="291"/>
      <c r="AS155" s="291">
        <f t="shared" si="28"/>
        <v>0.21</v>
      </c>
      <c r="AT155" s="291"/>
      <c r="AU155" s="291">
        <f t="shared" si="29"/>
        <v>0.26700000000000002</v>
      </c>
      <c r="AV155" s="291"/>
      <c r="AW155" s="291">
        <f t="shared" si="30"/>
        <v>0.53</v>
      </c>
      <c r="AX155" s="289"/>
      <c r="AY155" s="289"/>
      <c r="AZ155" s="289"/>
      <c r="BA155" s="291">
        <f t="shared" si="31"/>
        <v>0.46800000000000003</v>
      </c>
      <c r="BB155" s="291"/>
      <c r="BC155" s="291">
        <f t="shared" si="32"/>
        <v>0.21199999999999999</v>
      </c>
      <c r="BD155" s="291"/>
      <c r="BE155" s="291">
        <f t="shared" si="33"/>
        <v>0.26800000000000002</v>
      </c>
      <c r="BF155" s="291"/>
      <c r="BG155" s="291">
        <f t="shared" si="34"/>
        <v>0.52700000000000002</v>
      </c>
      <c r="BH155" s="289"/>
      <c r="BI155" s="289"/>
      <c r="BJ155" s="289"/>
      <c r="BK155" s="292">
        <f t="shared" si="35"/>
        <v>0.47</v>
      </c>
      <c r="BL155" s="292"/>
      <c r="BM155" s="292">
        <f t="shared" si="36"/>
        <v>0.21199999999999999</v>
      </c>
      <c r="BN155" s="292"/>
      <c r="BO155" s="292">
        <f t="shared" si="37"/>
        <v>0.26800000000000002</v>
      </c>
      <c r="BP155" s="292"/>
      <c r="BQ155" s="292">
        <f t="shared" si="38"/>
        <v>0.53</v>
      </c>
      <c r="BR155" s="293"/>
    </row>
    <row r="156" spans="2:70">
      <c r="B156" s="265">
        <v>13</v>
      </c>
      <c r="C156" s="255">
        <v>0.46300000000000002</v>
      </c>
      <c r="D156" s="255">
        <f>Y152</f>
        <v>0.214</v>
      </c>
      <c r="E156" s="255">
        <v>0.33900000000000002</v>
      </c>
      <c r="F156" s="294">
        <f>AC152</f>
        <v>0.52</v>
      </c>
      <c r="L156" s="289"/>
      <c r="M156" s="289"/>
      <c r="N156" s="291"/>
      <c r="O156" s="291"/>
      <c r="P156" s="291"/>
      <c r="Q156" s="291"/>
      <c r="R156" s="291"/>
      <c r="S156" s="291"/>
      <c r="T156" s="291"/>
      <c r="U156" s="289"/>
      <c r="V156" s="289"/>
      <c r="W156" s="291">
        <f t="shared" si="19"/>
        <v>0.46</v>
      </c>
      <c r="X156" s="291"/>
      <c r="Y156" s="291">
        <f t="shared" si="20"/>
        <v>0.214</v>
      </c>
      <c r="Z156" s="291"/>
      <c r="AA156" s="291">
        <f t="shared" si="21"/>
        <v>0.27300000000000002</v>
      </c>
      <c r="AB156" s="291"/>
      <c r="AC156" s="291">
        <f t="shared" si="22"/>
        <v>0.52</v>
      </c>
      <c r="AD156" s="289"/>
      <c r="AE156" s="289"/>
      <c r="AF156" s="289"/>
      <c r="AG156" s="291">
        <f t="shared" si="23"/>
        <v>0.46600000000000003</v>
      </c>
      <c r="AH156" s="291"/>
      <c r="AI156" s="291">
        <f t="shared" si="24"/>
        <v>0.21299999999999999</v>
      </c>
      <c r="AJ156" s="291"/>
      <c r="AK156" s="291">
        <f t="shared" si="25"/>
        <v>0.26900000000000002</v>
      </c>
      <c r="AL156" s="291"/>
      <c r="AM156" s="291">
        <f t="shared" si="26"/>
        <v>0.52400000000000002</v>
      </c>
      <c r="AN156" s="289"/>
      <c r="AO156" s="289"/>
      <c r="AP156" s="289"/>
      <c r="AQ156" s="291">
        <f t="shared" si="27"/>
        <v>0.47</v>
      </c>
      <c r="AR156" s="291"/>
      <c r="AS156" s="291">
        <f t="shared" si="28"/>
        <v>0.21</v>
      </c>
      <c r="AT156" s="291"/>
      <c r="AU156" s="291">
        <f t="shared" si="29"/>
        <v>0.26700000000000002</v>
      </c>
      <c r="AV156" s="291"/>
      <c r="AW156" s="291">
        <f t="shared" si="30"/>
        <v>0.53</v>
      </c>
      <c r="AX156" s="289"/>
      <c r="AY156" s="289"/>
      <c r="AZ156" s="289"/>
      <c r="BA156" s="291">
        <f t="shared" si="31"/>
        <v>0.46800000000000003</v>
      </c>
      <c r="BB156" s="291"/>
      <c r="BC156" s="291">
        <f t="shared" si="32"/>
        <v>0.21199999999999999</v>
      </c>
      <c r="BD156" s="291"/>
      <c r="BE156" s="291">
        <f t="shared" si="33"/>
        <v>0.26800000000000002</v>
      </c>
      <c r="BF156" s="291"/>
      <c r="BG156" s="291">
        <f t="shared" si="34"/>
        <v>0.52700000000000002</v>
      </c>
      <c r="BH156" s="289"/>
      <c r="BI156" s="289"/>
      <c r="BJ156" s="289"/>
      <c r="BK156" s="292">
        <f t="shared" si="35"/>
        <v>0.47</v>
      </c>
      <c r="BL156" s="292"/>
      <c r="BM156" s="292">
        <f t="shared" si="36"/>
        <v>0.21199999999999999</v>
      </c>
      <c r="BN156" s="292"/>
      <c r="BO156" s="292">
        <f t="shared" si="37"/>
        <v>0.26800000000000002</v>
      </c>
      <c r="BP156" s="292"/>
      <c r="BQ156" s="292">
        <f t="shared" si="38"/>
        <v>0.53</v>
      </c>
      <c r="BR156" s="293"/>
    </row>
    <row r="157" spans="2:70">
      <c r="B157" s="259">
        <v>12</v>
      </c>
      <c r="C157" s="250">
        <v>0.46300000000000002</v>
      </c>
      <c r="D157" s="250">
        <f>AI152</f>
        <v>0.21299999999999999</v>
      </c>
      <c r="E157" s="250">
        <v>0.33700000000000002</v>
      </c>
      <c r="F157" s="295">
        <f>AM152</f>
        <v>0.52400000000000002</v>
      </c>
      <c r="L157" s="289"/>
      <c r="M157" s="289"/>
      <c r="N157" s="291"/>
      <c r="O157" s="291"/>
      <c r="P157" s="291"/>
      <c r="Q157" s="291"/>
      <c r="R157" s="291"/>
      <c r="S157" s="291"/>
      <c r="T157" s="291"/>
      <c r="U157" s="289"/>
      <c r="V157" s="289"/>
      <c r="W157" s="291">
        <f t="shared" si="19"/>
        <v>0.46</v>
      </c>
      <c r="X157" s="291"/>
      <c r="Y157" s="291">
        <f t="shared" si="20"/>
        <v>0.214</v>
      </c>
      <c r="Z157" s="291"/>
      <c r="AA157" s="291">
        <f t="shared" si="21"/>
        <v>0.27300000000000002</v>
      </c>
      <c r="AB157" s="291"/>
      <c r="AC157" s="291">
        <f t="shared" si="22"/>
        <v>0.52</v>
      </c>
      <c r="AD157" s="289"/>
      <c r="AE157" s="289"/>
      <c r="AF157" s="289"/>
      <c r="AG157" s="291">
        <f t="shared" si="23"/>
        <v>0.46600000000000003</v>
      </c>
      <c r="AH157" s="291"/>
      <c r="AI157" s="291">
        <f t="shared" si="24"/>
        <v>0.21299999999999999</v>
      </c>
      <c r="AJ157" s="291"/>
      <c r="AK157" s="291">
        <f t="shared" si="25"/>
        <v>0.26900000000000002</v>
      </c>
      <c r="AL157" s="291"/>
      <c r="AM157" s="291">
        <f t="shared" si="26"/>
        <v>0.52400000000000002</v>
      </c>
      <c r="AN157" s="289"/>
      <c r="AO157" s="289"/>
      <c r="AP157" s="289"/>
      <c r="AQ157" s="291">
        <f t="shared" si="27"/>
        <v>0.47</v>
      </c>
      <c r="AR157" s="291"/>
      <c r="AS157" s="291">
        <f t="shared" si="28"/>
        <v>0.21</v>
      </c>
      <c r="AT157" s="291"/>
      <c r="AU157" s="291">
        <f t="shared" si="29"/>
        <v>0.26700000000000002</v>
      </c>
      <c r="AV157" s="291"/>
      <c r="AW157" s="291">
        <f t="shared" si="30"/>
        <v>0.53</v>
      </c>
      <c r="AX157" s="289"/>
      <c r="AY157" s="289"/>
      <c r="AZ157" s="289"/>
      <c r="BA157" s="291">
        <f t="shared" si="31"/>
        <v>0.46800000000000003</v>
      </c>
      <c r="BB157" s="291"/>
      <c r="BC157" s="291">
        <f t="shared" si="32"/>
        <v>0.21199999999999999</v>
      </c>
      <c r="BD157" s="291"/>
      <c r="BE157" s="291">
        <f t="shared" si="33"/>
        <v>0.26800000000000002</v>
      </c>
      <c r="BF157" s="291"/>
      <c r="BG157" s="291">
        <f t="shared" si="34"/>
        <v>0.52700000000000002</v>
      </c>
      <c r="BH157" s="289"/>
      <c r="BI157" s="289"/>
      <c r="BJ157" s="289"/>
      <c r="BK157" s="292">
        <f t="shared" si="35"/>
        <v>0.47</v>
      </c>
      <c r="BL157" s="292"/>
      <c r="BM157" s="292">
        <f t="shared" si="36"/>
        <v>0.21199999999999999</v>
      </c>
      <c r="BN157" s="292"/>
      <c r="BO157" s="292">
        <f t="shared" si="37"/>
        <v>0.26800000000000002</v>
      </c>
      <c r="BP157" s="292"/>
      <c r="BQ157" s="292">
        <f t="shared" si="38"/>
        <v>0.53</v>
      </c>
      <c r="BR157" s="293"/>
    </row>
    <row r="158" spans="2:70">
      <c r="B158" s="259">
        <v>11</v>
      </c>
      <c r="C158" s="250">
        <v>0.46400000000000002</v>
      </c>
      <c r="D158" s="250">
        <f>AS152</f>
        <v>0.21</v>
      </c>
      <c r="E158" s="250">
        <v>0.33600000000000002</v>
      </c>
      <c r="F158" s="250">
        <f>AW152</f>
        <v>0.53</v>
      </c>
      <c r="L158" s="289"/>
      <c r="M158" s="289"/>
      <c r="N158" s="291"/>
      <c r="O158" s="291"/>
      <c r="P158" s="291"/>
      <c r="Q158" s="291"/>
      <c r="R158" s="291"/>
      <c r="S158" s="291"/>
      <c r="T158" s="291"/>
      <c r="U158" s="289"/>
      <c r="V158" s="289"/>
      <c r="W158" s="291">
        <f t="shared" si="19"/>
        <v>0.46</v>
      </c>
      <c r="X158" s="291"/>
      <c r="Y158" s="291">
        <f t="shared" si="20"/>
        <v>0.214</v>
      </c>
      <c r="Z158" s="291"/>
      <c r="AA158" s="291">
        <f t="shared" si="21"/>
        <v>0.27300000000000002</v>
      </c>
      <c r="AB158" s="291"/>
      <c r="AC158" s="291">
        <f t="shared" si="22"/>
        <v>0.52</v>
      </c>
      <c r="AD158" s="289"/>
      <c r="AE158" s="289"/>
      <c r="AF158" s="289"/>
      <c r="AG158" s="291">
        <f t="shared" si="23"/>
        <v>0.46600000000000003</v>
      </c>
      <c r="AH158" s="291"/>
      <c r="AI158" s="291">
        <f t="shared" si="24"/>
        <v>0.21299999999999999</v>
      </c>
      <c r="AJ158" s="291"/>
      <c r="AK158" s="291">
        <f t="shared" si="25"/>
        <v>0.26900000000000002</v>
      </c>
      <c r="AL158" s="291"/>
      <c r="AM158" s="291">
        <f t="shared" si="26"/>
        <v>0.52400000000000002</v>
      </c>
      <c r="AN158" s="289"/>
      <c r="AO158" s="289"/>
      <c r="AP158" s="289"/>
      <c r="AQ158" s="291">
        <f t="shared" si="27"/>
        <v>0.47</v>
      </c>
      <c r="AR158" s="291"/>
      <c r="AS158" s="291">
        <f t="shared" si="28"/>
        <v>0.21</v>
      </c>
      <c r="AT158" s="291"/>
      <c r="AU158" s="291">
        <f t="shared" si="29"/>
        <v>0.26700000000000002</v>
      </c>
      <c r="AV158" s="291"/>
      <c r="AW158" s="291">
        <f t="shared" si="30"/>
        <v>0.53</v>
      </c>
      <c r="AX158" s="289"/>
      <c r="AY158" s="289"/>
      <c r="AZ158" s="289"/>
      <c r="BA158" s="291">
        <f t="shared" si="31"/>
        <v>0.46800000000000003</v>
      </c>
      <c r="BB158" s="291"/>
      <c r="BC158" s="291">
        <f t="shared" si="32"/>
        <v>0.21199999999999999</v>
      </c>
      <c r="BD158" s="291"/>
      <c r="BE158" s="291">
        <f t="shared" si="33"/>
        <v>0.26800000000000002</v>
      </c>
      <c r="BF158" s="291"/>
      <c r="BG158" s="291">
        <f t="shared" si="34"/>
        <v>0.52700000000000002</v>
      </c>
      <c r="BH158" s="289"/>
      <c r="BI158" s="289"/>
      <c r="BJ158" s="289"/>
      <c r="BK158" s="292">
        <f t="shared" si="35"/>
        <v>0.47</v>
      </c>
      <c r="BL158" s="292"/>
      <c r="BM158" s="292">
        <f t="shared" si="36"/>
        <v>0.21199999999999999</v>
      </c>
      <c r="BN158" s="292"/>
      <c r="BO158" s="292">
        <f t="shared" si="37"/>
        <v>0.26800000000000002</v>
      </c>
      <c r="BP158" s="292"/>
      <c r="BQ158" s="292">
        <f t="shared" si="38"/>
        <v>0.53</v>
      </c>
      <c r="BR158" s="293"/>
    </row>
    <row r="159" spans="2:70">
      <c r="B159" s="259">
        <v>10</v>
      </c>
      <c r="C159" s="250">
        <v>0.46600000000000003</v>
      </c>
      <c r="D159" s="250">
        <f>BC152</f>
        <v>0.21199999999999999</v>
      </c>
      <c r="E159" s="250">
        <v>0.33600000000000002</v>
      </c>
      <c r="F159" s="250">
        <f>BG152</f>
        <v>0.52700000000000002</v>
      </c>
      <c r="L159" s="289"/>
      <c r="M159" s="289"/>
      <c r="N159" s="291"/>
      <c r="O159" s="291"/>
      <c r="P159" s="291"/>
      <c r="Q159" s="291"/>
      <c r="R159" s="291"/>
      <c r="S159" s="291"/>
      <c r="T159" s="291"/>
      <c r="U159" s="289"/>
      <c r="V159" s="289"/>
      <c r="W159" s="291">
        <f t="shared" si="19"/>
        <v>0.46</v>
      </c>
      <c r="X159" s="291"/>
      <c r="Y159" s="291">
        <f t="shared" si="20"/>
        <v>0.214</v>
      </c>
      <c r="Z159" s="291"/>
      <c r="AA159" s="291">
        <f t="shared" si="21"/>
        <v>0.27300000000000002</v>
      </c>
      <c r="AB159" s="291"/>
      <c r="AC159" s="291">
        <f t="shared" si="22"/>
        <v>0.52</v>
      </c>
      <c r="AD159" s="289"/>
      <c r="AE159" s="289"/>
      <c r="AF159" s="289"/>
      <c r="AG159" s="291">
        <f t="shared" si="23"/>
        <v>0.46600000000000003</v>
      </c>
      <c r="AH159" s="291"/>
      <c r="AI159" s="291">
        <f t="shared" si="24"/>
        <v>0.21299999999999999</v>
      </c>
      <c r="AJ159" s="291"/>
      <c r="AK159" s="291">
        <f t="shared" si="25"/>
        <v>0.26900000000000002</v>
      </c>
      <c r="AL159" s="291"/>
      <c r="AM159" s="291">
        <f t="shared" si="26"/>
        <v>0.52400000000000002</v>
      </c>
      <c r="AN159" s="289"/>
      <c r="AO159" s="289"/>
      <c r="AP159" s="289"/>
      <c r="AQ159" s="291">
        <f t="shared" si="27"/>
        <v>0.47</v>
      </c>
      <c r="AR159" s="291"/>
      <c r="AS159" s="291">
        <f t="shared" si="28"/>
        <v>0.21</v>
      </c>
      <c r="AT159" s="291"/>
      <c r="AU159" s="291">
        <f t="shared" si="29"/>
        <v>0.26700000000000002</v>
      </c>
      <c r="AV159" s="291"/>
      <c r="AW159" s="291">
        <f t="shared" si="30"/>
        <v>0.53</v>
      </c>
      <c r="AX159" s="289"/>
      <c r="AY159" s="289"/>
      <c r="AZ159" s="289"/>
      <c r="BA159" s="291">
        <f t="shared" si="31"/>
        <v>0.46800000000000003</v>
      </c>
      <c r="BB159" s="291"/>
      <c r="BC159" s="291">
        <f t="shared" si="32"/>
        <v>0.21199999999999999</v>
      </c>
      <c r="BD159" s="291"/>
      <c r="BE159" s="291">
        <f t="shared" si="33"/>
        <v>0.26800000000000002</v>
      </c>
      <c r="BF159" s="291"/>
      <c r="BG159" s="291">
        <f t="shared" si="34"/>
        <v>0.52700000000000002</v>
      </c>
      <c r="BH159" s="289"/>
      <c r="BI159" s="289"/>
      <c r="BJ159" s="289"/>
      <c r="BK159" s="292">
        <f t="shared" si="35"/>
        <v>0.47</v>
      </c>
      <c r="BL159" s="292"/>
      <c r="BM159" s="292">
        <f t="shared" si="36"/>
        <v>0.21199999999999999</v>
      </c>
      <c r="BN159" s="292"/>
      <c r="BO159" s="292">
        <f t="shared" si="37"/>
        <v>0.26800000000000002</v>
      </c>
      <c r="BP159" s="292"/>
      <c r="BQ159" s="292">
        <f t="shared" si="38"/>
        <v>0.53</v>
      </c>
      <c r="BR159" s="293"/>
    </row>
    <row r="160" spans="2:70">
      <c r="B160" s="259">
        <v>9</v>
      </c>
      <c r="C160" s="250">
        <v>0.46700000000000003</v>
      </c>
      <c r="D160" s="250">
        <f>BM152</f>
        <v>0.21199999999999999</v>
      </c>
      <c r="E160" s="250">
        <v>0.33400000000000002</v>
      </c>
      <c r="F160" s="250">
        <f>BQ152</f>
        <v>0.53</v>
      </c>
      <c r="L160" s="289"/>
      <c r="M160" s="289"/>
      <c r="N160" s="296"/>
      <c r="O160" s="296"/>
      <c r="P160" s="296"/>
      <c r="Q160" s="296"/>
      <c r="R160" s="296"/>
      <c r="S160" s="296"/>
      <c r="T160" s="291"/>
      <c r="U160" s="289"/>
      <c r="V160" s="289"/>
      <c r="W160" s="296"/>
      <c r="X160" s="296"/>
      <c r="Y160" s="296"/>
      <c r="Z160" s="296"/>
      <c r="AA160" s="296"/>
      <c r="AB160" s="296"/>
      <c r="AC160" s="291">
        <f t="shared" si="22"/>
        <v>0.52</v>
      </c>
      <c r="AD160" s="289"/>
      <c r="AE160" s="289"/>
      <c r="AF160" s="289"/>
      <c r="AG160" s="296"/>
      <c r="AH160" s="296"/>
      <c r="AI160" s="296"/>
      <c r="AJ160" s="296"/>
      <c r="AK160" s="296"/>
      <c r="AL160" s="296"/>
      <c r="AM160" s="291">
        <f t="shared" si="26"/>
        <v>0.52400000000000002</v>
      </c>
      <c r="AN160" s="289"/>
      <c r="AO160" s="289"/>
      <c r="AP160" s="289"/>
      <c r="AQ160" s="296"/>
      <c r="AR160" s="296"/>
      <c r="AS160" s="296"/>
      <c r="AT160" s="296"/>
      <c r="AU160" s="296"/>
      <c r="AV160" s="296"/>
      <c r="AW160" s="291">
        <f t="shared" si="30"/>
        <v>0.53</v>
      </c>
      <c r="AX160" s="289"/>
      <c r="AY160" s="289"/>
      <c r="AZ160" s="289"/>
      <c r="BA160" s="296"/>
      <c r="BB160" s="296"/>
      <c r="BC160" s="296"/>
      <c r="BD160" s="296"/>
      <c r="BE160" s="296"/>
      <c r="BF160" s="296"/>
      <c r="BG160" s="291">
        <f t="shared" si="34"/>
        <v>0.52700000000000002</v>
      </c>
      <c r="BH160" s="289"/>
      <c r="BI160" s="289"/>
      <c r="BJ160" s="289"/>
      <c r="BK160" s="297"/>
      <c r="BL160" s="297"/>
      <c r="BM160" s="297"/>
      <c r="BN160" s="297"/>
      <c r="BO160" s="297"/>
      <c r="BP160" s="297"/>
      <c r="BQ160" s="292">
        <f t="shared" si="38"/>
        <v>0.53</v>
      </c>
      <c r="BR160" s="293"/>
    </row>
    <row r="161" spans="2:70">
      <c r="L161" s="289"/>
      <c r="M161" s="289"/>
      <c r="N161" s="296"/>
      <c r="O161" s="296"/>
      <c r="P161" s="296"/>
      <c r="Q161" s="296"/>
      <c r="R161" s="296"/>
      <c r="S161" s="296"/>
      <c r="T161" s="291"/>
      <c r="U161" s="289"/>
      <c r="V161" s="289"/>
      <c r="W161" s="296"/>
      <c r="X161" s="296"/>
      <c r="Y161" s="296"/>
      <c r="Z161" s="296"/>
      <c r="AA161" s="296"/>
      <c r="AB161" s="296"/>
      <c r="AC161" s="291">
        <f t="shared" si="22"/>
        <v>0.52</v>
      </c>
      <c r="AD161" s="289"/>
      <c r="AE161" s="289"/>
      <c r="AF161" s="289"/>
      <c r="AG161" s="296"/>
      <c r="AH161" s="296"/>
      <c r="AI161" s="296"/>
      <c r="AJ161" s="296"/>
      <c r="AK161" s="296"/>
      <c r="AL161" s="296"/>
      <c r="AM161" s="291">
        <f t="shared" si="26"/>
        <v>0.52400000000000002</v>
      </c>
      <c r="AN161" s="289"/>
      <c r="AO161" s="289"/>
      <c r="AP161" s="289"/>
      <c r="AQ161" s="296"/>
      <c r="AR161" s="296"/>
      <c r="AS161" s="296"/>
      <c r="AT161" s="296"/>
      <c r="AU161" s="296"/>
      <c r="AV161" s="296"/>
      <c r="AW161" s="291">
        <f t="shared" si="30"/>
        <v>0.53</v>
      </c>
      <c r="AX161" s="289"/>
      <c r="AY161" s="289"/>
      <c r="AZ161" s="289"/>
      <c r="BA161" s="296"/>
      <c r="BB161" s="296"/>
      <c r="BC161" s="296"/>
      <c r="BD161" s="296"/>
      <c r="BE161" s="296"/>
      <c r="BF161" s="296"/>
      <c r="BG161" s="291">
        <f t="shared" si="34"/>
        <v>0.52700000000000002</v>
      </c>
      <c r="BH161" s="289"/>
      <c r="BI161" s="289"/>
      <c r="BJ161" s="289"/>
      <c r="BK161" s="297"/>
      <c r="BL161" s="297"/>
      <c r="BM161" s="297"/>
      <c r="BN161" s="297"/>
      <c r="BO161" s="297"/>
      <c r="BP161" s="297"/>
      <c r="BQ161" s="292">
        <f t="shared" si="38"/>
        <v>0.53</v>
      </c>
      <c r="BR161" s="293"/>
    </row>
    <row r="162" spans="2:70">
      <c r="L162" s="289"/>
      <c r="M162" s="289"/>
      <c r="N162" s="296"/>
      <c r="O162" s="296"/>
      <c r="P162" s="296"/>
      <c r="Q162" s="296"/>
      <c r="R162" s="296"/>
      <c r="S162" s="296"/>
      <c r="T162" s="291"/>
      <c r="U162" s="289"/>
      <c r="V162" s="289"/>
      <c r="W162" s="296"/>
      <c r="X162" s="296"/>
      <c r="Y162" s="296"/>
      <c r="Z162" s="296"/>
      <c r="AA162" s="296"/>
      <c r="AB162" s="296"/>
      <c r="AC162" s="291">
        <f t="shared" si="22"/>
        <v>0.52</v>
      </c>
      <c r="AD162" s="289"/>
      <c r="AE162" s="289"/>
      <c r="AF162" s="289"/>
      <c r="AG162" s="296"/>
      <c r="AH162" s="296"/>
      <c r="AI162" s="296"/>
      <c r="AJ162" s="296"/>
      <c r="AK162" s="296"/>
      <c r="AL162" s="296"/>
      <c r="AM162" s="291">
        <f t="shared" si="26"/>
        <v>0.52400000000000002</v>
      </c>
      <c r="AN162" s="289"/>
      <c r="AO162" s="289"/>
      <c r="AP162" s="289"/>
      <c r="AQ162" s="296"/>
      <c r="AR162" s="296"/>
      <c r="AS162" s="296"/>
      <c r="AT162" s="296"/>
      <c r="AU162" s="296"/>
      <c r="AV162" s="296"/>
      <c r="AW162" s="291">
        <f t="shared" si="30"/>
        <v>0.53</v>
      </c>
      <c r="AX162" s="289"/>
      <c r="AY162" s="289"/>
      <c r="AZ162" s="289"/>
      <c r="BA162" s="296"/>
      <c r="BB162" s="296"/>
      <c r="BC162" s="296"/>
      <c r="BD162" s="296"/>
      <c r="BE162" s="296"/>
      <c r="BF162" s="296"/>
      <c r="BG162" s="291">
        <f t="shared" si="34"/>
        <v>0.52700000000000002</v>
      </c>
      <c r="BH162" s="289"/>
      <c r="BI162" s="289"/>
      <c r="BJ162" s="289"/>
      <c r="BK162" s="297"/>
      <c r="BL162" s="297"/>
      <c r="BM162" s="297"/>
      <c r="BN162" s="297"/>
      <c r="BO162" s="297"/>
      <c r="BP162" s="297"/>
      <c r="BQ162" s="292">
        <f t="shared" si="38"/>
        <v>0.53</v>
      </c>
      <c r="BR162" s="293"/>
    </row>
    <row r="163" spans="2:70">
      <c r="L163" s="289"/>
      <c r="M163" s="289"/>
      <c r="N163" s="289"/>
      <c r="O163" s="289"/>
      <c r="P163" s="289"/>
      <c r="Q163" s="289"/>
      <c r="R163" s="289"/>
      <c r="S163" s="289"/>
      <c r="T163" s="289"/>
      <c r="U163" s="289"/>
      <c r="V163" s="289"/>
      <c r="W163" s="289"/>
      <c r="X163" s="289"/>
      <c r="Y163" s="289"/>
      <c r="Z163" s="289"/>
      <c r="AA163" s="289"/>
      <c r="AB163" s="289"/>
      <c r="AC163" s="289"/>
      <c r="AD163" s="289"/>
      <c r="AE163" s="289"/>
      <c r="AF163" s="289"/>
      <c r="AG163" s="289"/>
      <c r="AH163" s="289"/>
      <c r="AI163" s="289"/>
      <c r="AJ163" s="289"/>
      <c r="AK163" s="289"/>
      <c r="AL163" s="289"/>
      <c r="AM163" s="289"/>
      <c r="AN163" s="289"/>
      <c r="AO163" s="289"/>
      <c r="AP163" s="289"/>
      <c r="AQ163" s="289"/>
      <c r="AR163" s="289"/>
      <c r="AS163" s="289"/>
      <c r="AT163" s="289"/>
      <c r="AU163" s="289"/>
      <c r="AV163" s="289"/>
      <c r="AW163" s="289"/>
      <c r="AX163" s="289"/>
      <c r="AY163" s="289"/>
      <c r="AZ163" s="289"/>
      <c r="BA163" s="289"/>
      <c r="BB163" s="289"/>
      <c r="BC163" s="289"/>
      <c r="BD163" s="289"/>
      <c r="BE163" s="289"/>
      <c r="BF163" s="289"/>
      <c r="BG163" s="289"/>
      <c r="BH163" s="289"/>
      <c r="BI163" s="289"/>
      <c r="BJ163" s="289"/>
    </row>
    <row r="164" spans="2:70">
      <c r="L164" s="289"/>
      <c r="M164" s="289"/>
      <c r="N164" s="291"/>
      <c r="O164" s="291"/>
      <c r="P164" s="291"/>
      <c r="Q164" s="291"/>
      <c r="R164" s="291"/>
      <c r="S164" s="291"/>
      <c r="T164" s="291"/>
      <c r="U164" s="289"/>
      <c r="V164" s="289"/>
      <c r="W164" s="289"/>
      <c r="X164" s="289"/>
      <c r="Y164" s="289"/>
      <c r="Z164" s="289"/>
      <c r="AA164" s="289"/>
      <c r="AB164" s="289"/>
      <c r="AC164" s="289"/>
      <c r="AD164" s="289"/>
      <c r="AE164" s="289"/>
      <c r="AF164" s="289"/>
      <c r="AG164" s="289"/>
      <c r="AH164" s="289"/>
      <c r="AI164" s="289"/>
      <c r="AJ164" s="289"/>
      <c r="AK164" s="289"/>
      <c r="AL164" s="289"/>
      <c r="AM164" s="289"/>
      <c r="AN164" s="289"/>
      <c r="AO164" s="289"/>
      <c r="AP164" s="289"/>
      <c r="AQ164" s="289"/>
      <c r="AR164" s="289"/>
      <c r="AS164" s="289"/>
      <c r="AT164" s="289"/>
      <c r="AU164" s="289"/>
      <c r="AV164" s="289"/>
      <c r="AW164" s="289"/>
      <c r="AX164" s="289"/>
      <c r="AY164" s="289"/>
      <c r="AZ164" s="289"/>
      <c r="BA164" s="289"/>
      <c r="BB164" s="289"/>
      <c r="BC164" s="289"/>
      <c r="BD164" s="289"/>
      <c r="BE164" s="289"/>
      <c r="BF164" s="289"/>
      <c r="BG164" s="289"/>
      <c r="BH164" s="289"/>
      <c r="BI164" s="289"/>
      <c r="BJ164" s="289"/>
    </row>
    <row r="165" spans="2:70">
      <c r="L165" s="289"/>
      <c r="M165" s="289"/>
      <c r="N165" s="291"/>
      <c r="O165" s="291"/>
      <c r="P165" s="291"/>
      <c r="Q165" s="291"/>
      <c r="R165" s="291"/>
      <c r="S165" s="291"/>
      <c r="T165" s="291"/>
      <c r="U165" s="289"/>
      <c r="V165" s="289"/>
      <c r="W165" s="289"/>
      <c r="X165" s="289"/>
      <c r="Y165" s="289"/>
      <c r="Z165" s="289"/>
      <c r="AA165" s="289"/>
      <c r="AB165" s="289"/>
      <c r="AC165" s="289"/>
      <c r="AD165" s="289"/>
      <c r="AE165" s="289"/>
      <c r="AF165" s="289"/>
      <c r="AG165" s="289"/>
      <c r="AH165" s="289"/>
      <c r="AI165" s="289"/>
      <c r="AJ165" s="289"/>
      <c r="AK165" s="289"/>
      <c r="AL165" s="289"/>
      <c r="AM165" s="289"/>
      <c r="AN165" s="289"/>
      <c r="AO165" s="289"/>
      <c r="AP165" s="289"/>
      <c r="AQ165" s="289"/>
      <c r="AR165" s="289"/>
      <c r="AS165" s="289"/>
      <c r="AT165" s="289"/>
      <c r="AU165" s="289"/>
      <c r="AV165" s="289"/>
      <c r="AW165" s="289"/>
      <c r="AX165" s="289"/>
      <c r="AY165" s="289"/>
      <c r="AZ165" s="289"/>
      <c r="BA165" s="289"/>
      <c r="BB165" s="289"/>
      <c r="BC165" s="289"/>
      <c r="BD165" s="289"/>
      <c r="BE165" s="289"/>
      <c r="BF165" s="289"/>
      <c r="BG165" s="289"/>
      <c r="BH165" s="289"/>
      <c r="BI165" s="289"/>
      <c r="BJ165" s="289"/>
    </row>
    <row r="166" spans="2:70">
      <c r="B166" s="274"/>
      <c r="C166" s="274"/>
      <c r="D166" s="274"/>
      <c r="E166" s="274"/>
      <c r="F166" s="274"/>
      <c r="G166" s="274"/>
      <c r="H166" s="274"/>
      <c r="L166" s="289"/>
      <c r="M166" s="289"/>
      <c r="N166" s="291"/>
      <c r="O166" s="291"/>
      <c r="P166" s="291"/>
      <c r="Q166" s="291"/>
      <c r="R166" s="291"/>
      <c r="S166" s="291"/>
      <c r="T166" s="291"/>
      <c r="U166" s="289"/>
      <c r="V166" s="289"/>
      <c r="W166" s="289"/>
      <c r="X166" s="289"/>
      <c r="Y166" s="289"/>
      <c r="Z166" s="289"/>
      <c r="AA166" s="289"/>
      <c r="AB166" s="289"/>
      <c r="AC166" s="289"/>
      <c r="AD166" s="289"/>
      <c r="AE166" s="289"/>
      <c r="AF166" s="289"/>
      <c r="AG166" s="289"/>
      <c r="AH166" s="289"/>
      <c r="AI166" s="289"/>
      <c r="AJ166" s="289"/>
      <c r="AK166" s="289"/>
      <c r="AL166" s="289"/>
      <c r="AM166" s="289"/>
      <c r="AN166" s="289"/>
      <c r="AO166" s="289"/>
      <c r="AP166" s="289"/>
      <c r="AQ166" s="289"/>
      <c r="AR166" s="289"/>
      <c r="AS166" s="289"/>
      <c r="AT166" s="289"/>
      <c r="AU166" s="289"/>
      <c r="AV166" s="289"/>
      <c r="AW166" s="289"/>
      <c r="AX166" s="289"/>
      <c r="AY166" s="289"/>
      <c r="AZ166" s="289"/>
      <c r="BA166" s="289"/>
      <c r="BB166" s="289"/>
      <c r="BC166" s="289"/>
      <c r="BD166" s="289"/>
      <c r="BE166" s="289"/>
      <c r="BF166" s="289"/>
      <c r="BG166" s="289"/>
      <c r="BH166" s="289"/>
      <c r="BI166" s="289"/>
      <c r="BJ166" s="289"/>
    </row>
    <row r="167" spans="2:70">
      <c r="B167" s="274"/>
      <c r="C167" s="274"/>
      <c r="D167" s="274"/>
      <c r="E167" s="274"/>
      <c r="F167" s="274"/>
      <c r="G167" s="274"/>
      <c r="H167" s="274"/>
      <c r="L167" s="289"/>
      <c r="M167" s="289"/>
      <c r="N167" s="291"/>
      <c r="O167" s="291"/>
      <c r="P167" s="291"/>
      <c r="Q167" s="291"/>
      <c r="R167" s="291"/>
      <c r="S167" s="291"/>
      <c r="T167" s="291"/>
      <c r="U167" s="289"/>
      <c r="V167" s="289"/>
      <c r="W167" s="289"/>
      <c r="X167" s="289"/>
      <c r="Y167" s="289"/>
      <c r="Z167" s="289"/>
      <c r="AA167" s="289"/>
      <c r="AB167" s="289"/>
      <c r="AC167" s="289"/>
      <c r="AD167" s="289"/>
      <c r="AE167" s="289"/>
      <c r="AF167" s="289"/>
      <c r="AG167" s="289"/>
      <c r="AH167" s="289"/>
      <c r="AI167" s="289"/>
      <c r="AJ167" s="289"/>
      <c r="AK167" s="289"/>
      <c r="AL167" s="289"/>
      <c r="AM167" s="289"/>
      <c r="AN167" s="289"/>
      <c r="AO167" s="289"/>
      <c r="AP167" s="289"/>
      <c r="AQ167" s="289"/>
      <c r="AR167" s="289"/>
      <c r="AS167" s="289"/>
      <c r="AT167" s="289"/>
      <c r="AU167" s="289"/>
      <c r="AV167" s="289"/>
      <c r="AW167" s="289"/>
      <c r="AX167" s="289"/>
      <c r="AY167" s="289"/>
      <c r="AZ167" s="289"/>
      <c r="BA167" s="289"/>
      <c r="BB167" s="289"/>
      <c r="BC167" s="289"/>
      <c r="BD167" s="289"/>
      <c r="BE167" s="289"/>
      <c r="BF167" s="289"/>
      <c r="BG167" s="289"/>
      <c r="BH167" s="289"/>
      <c r="BI167" s="289"/>
      <c r="BJ167" s="289"/>
    </row>
    <row r="168" spans="2:70">
      <c r="B168" s="274"/>
      <c r="C168" s="274"/>
      <c r="D168" s="274"/>
      <c r="E168" s="274"/>
      <c r="F168" s="274"/>
      <c r="G168" s="274"/>
      <c r="H168" s="274"/>
      <c r="L168" s="289"/>
      <c r="M168" s="289"/>
      <c r="N168" s="291"/>
      <c r="O168" s="291"/>
      <c r="P168" s="291"/>
      <c r="Q168" s="291"/>
      <c r="R168" s="291"/>
      <c r="S168" s="291"/>
      <c r="T168" s="291"/>
      <c r="U168" s="289"/>
      <c r="V168" s="289"/>
      <c r="W168" s="289"/>
      <c r="X168" s="289"/>
      <c r="Y168" s="289"/>
      <c r="Z168" s="289"/>
      <c r="AA168" s="289"/>
      <c r="AB168" s="289"/>
      <c r="AC168" s="289"/>
      <c r="AD168" s="289"/>
      <c r="AE168" s="289"/>
      <c r="AF168" s="289"/>
      <c r="AG168" s="289"/>
      <c r="AH168" s="289"/>
      <c r="AI168" s="289"/>
      <c r="AJ168" s="289"/>
      <c r="AK168" s="289"/>
      <c r="AL168" s="289"/>
      <c r="AM168" s="289"/>
      <c r="AN168" s="289"/>
      <c r="AO168" s="289"/>
      <c r="AP168" s="289"/>
      <c r="AQ168" s="289"/>
      <c r="AR168" s="289"/>
      <c r="AS168" s="289"/>
      <c r="AT168" s="289"/>
      <c r="AU168" s="289"/>
      <c r="AV168" s="289"/>
      <c r="AW168" s="289"/>
      <c r="AX168" s="289"/>
      <c r="AY168" s="289"/>
      <c r="AZ168" s="289"/>
      <c r="BA168" s="289"/>
      <c r="BB168" s="289"/>
      <c r="BC168" s="289"/>
      <c r="BD168" s="289"/>
      <c r="BE168" s="289"/>
      <c r="BF168" s="289"/>
      <c r="BG168" s="289"/>
      <c r="BH168" s="289"/>
      <c r="BI168" s="289"/>
      <c r="BJ168" s="289"/>
    </row>
    <row r="169" spans="2:70">
      <c r="B169" s="274"/>
      <c r="C169" s="274"/>
      <c r="D169" s="274"/>
      <c r="E169" s="274"/>
      <c r="F169" s="274"/>
      <c r="G169" s="274"/>
      <c r="H169" s="274"/>
      <c r="L169" s="289"/>
      <c r="M169" s="289"/>
      <c r="N169" s="291"/>
      <c r="O169" s="291"/>
      <c r="P169" s="291"/>
      <c r="Q169" s="291"/>
      <c r="R169" s="291"/>
      <c r="S169" s="291"/>
      <c r="T169" s="291"/>
      <c r="U169" s="289"/>
      <c r="V169" s="289"/>
      <c r="W169" s="289"/>
      <c r="X169" s="289"/>
      <c r="Y169" s="289"/>
      <c r="Z169" s="289"/>
      <c r="AA169" s="289"/>
      <c r="AB169" s="289"/>
      <c r="AC169" s="289"/>
      <c r="AD169" s="289"/>
      <c r="AE169" s="289"/>
      <c r="AF169" s="289"/>
      <c r="AG169" s="289"/>
      <c r="AH169" s="289"/>
      <c r="AI169" s="289"/>
      <c r="AJ169" s="289"/>
      <c r="AK169" s="289"/>
      <c r="AL169" s="289"/>
      <c r="AM169" s="289"/>
      <c r="AN169" s="289"/>
      <c r="AO169" s="289"/>
      <c r="AP169" s="289"/>
      <c r="AQ169" s="289"/>
      <c r="AR169" s="289"/>
      <c r="AS169" s="289"/>
      <c r="AT169" s="289"/>
      <c r="AU169" s="289"/>
      <c r="AV169" s="289"/>
      <c r="AW169" s="289"/>
      <c r="AX169" s="289"/>
      <c r="AY169" s="289"/>
      <c r="AZ169" s="289"/>
      <c r="BA169" s="289"/>
      <c r="BB169" s="289"/>
      <c r="BC169" s="289"/>
      <c r="BD169" s="289"/>
      <c r="BE169" s="289"/>
      <c r="BF169" s="289"/>
      <c r="BG169" s="289"/>
      <c r="BH169" s="289"/>
      <c r="BI169" s="289"/>
      <c r="BJ169" s="289"/>
    </row>
    <row r="170" spans="2:70">
      <c r="B170" s="274"/>
      <c r="C170" s="274"/>
      <c r="D170" s="274"/>
      <c r="E170" s="274"/>
      <c r="F170" s="274"/>
      <c r="G170" s="274"/>
      <c r="H170" s="274"/>
      <c r="L170" s="289"/>
      <c r="M170" s="289"/>
      <c r="N170" s="291"/>
      <c r="O170" s="291"/>
      <c r="P170" s="291"/>
      <c r="Q170" s="291"/>
      <c r="R170" s="291"/>
      <c r="S170" s="291"/>
      <c r="T170" s="291"/>
      <c r="U170" s="289"/>
      <c r="V170" s="289"/>
      <c r="W170" s="289"/>
      <c r="X170" s="289"/>
      <c r="Y170" s="289"/>
      <c r="Z170" s="289"/>
      <c r="AA170" s="289"/>
      <c r="AB170" s="289"/>
      <c r="AC170" s="289"/>
      <c r="AD170" s="289"/>
      <c r="AE170" s="289"/>
      <c r="AF170" s="289"/>
      <c r="AG170" s="289"/>
      <c r="AH170" s="289"/>
      <c r="AI170" s="289"/>
      <c r="AJ170" s="289"/>
      <c r="AK170" s="289"/>
      <c r="AL170" s="289"/>
      <c r="AM170" s="289"/>
      <c r="AN170" s="289"/>
      <c r="AO170" s="289"/>
      <c r="AP170" s="289"/>
      <c r="AQ170" s="289"/>
      <c r="AR170" s="289"/>
      <c r="AS170" s="289"/>
      <c r="AT170" s="289"/>
      <c r="AU170" s="289"/>
      <c r="AV170" s="289"/>
      <c r="AW170" s="289"/>
      <c r="AX170" s="289"/>
      <c r="AY170" s="289"/>
      <c r="AZ170" s="289"/>
      <c r="BA170" s="289"/>
      <c r="BB170" s="289"/>
      <c r="BC170" s="289"/>
      <c r="BD170" s="289"/>
      <c r="BE170" s="289"/>
      <c r="BF170" s="289"/>
      <c r="BG170" s="289"/>
      <c r="BH170" s="289"/>
      <c r="BI170" s="289"/>
      <c r="BJ170" s="289"/>
    </row>
    <row r="171" spans="2:70">
      <c r="B171" s="274"/>
      <c r="C171" s="274"/>
      <c r="D171" s="274"/>
      <c r="E171" s="274"/>
      <c r="F171" s="274"/>
      <c r="G171" s="274"/>
      <c r="H171" s="274"/>
      <c r="L171" s="289"/>
      <c r="M171" s="289"/>
      <c r="N171" s="291"/>
      <c r="O171" s="291"/>
      <c r="P171" s="291"/>
      <c r="Q171" s="291"/>
      <c r="R171" s="291"/>
      <c r="S171" s="291"/>
      <c r="T171" s="291"/>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c r="AZ171" s="289"/>
      <c r="BA171" s="289"/>
      <c r="BB171" s="289"/>
      <c r="BC171" s="289"/>
      <c r="BD171" s="289"/>
      <c r="BE171" s="289"/>
      <c r="BF171" s="289"/>
      <c r="BG171" s="289"/>
      <c r="BH171" s="289"/>
      <c r="BI171" s="289"/>
      <c r="BJ171" s="289"/>
    </row>
    <row r="172" spans="2:70">
      <c r="B172" s="274"/>
      <c r="C172" s="274"/>
      <c r="D172" s="274"/>
      <c r="E172" s="274"/>
      <c r="F172" s="274"/>
      <c r="G172" s="274"/>
      <c r="H172" s="274"/>
      <c r="L172" s="289"/>
      <c r="M172" s="289"/>
      <c r="N172" s="291"/>
      <c r="O172" s="291"/>
      <c r="P172" s="291"/>
      <c r="Q172" s="291"/>
      <c r="R172" s="291"/>
      <c r="S172" s="291"/>
      <c r="T172" s="291"/>
      <c r="U172" s="289"/>
      <c r="V172" s="289"/>
      <c r="W172" s="289"/>
      <c r="X172" s="289"/>
      <c r="Y172" s="289"/>
      <c r="Z172" s="289"/>
      <c r="AA172" s="289"/>
      <c r="AB172" s="289"/>
      <c r="AC172" s="289"/>
      <c r="AD172" s="289"/>
      <c r="AE172" s="289"/>
      <c r="AF172" s="289"/>
      <c r="AG172" s="289"/>
      <c r="AH172" s="289"/>
      <c r="AI172" s="289"/>
      <c r="AJ172" s="289"/>
      <c r="AK172" s="289"/>
      <c r="AL172" s="289"/>
      <c r="AM172" s="289"/>
      <c r="AN172" s="289"/>
      <c r="AO172" s="289"/>
      <c r="AP172" s="289"/>
      <c r="AQ172" s="289"/>
      <c r="AR172" s="289"/>
      <c r="AS172" s="289"/>
      <c r="AT172" s="289"/>
      <c r="AU172" s="289"/>
      <c r="AV172" s="289"/>
      <c r="AW172" s="289"/>
      <c r="AX172" s="289"/>
      <c r="AY172" s="289"/>
      <c r="AZ172" s="289"/>
      <c r="BA172" s="289"/>
      <c r="BB172" s="289"/>
      <c r="BC172" s="289"/>
      <c r="BD172" s="289"/>
      <c r="BE172" s="289"/>
      <c r="BF172" s="289"/>
      <c r="BG172" s="289"/>
      <c r="BH172" s="289"/>
      <c r="BI172" s="289"/>
      <c r="BJ172" s="289"/>
    </row>
    <row r="173" spans="2:70">
      <c r="B173" s="274"/>
      <c r="C173" s="274"/>
      <c r="D173" s="274"/>
      <c r="E173" s="274"/>
      <c r="F173" s="274"/>
      <c r="G173" s="274"/>
      <c r="H173" s="274"/>
      <c r="L173" s="289"/>
      <c r="M173" s="289"/>
      <c r="N173" s="296"/>
      <c r="O173" s="296"/>
      <c r="P173" s="296"/>
      <c r="Q173" s="296"/>
      <c r="R173" s="296"/>
      <c r="S173" s="296"/>
      <c r="T173" s="291"/>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89"/>
      <c r="AX173" s="289"/>
      <c r="AY173" s="289"/>
      <c r="AZ173" s="289"/>
      <c r="BA173" s="289"/>
      <c r="BB173" s="289"/>
      <c r="BC173" s="289"/>
      <c r="BD173" s="289"/>
      <c r="BE173" s="289"/>
      <c r="BF173" s="289"/>
      <c r="BG173" s="289"/>
      <c r="BH173" s="289"/>
      <c r="BI173" s="289"/>
      <c r="BJ173" s="289"/>
    </row>
    <row r="174" spans="2:70">
      <c r="B174" s="274"/>
      <c r="C174" s="274"/>
      <c r="D174" s="274"/>
      <c r="E174" s="274"/>
      <c r="F174" s="274"/>
      <c r="G174" s="274"/>
      <c r="H174" s="274"/>
      <c r="L174" s="289"/>
      <c r="M174" s="289"/>
      <c r="N174" s="296"/>
      <c r="O174" s="296"/>
      <c r="P174" s="296"/>
      <c r="Q174" s="296"/>
      <c r="R174" s="296"/>
      <c r="S174" s="296"/>
      <c r="T174" s="291"/>
      <c r="U174" s="289"/>
      <c r="V174" s="289"/>
      <c r="W174" s="289"/>
      <c r="X174" s="289"/>
      <c r="Y174" s="289"/>
      <c r="Z174" s="289"/>
      <c r="AA174" s="289"/>
      <c r="AB174" s="289"/>
      <c r="AC174" s="289"/>
      <c r="AD174" s="289"/>
      <c r="AE174" s="289"/>
      <c r="AF174" s="289"/>
      <c r="AG174" s="289"/>
      <c r="AH174" s="289"/>
      <c r="AI174" s="289"/>
      <c r="AJ174" s="289"/>
      <c r="AK174" s="289"/>
      <c r="AL174" s="289"/>
      <c r="AM174" s="289"/>
      <c r="AN174" s="289"/>
      <c r="AO174" s="289"/>
      <c r="AP174" s="289"/>
      <c r="AQ174" s="289"/>
      <c r="AR174" s="289"/>
      <c r="AS174" s="289"/>
      <c r="AT174" s="289"/>
      <c r="AU174" s="289"/>
      <c r="AV174" s="289"/>
      <c r="AW174" s="289"/>
      <c r="AX174" s="289"/>
      <c r="AY174" s="289"/>
      <c r="AZ174" s="289"/>
      <c r="BA174" s="289"/>
      <c r="BB174" s="289"/>
      <c r="BC174" s="289"/>
      <c r="BD174" s="289"/>
      <c r="BE174" s="289"/>
      <c r="BF174" s="289"/>
      <c r="BG174" s="289"/>
      <c r="BH174" s="289"/>
      <c r="BI174" s="289"/>
      <c r="BJ174" s="289"/>
    </row>
    <row r="175" spans="2:70">
      <c r="L175" s="289"/>
      <c r="M175" s="289"/>
      <c r="N175" s="296"/>
      <c r="O175" s="296"/>
      <c r="P175" s="296"/>
      <c r="Q175" s="296"/>
      <c r="R175" s="296"/>
      <c r="S175" s="296"/>
      <c r="T175" s="291"/>
      <c r="U175" s="289"/>
      <c r="V175" s="289"/>
      <c r="W175" s="289"/>
      <c r="X175" s="289"/>
      <c r="Y175" s="289"/>
      <c r="Z175" s="289"/>
      <c r="AA175" s="289"/>
      <c r="AB175" s="289"/>
      <c r="AC175" s="289"/>
      <c r="AD175" s="289"/>
      <c r="AE175" s="289"/>
      <c r="AF175" s="289"/>
      <c r="AG175" s="289"/>
      <c r="AH175" s="289"/>
      <c r="AI175" s="289"/>
      <c r="AJ175" s="289"/>
      <c r="AK175" s="289"/>
      <c r="AL175" s="289"/>
      <c r="AM175" s="289"/>
      <c r="AN175" s="289"/>
      <c r="AO175" s="289"/>
      <c r="AP175" s="289"/>
      <c r="AQ175" s="289"/>
      <c r="AR175" s="289"/>
      <c r="AS175" s="289"/>
      <c r="AT175" s="289"/>
      <c r="AU175" s="289"/>
      <c r="AV175" s="289"/>
      <c r="AW175" s="289"/>
      <c r="AX175" s="289"/>
      <c r="AY175" s="289"/>
      <c r="AZ175" s="289"/>
      <c r="BA175" s="289"/>
      <c r="BB175" s="289"/>
      <c r="BC175" s="289"/>
      <c r="BD175" s="289"/>
      <c r="BE175" s="289"/>
      <c r="BF175" s="289"/>
      <c r="BG175" s="289"/>
      <c r="BH175" s="289"/>
      <c r="BI175" s="289"/>
      <c r="BJ175" s="289"/>
    </row>
    <row r="176" spans="2:70">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89"/>
      <c r="AH176" s="289"/>
      <c r="AI176" s="289"/>
      <c r="AJ176" s="289"/>
      <c r="AK176" s="289"/>
      <c r="AL176" s="289"/>
      <c r="AM176" s="289"/>
      <c r="AN176" s="289"/>
      <c r="AO176" s="289"/>
      <c r="AP176" s="289"/>
      <c r="AQ176" s="289"/>
      <c r="AR176" s="289"/>
      <c r="AS176" s="289"/>
      <c r="AT176" s="289"/>
      <c r="AU176" s="289"/>
      <c r="AV176" s="289"/>
      <c r="AW176" s="289"/>
      <c r="AX176" s="289"/>
      <c r="AY176" s="289"/>
      <c r="AZ176" s="289"/>
      <c r="BA176" s="289"/>
      <c r="BB176" s="289"/>
      <c r="BC176" s="289"/>
      <c r="BD176" s="289"/>
      <c r="BE176" s="289"/>
      <c r="BF176" s="289"/>
      <c r="BG176" s="289"/>
      <c r="BH176" s="289"/>
      <c r="BI176" s="289"/>
      <c r="BJ176" s="289"/>
    </row>
    <row r="177" spans="1:65">
      <c r="L177" s="289"/>
      <c r="M177" s="289"/>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c r="AO177" s="289"/>
      <c r="AP177" s="289"/>
      <c r="AQ177" s="289"/>
      <c r="AR177" s="289"/>
      <c r="AS177" s="289"/>
      <c r="AT177" s="289"/>
      <c r="AU177" s="289"/>
      <c r="AV177" s="289"/>
      <c r="AW177" s="289"/>
      <c r="AX177" s="289"/>
      <c r="AY177" s="289"/>
      <c r="AZ177" s="289"/>
      <c r="BA177" s="289"/>
      <c r="BB177" s="289"/>
      <c r="BC177" s="289"/>
      <c r="BD177" s="289"/>
      <c r="BE177" s="289"/>
      <c r="BF177" s="289"/>
      <c r="BG177" s="289"/>
      <c r="BH177" s="289"/>
      <c r="BI177" s="289"/>
      <c r="BJ177" s="289"/>
    </row>
    <row r="178" spans="1:65">
      <c r="L178" s="289"/>
      <c r="M178" s="289"/>
      <c r="N178" s="289"/>
      <c r="O178" s="289"/>
      <c r="P178" s="289"/>
      <c r="Q178" s="289"/>
      <c r="R178" s="289"/>
      <c r="S178" s="289"/>
      <c r="T178" s="289"/>
      <c r="U178" s="289"/>
      <c r="V178" s="289"/>
      <c r="W178" s="289"/>
      <c r="X178" s="289"/>
      <c r="Y178" s="289"/>
      <c r="Z178" s="289"/>
      <c r="AA178" s="289"/>
      <c r="AB178" s="289"/>
      <c r="AC178" s="289"/>
      <c r="AD178" s="289"/>
      <c r="AE178" s="289"/>
      <c r="AF178" s="289"/>
      <c r="AG178" s="289"/>
      <c r="AH178" s="289"/>
      <c r="AI178" s="289"/>
      <c r="AJ178" s="289"/>
      <c r="AK178" s="289"/>
      <c r="AL178" s="289"/>
      <c r="AM178" s="289"/>
      <c r="AN178" s="289"/>
      <c r="AO178" s="289"/>
      <c r="AP178" s="289"/>
      <c r="AQ178" s="289"/>
      <c r="AR178" s="289"/>
      <c r="AS178" s="289"/>
      <c r="AT178" s="289"/>
      <c r="AU178" s="289"/>
      <c r="AV178" s="289"/>
      <c r="AW178" s="289"/>
      <c r="AX178" s="289"/>
      <c r="AY178" s="289"/>
      <c r="AZ178" s="289"/>
      <c r="BA178" s="289"/>
      <c r="BB178" s="289"/>
      <c r="BC178" s="289"/>
      <c r="BD178" s="289"/>
      <c r="BE178" s="289"/>
      <c r="BF178" s="289"/>
      <c r="BG178" s="289"/>
      <c r="BH178" s="289"/>
      <c r="BI178" s="289"/>
      <c r="BJ178" s="289"/>
    </row>
    <row r="179" spans="1:65">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89"/>
      <c r="AH179" s="289"/>
      <c r="AI179" s="289"/>
      <c r="AJ179" s="289"/>
      <c r="AK179" s="289"/>
      <c r="AL179" s="289"/>
      <c r="AM179" s="289"/>
      <c r="AN179" s="289"/>
      <c r="AO179" s="289"/>
      <c r="AP179" s="289"/>
      <c r="AQ179" s="289"/>
      <c r="AR179" s="289"/>
      <c r="AS179" s="289"/>
      <c r="AT179" s="289"/>
      <c r="AU179" s="289"/>
      <c r="AV179" s="289"/>
      <c r="AW179" s="289"/>
      <c r="AX179" s="289"/>
      <c r="AY179" s="289"/>
      <c r="AZ179" s="289"/>
      <c r="BA179" s="289"/>
      <c r="BB179" s="289"/>
      <c r="BC179" s="289"/>
      <c r="BD179" s="289"/>
      <c r="BE179" s="289"/>
      <c r="BF179" s="289"/>
      <c r="BG179" s="289"/>
      <c r="BH179" s="289"/>
      <c r="BI179" s="289"/>
      <c r="BJ179" s="289"/>
    </row>
    <row r="180" spans="1:65">
      <c r="L180" s="289"/>
      <c r="M180" s="289"/>
      <c r="N180" s="289"/>
      <c r="O180" s="289"/>
      <c r="P180" s="289"/>
      <c r="Q180" s="289"/>
      <c r="R180" s="289"/>
      <c r="S180" s="289"/>
      <c r="T180" s="289"/>
      <c r="U180" s="289"/>
      <c r="V180" s="289"/>
      <c r="W180" s="289"/>
      <c r="X180" s="289"/>
      <c r="Y180" s="289"/>
      <c r="Z180" s="289"/>
      <c r="AA180" s="289"/>
      <c r="AB180" s="289"/>
      <c r="AC180" s="289"/>
      <c r="AD180" s="289"/>
      <c r="AE180" s="289"/>
      <c r="AF180" s="289"/>
      <c r="AG180" s="289"/>
      <c r="AH180" s="289"/>
      <c r="AI180" s="289"/>
      <c r="AJ180" s="289"/>
      <c r="AK180" s="289"/>
      <c r="AL180" s="289"/>
      <c r="AM180" s="289"/>
      <c r="AN180" s="289"/>
      <c r="AO180" s="289"/>
      <c r="AP180" s="289"/>
      <c r="AQ180" s="289"/>
      <c r="AR180" s="289"/>
      <c r="AS180" s="289"/>
      <c r="AT180" s="289"/>
      <c r="AU180" s="289"/>
      <c r="AV180" s="289"/>
      <c r="AW180" s="289"/>
      <c r="AX180" s="289"/>
      <c r="AY180" s="289"/>
      <c r="AZ180" s="289"/>
      <c r="BA180" s="289"/>
      <c r="BB180" s="289"/>
      <c r="BC180" s="289"/>
      <c r="BD180" s="289"/>
      <c r="BE180" s="289"/>
      <c r="BF180" s="289"/>
      <c r="BG180" s="289"/>
      <c r="BH180" s="289"/>
      <c r="BI180" s="289"/>
      <c r="BJ180" s="289"/>
    </row>
    <row r="181" spans="1:65">
      <c r="L181" s="289"/>
      <c r="M181" s="289"/>
      <c r="N181" s="289"/>
      <c r="O181" s="289"/>
      <c r="P181" s="289"/>
      <c r="Q181" s="289"/>
      <c r="R181" s="289"/>
      <c r="S181" s="289"/>
      <c r="T181" s="289"/>
      <c r="U181" s="289"/>
      <c r="V181" s="289"/>
      <c r="W181" s="289"/>
      <c r="X181" s="289"/>
      <c r="Y181" s="289"/>
      <c r="Z181" s="289"/>
      <c r="AA181" s="289"/>
      <c r="AB181" s="289"/>
      <c r="AC181" s="289"/>
      <c r="AD181" s="289"/>
      <c r="AE181" s="289"/>
      <c r="AF181" s="289"/>
      <c r="AG181" s="289"/>
      <c r="AH181" s="289"/>
      <c r="AI181" s="289"/>
      <c r="AJ181" s="289"/>
      <c r="AK181" s="289"/>
      <c r="AL181" s="289"/>
      <c r="AM181" s="289"/>
      <c r="AN181" s="289"/>
      <c r="AO181" s="289"/>
      <c r="AP181" s="289"/>
      <c r="AQ181" s="289"/>
      <c r="AR181" s="289"/>
      <c r="AS181" s="289"/>
      <c r="AT181" s="289"/>
      <c r="AU181" s="289"/>
      <c r="AV181" s="289"/>
      <c r="AW181" s="289"/>
      <c r="AX181" s="289"/>
      <c r="AY181" s="289"/>
      <c r="AZ181" s="289"/>
      <c r="BA181" s="289"/>
      <c r="BB181" s="289"/>
      <c r="BC181" s="289"/>
      <c r="BD181" s="289"/>
      <c r="BE181" s="289"/>
      <c r="BF181" s="289"/>
      <c r="BG181" s="289"/>
      <c r="BH181" s="289"/>
      <c r="BI181" s="289"/>
      <c r="BJ181" s="289"/>
    </row>
    <row r="182" spans="1:65">
      <c r="L182" s="289"/>
      <c r="M182" s="289"/>
      <c r="N182" s="291"/>
      <c r="O182" s="291"/>
      <c r="P182" s="291"/>
      <c r="Q182" s="291"/>
      <c r="R182" s="291"/>
      <c r="S182" s="291"/>
      <c r="T182" s="291"/>
      <c r="U182" s="289"/>
      <c r="V182" s="289"/>
      <c r="W182" s="291" t="s">
        <v>510</v>
      </c>
      <c r="X182" s="291"/>
      <c r="Y182" s="291" t="s">
        <v>523</v>
      </c>
      <c r="Z182" s="291"/>
      <c r="AA182" s="291" t="s">
        <v>524</v>
      </c>
      <c r="AB182" s="291"/>
      <c r="AC182" s="291" t="s">
        <v>525</v>
      </c>
      <c r="AD182" s="289"/>
      <c r="AE182" s="289"/>
      <c r="AF182" s="291" t="s">
        <v>510</v>
      </c>
      <c r="AG182" s="291"/>
      <c r="AH182" s="291" t="s">
        <v>523</v>
      </c>
      <c r="AI182" s="291"/>
      <c r="AJ182" s="291" t="s">
        <v>524</v>
      </c>
      <c r="AK182" s="291"/>
      <c r="AL182" s="291" t="s">
        <v>525</v>
      </c>
      <c r="AM182" s="289"/>
      <c r="AN182" s="289"/>
      <c r="AO182" s="291" t="s">
        <v>510</v>
      </c>
      <c r="AP182" s="291"/>
      <c r="AQ182" s="291" t="s">
        <v>523</v>
      </c>
      <c r="AR182" s="291"/>
      <c r="AS182" s="291" t="s">
        <v>524</v>
      </c>
      <c r="AT182" s="291"/>
      <c r="AU182" s="291" t="s">
        <v>525</v>
      </c>
      <c r="AV182" s="289"/>
      <c r="AW182" s="289"/>
      <c r="AX182" s="291" t="s">
        <v>510</v>
      </c>
      <c r="AY182" s="291"/>
      <c r="AZ182" s="291" t="s">
        <v>523</v>
      </c>
      <c r="BA182" s="291"/>
      <c r="BB182" s="291" t="s">
        <v>524</v>
      </c>
      <c r="BC182" s="291"/>
      <c r="BD182" s="291" t="s">
        <v>525</v>
      </c>
      <c r="BE182" s="289"/>
      <c r="BF182" s="289"/>
      <c r="BG182" s="291" t="s">
        <v>510</v>
      </c>
      <c r="BH182" s="291"/>
      <c r="BI182" s="291" t="s">
        <v>523</v>
      </c>
      <c r="BJ182" s="291"/>
      <c r="BK182" s="298" t="s">
        <v>524</v>
      </c>
      <c r="BL182" s="298"/>
      <c r="BM182" s="298" t="s">
        <v>525</v>
      </c>
    </row>
    <row r="183" spans="1:65">
      <c r="B183" s="777" t="s">
        <v>527</v>
      </c>
      <c r="C183" s="778"/>
      <c r="D183" s="778"/>
      <c r="E183" s="778"/>
      <c r="F183" s="779"/>
      <c r="L183" s="289"/>
      <c r="M183" s="289"/>
      <c r="N183" s="291"/>
      <c r="O183" s="291"/>
      <c r="P183" s="291"/>
      <c r="Q183" s="291"/>
      <c r="R183" s="291"/>
      <c r="S183" s="291"/>
      <c r="T183" s="291"/>
      <c r="U183" s="289"/>
      <c r="V183" s="289"/>
      <c r="W183" s="291">
        <v>0.433</v>
      </c>
      <c r="X183" s="291"/>
      <c r="Y183" s="291">
        <v>0.23</v>
      </c>
      <c r="Z183" s="291"/>
      <c r="AA183" s="291">
        <v>0.28999999999999998</v>
      </c>
      <c r="AB183" s="291"/>
      <c r="AC183" s="291">
        <v>0.495</v>
      </c>
      <c r="AD183" s="289"/>
      <c r="AE183" s="289"/>
      <c r="AF183" s="291">
        <v>0.439</v>
      </c>
      <c r="AG183" s="291"/>
      <c r="AH183" s="291">
        <v>0.22800000000000001</v>
      </c>
      <c r="AI183" s="291"/>
      <c r="AJ183" s="291">
        <v>0.28699999999999998</v>
      </c>
      <c r="AK183" s="291"/>
      <c r="AL183" s="291">
        <v>0.5</v>
      </c>
      <c r="AM183" s="289"/>
      <c r="AN183" s="289"/>
      <c r="AO183" s="291">
        <v>0.442</v>
      </c>
      <c r="AP183" s="291"/>
      <c r="AQ183" s="291">
        <v>0.224</v>
      </c>
      <c r="AR183" s="291"/>
      <c r="AS183" s="291">
        <v>0.28299999999999997</v>
      </c>
      <c r="AT183" s="291"/>
      <c r="AU183" s="291">
        <v>0.502</v>
      </c>
      <c r="AV183" s="289"/>
      <c r="AW183" s="289"/>
      <c r="AX183" s="291">
        <v>0.44</v>
      </c>
      <c r="AY183" s="291"/>
      <c r="AZ183" s="291">
        <v>0.223</v>
      </c>
      <c r="BA183" s="291"/>
      <c r="BB183" s="291">
        <v>0.28499999999999998</v>
      </c>
      <c r="BC183" s="291"/>
      <c r="BD183" s="291">
        <v>0.501</v>
      </c>
      <c r="BE183" s="289"/>
      <c r="BF183" s="289"/>
      <c r="BG183" s="291">
        <v>0.442</v>
      </c>
      <c r="BH183" s="291"/>
      <c r="BI183" s="291">
        <v>0.221</v>
      </c>
      <c r="BJ183" s="291"/>
      <c r="BK183" s="298">
        <v>0.28199999999999997</v>
      </c>
      <c r="BL183" s="298"/>
      <c r="BM183" s="298">
        <v>0.502</v>
      </c>
    </row>
    <row r="184" spans="1:65">
      <c r="B184" s="281" t="s">
        <v>10</v>
      </c>
      <c r="C184" s="281" t="s">
        <v>510</v>
      </c>
      <c r="D184" s="281" t="s">
        <v>523</v>
      </c>
      <c r="E184" s="281" t="s">
        <v>524</v>
      </c>
      <c r="F184" s="281" t="s">
        <v>525</v>
      </c>
      <c r="L184" s="289"/>
      <c r="M184" s="289"/>
      <c r="N184" s="291"/>
      <c r="O184" s="291"/>
      <c r="P184" s="291"/>
      <c r="Q184" s="291"/>
      <c r="R184" s="291"/>
      <c r="S184" s="291"/>
      <c r="T184" s="291"/>
      <c r="U184" s="289"/>
      <c r="V184" s="289"/>
      <c r="W184" s="291">
        <f t="shared" ref="W184:W190" si="39">W183</f>
        <v>0.433</v>
      </c>
      <c r="X184" s="291"/>
      <c r="Y184" s="291">
        <f t="shared" ref="Y184:Y190" si="40">Y183</f>
        <v>0.23</v>
      </c>
      <c r="Z184" s="291"/>
      <c r="AA184" s="291">
        <f t="shared" ref="AA184:AA190" si="41">AA183</f>
        <v>0.28999999999999998</v>
      </c>
      <c r="AB184" s="291"/>
      <c r="AC184" s="291">
        <f t="shared" ref="AC184:AC193" si="42">AC183</f>
        <v>0.495</v>
      </c>
      <c r="AD184" s="289"/>
      <c r="AE184" s="289"/>
      <c r="AF184" s="291">
        <f t="shared" ref="AF184:AF190" si="43">AF183</f>
        <v>0.439</v>
      </c>
      <c r="AG184" s="291"/>
      <c r="AH184" s="291">
        <f t="shared" ref="AH184:AH190" si="44">AH183</f>
        <v>0.22800000000000001</v>
      </c>
      <c r="AI184" s="291"/>
      <c r="AJ184" s="291">
        <f t="shared" ref="AJ184:AJ190" si="45">AJ183</f>
        <v>0.28699999999999998</v>
      </c>
      <c r="AK184" s="291"/>
      <c r="AL184" s="291">
        <f t="shared" ref="AL184:AL193" si="46">AL183</f>
        <v>0.5</v>
      </c>
      <c r="AM184" s="289"/>
      <c r="AN184" s="289"/>
      <c r="AO184" s="291">
        <f t="shared" ref="AO184:AO190" si="47">AO183</f>
        <v>0.442</v>
      </c>
      <c r="AP184" s="291"/>
      <c r="AQ184" s="291">
        <f t="shared" ref="AQ184:AQ190" si="48">AQ183</f>
        <v>0.224</v>
      </c>
      <c r="AR184" s="291"/>
      <c r="AS184" s="291">
        <f t="shared" ref="AS184:AS190" si="49">AS183</f>
        <v>0.28299999999999997</v>
      </c>
      <c r="AT184" s="291"/>
      <c r="AU184" s="291">
        <f t="shared" ref="AU184:AU193" si="50">AU183</f>
        <v>0.502</v>
      </c>
      <c r="AV184" s="289"/>
      <c r="AW184" s="289"/>
      <c r="AX184" s="291">
        <f t="shared" ref="AX184:AX190" si="51">AX183</f>
        <v>0.44</v>
      </c>
      <c r="AY184" s="291"/>
      <c r="AZ184" s="291">
        <f t="shared" ref="AZ184:AZ190" si="52">AZ183</f>
        <v>0.223</v>
      </c>
      <c r="BA184" s="291"/>
      <c r="BB184" s="291">
        <f t="shared" ref="BB184:BB190" si="53">BB183</f>
        <v>0.28499999999999998</v>
      </c>
      <c r="BC184" s="291"/>
      <c r="BD184" s="291">
        <f t="shared" ref="BD184:BD193" si="54">BD183</f>
        <v>0.501</v>
      </c>
      <c r="BE184" s="289"/>
      <c r="BF184" s="289"/>
      <c r="BG184" s="291">
        <f t="shared" ref="BG184:BG190" si="55">BG183</f>
        <v>0.442</v>
      </c>
      <c r="BH184" s="291"/>
      <c r="BI184" s="291">
        <f t="shared" ref="BI184:BI190" si="56">BI183</f>
        <v>0.221</v>
      </c>
      <c r="BJ184" s="291"/>
      <c r="BK184" s="298">
        <f t="shared" ref="BK184:BK190" si="57">BK183</f>
        <v>0.28199999999999997</v>
      </c>
      <c r="BL184" s="298"/>
      <c r="BM184" s="298">
        <f t="shared" ref="BM184:BM193" si="58">BM183</f>
        <v>0.502</v>
      </c>
    </row>
    <row r="185" spans="1:65">
      <c r="B185" s="259">
        <v>14</v>
      </c>
      <c r="C185" s="250">
        <v>0.47299999999999998</v>
      </c>
      <c r="D185" s="281">
        <f>P183</f>
        <v>0</v>
      </c>
      <c r="E185" s="250">
        <v>0.35699999999999998</v>
      </c>
      <c r="F185" s="281">
        <f>T183</f>
        <v>0</v>
      </c>
      <c r="H185" s="252"/>
      <c r="L185" s="289"/>
      <c r="M185" s="289"/>
      <c r="N185" s="291"/>
      <c r="O185" s="291"/>
      <c r="P185" s="291"/>
      <c r="Q185" s="291"/>
      <c r="R185" s="291"/>
      <c r="S185" s="291"/>
      <c r="T185" s="291"/>
      <c r="U185" s="289"/>
      <c r="V185" s="289"/>
      <c r="W185" s="291">
        <f t="shared" si="39"/>
        <v>0.433</v>
      </c>
      <c r="X185" s="291"/>
      <c r="Y185" s="291">
        <f t="shared" si="40"/>
        <v>0.23</v>
      </c>
      <c r="Z185" s="291"/>
      <c r="AA185" s="291">
        <f t="shared" si="41"/>
        <v>0.28999999999999998</v>
      </c>
      <c r="AB185" s="291"/>
      <c r="AC185" s="291">
        <f t="shared" si="42"/>
        <v>0.495</v>
      </c>
      <c r="AD185" s="289"/>
      <c r="AE185" s="289"/>
      <c r="AF185" s="291">
        <f t="shared" si="43"/>
        <v>0.439</v>
      </c>
      <c r="AG185" s="291"/>
      <c r="AH185" s="291">
        <f t="shared" si="44"/>
        <v>0.22800000000000001</v>
      </c>
      <c r="AI185" s="291"/>
      <c r="AJ185" s="291">
        <f t="shared" si="45"/>
        <v>0.28699999999999998</v>
      </c>
      <c r="AK185" s="291"/>
      <c r="AL185" s="291">
        <f t="shared" si="46"/>
        <v>0.5</v>
      </c>
      <c r="AM185" s="289"/>
      <c r="AN185" s="289"/>
      <c r="AO185" s="291">
        <f t="shared" si="47"/>
        <v>0.442</v>
      </c>
      <c r="AP185" s="291"/>
      <c r="AQ185" s="291">
        <f t="shared" si="48"/>
        <v>0.224</v>
      </c>
      <c r="AR185" s="291"/>
      <c r="AS185" s="291">
        <f t="shared" si="49"/>
        <v>0.28299999999999997</v>
      </c>
      <c r="AT185" s="291"/>
      <c r="AU185" s="291">
        <f t="shared" si="50"/>
        <v>0.502</v>
      </c>
      <c r="AV185" s="289"/>
      <c r="AW185" s="289"/>
      <c r="AX185" s="291">
        <f t="shared" si="51"/>
        <v>0.44</v>
      </c>
      <c r="AY185" s="291"/>
      <c r="AZ185" s="291">
        <f t="shared" si="52"/>
        <v>0.223</v>
      </c>
      <c r="BA185" s="291"/>
      <c r="BB185" s="291">
        <f t="shared" si="53"/>
        <v>0.28499999999999998</v>
      </c>
      <c r="BC185" s="291"/>
      <c r="BD185" s="291">
        <f t="shared" si="54"/>
        <v>0.501</v>
      </c>
      <c r="BE185" s="289"/>
      <c r="BF185" s="289"/>
      <c r="BG185" s="291">
        <f t="shared" si="55"/>
        <v>0.442</v>
      </c>
      <c r="BH185" s="291"/>
      <c r="BI185" s="291">
        <f t="shared" si="56"/>
        <v>0.221</v>
      </c>
      <c r="BJ185" s="291"/>
      <c r="BK185" s="298">
        <f t="shared" si="57"/>
        <v>0.28199999999999997</v>
      </c>
      <c r="BL185" s="298"/>
      <c r="BM185" s="298">
        <f t="shared" si="58"/>
        <v>0.502</v>
      </c>
    </row>
    <row r="186" spans="1:65">
      <c r="B186" s="265">
        <v>13</v>
      </c>
      <c r="C186" s="255">
        <v>0.47299999999999998</v>
      </c>
      <c r="D186" s="233">
        <f>Y183</f>
        <v>0.23</v>
      </c>
      <c r="E186" s="255">
        <v>0.35199999999999998</v>
      </c>
      <c r="F186" s="233">
        <f>AC183</f>
        <v>0.495</v>
      </c>
      <c r="H186" s="252"/>
      <c r="L186" s="289"/>
      <c r="M186" s="289"/>
      <c r="N186" s="291"/>
      <c r="O186" s="291"/>
      <c r="P186" s="291"/>
      <c r="Q186" s="291"/>
      <c r="R186" s="291"/>
      <c r="S186" s="291"/>
      <c r="T186" s="291"/>
      <c r="U186" s="289"/>
      <c r="V186" s="289"/>
      <c r="W186" s="291">
        <f t="shared" si="39"/>
        <v>0.433</v>
      </c>
      <c r="X186" s="291"/>
      <c r="Y186" s="291">
        <f t="shared" si="40"/>
        <v>0.23</v>
      </c>
      <c r="Z186" s="291"/>
      <c r="AA186" s="291">
        <f t="shared" si="41"/>
        <v>0.28999999999999998</v>
      </c>
      <c r="AB186" s="291"/>
      <c r="AC186" s="291">
        <f t="shared" si="42"/>
        <v>0.495</v>
      </c>
      <c r="AD186" s="289"/>
      <c r="AE186" s="289"/>
      <c r="AF186" s="291">
        <f t="shared" si="43"/>
        <v>0.439</v>
      </c>
      <c r="AG186" s="291"/>
      <c r="AH186" s="291">
        <f t="shared" si="44"/>
        <v>0.22800000000000001</v>
      </c>
      <c r="AI186" s="291"/>
      <c r="AJ186" s="291">
        <f t="shared" si="45"/>
        <v>0.28699999999999998</v>
      </c>
      <c r="AK186" s="291"/>
      <c r="AL186" s="291">
        <f t="shared" si="46"/>
        <v>0.5</v>
      </c>
      <c r="AM186" s="289"/>
      <c r="AN186" s="289"/>
      <c r="AO186" s="291">
        <f t="shared" si="47"/>
        <v>0.442</v>
      </c>
      <c r="AP186" s="291"/>
      <c r="AQ186" s="291">
        <f t="shared" si="48"/>
        <v>0.224</v>
      </c>
      <c r="AR186" s="291"/>
      <c r="AS186" s="291">
        <f t="shared" si="49"/>
        <v>0.28299999999999997</v>
      </c>
      <c r="AT186" s="291"/>
      <c r="AU186" s="291">
        <f t="shared" si="50"/>
        <v>0.502</v>
      </c>
      <c r="AV186" s="289"/>
      <c r="AW186" s="289"/>
      <c r="AX186" s="291">
        <f t="shared" si="51"/>
        <v>0.44</v>
      </c>
      <c r="AY186" s="291"/>
      <c r="AZ186" s="291">
        <f t="shared" si="52"/>
        <v>0.223</v>
      </c>
      <c r="BA186" s="291"/>
      <c r="BB186" s="291">
        <f t="shared" si="53"/>
        <v>0.28499999999999998</v>
      </c>
      <c r="BC186" s="291"/>
      <c r="BD186" s="291">
        <f t="shared" si="54"/>
        <v>0.501</v>
      </c>
      <c r="BE186" s="289"/>
      <c r="BF186" s="289"/>
      <c r="BG186" s="291">
        <f t="shared" si="55"/>
        <v>0.442</v>
      </c>
      <c r="BH186" s="291"/>
      <c r="BI186" s="291">
        <f t="shared" si="56"/>
        <v>0.221</v>
      </c>
      <c r="BJ186" s="291"/>
      <c r="BK186" s="298">
        <f t="shared" si="57"/>
        <v>0.28199999999999997</v>
      </c>
      <c r="BL186" s="298"/>
      <c r="BM186" s="298">
        <f t="shared" si="58"/>
        <v>0.502</v>
      </c>
    </row>
    <row r="187" spans="1:65">
      <c r="B187" s="259">
        <v>12</v>
      </c>
      <c r="C187" s="250">
        <v>0.47399999999999998</v>
      </c>
      <c r="D187" s="281">
        <f>AH183</f>
        <v>0.22800000000000001</v>
      </c>
      <c r="E187" s="250">
        <v>0.35199999999999998</v>
      </c>
      <c r="F187" s="281">
        <f>AL183</f>
        <v>0.5</v>
      </c>
      <c r="H187" s="252"/>
      <c r="L187" s="290"/>
      <c r="M187" s="290"/>
      <c r="N187" s="291"/>
      <c r="O187" s="291"/>
      <c r="P187" s="291"/>
      <c r="Q187" s="291"/>
      <c r="R187" s="291"/>
      <c r="S187" s="291"/>
      <c r="T187" s="291"/>
      <c r="U187" s="289"/>
      <c r="V187" s="289"/>
      <c r="W187" s="291">
        <f t="shared" si="39"/>
        <v>0.433</v>
      </c>
      <c r="X187" s="291"/>
      <c r="Y187" s="291">
        <f t="shared" si="40"/>
        <v>0.23</v>
      </c>
      <c r="Z187" s="291"/>
      <c r="AA187" s="291">
        <f t="shared" si="41"/>
        <v>0.28999999999999998</v>
      </c>
      <c r="AB187" s="291"/>
      <c r="AC187" s="291">
        <f t="shared" si="42"/>
        <v>0.495</v>
      </c>
      <c r="AD187" s="289"/>
      <c r="AE187" s="289"/>
      <c r="AF187" s="291">
        <f t="shared" si="43"/>
        <v>0.439</v>
      </c>
      <c r="AG187" s="291"/>
      <c r="AH187" s="291">
        <f t="shared" si="44"/>
        <v>0.22800000000000001</v>
      </c>
      <c r="AI187" s="291"/>
      <c r="AJ187" s="291">
        <f t="shared" si="45"/>
        <v>0.28699999999999998</v>
      </c>
      <c r="AK187" s="291"/>
      <c r="AL187" s="291">
        <f t="shared" si="46"/>
        <v>0.5</v>
      </c>
      <c r="AM187" s="289"/>
      <c r="AN187" s="289"/>
      <c r="AO187" s="291">
        <f t="shared" si="47"/>
        <v>0.442</v>
      </c>
      <c r="AP187" s="291"/>
      <c r="AQ187" s="291">
        <f t="shared" si="48"/>
        <v>0.224</v>
      </c>
      <c r="AR187" s="291"/>
      <c r="AS187" s="291">
        <f t="shared" si="49"/>
        <v>0.28299999999999997</v>
      </c>
      <c r="AT187" s="291"/>
      <c r="AU187" s="291">
        <f t="shared" si="50"/>
        <v>0.502</v>
      </c>
      <c r="AV187" s="289"/>
      <c r="AW187" s="289"/>
      <c r="AX187" s="291">
        <f t="shared" si="51"/>
        <v>0.44</v>
      </c>
      <c r="AY187" s="291"/>
      <c r="AZ187" s="291">
        <f t="shared" si="52"/>
        <v>0.223</v>
      </c>
      <c r="BA187" s="291"/>
      <c r="BB187" s="291">
        <f t="shared" si="53"/>
        <v>0.28499999999999998</v>
      </c>
      <c r="BC187" s="291"/>
      <c r="BD187" s="291">
        <f t="shared" si="54"/>
        <v>0.501</v>
      </c>
      <c r="BE187" s="289"/>
      <c r="BF187" s="289"/>
      <c r="BG187" s="291">
        <f t="shared" si="55"/>
        <v>0.442</v>
      </c>
      <c r="BH187" s="291"/>
      <c r="BI187" s="291">
        <f t="shared" si="56"/>
        <v>0.221</v>
      </c>
      <c r="BJ187" s="291"/>
      <c r="BK187" s="298">
        <f t="shared" si="57"/>
        <v>0.28199999999999997</v>
      </c>
      <c r="BL187" s="298"/>
      <c r="BM187" s="298">
        <f t="shared" si="58"/>
        <v>0.502</v>
      </c>
    </row>
    <row r="188" spans="1:65">
      <c r="B188" s="259">
        <v>11</v>
      </c>
      <c r="C188" s="250">
        <v>0.47599999999999998</v>
      </c>
      <c r="D188" s="281">
        <f>AQ183</f>
        <v>0.224</v>
      </c>
      <c r="E188" s="250">
        <v>0.34699999999999998</v>
      </c>
      <c r="F188" s="281">
        <f>AU183</f>
        <v>0.502</v>
      </c>
      <c r="H188" s="252"/>
      <c r="L188" s="289"/>
      <c r="M188" s="289"/>
      <c r="N188" s="291"/>
      <c r="O188" s="291"/>
      <c r="P188" s="291"/>
      <c r="Q188" s="291"/>
      <c r="R188" s="291"/>
      <c r="S188" s="291"/>
      <c r="T188" s="291"/>
      <c r="U188" s="289"/>
      <c r="V188" s="289"/>
      <c r="W188" s="291">
        <f t="shared" si="39"/>
        <v>0.433</v>
      </c>
      <c r="X188" s="291"/>
      <c r="Y188" s="291">
        <f t="shared" si="40"/>
        <v>0.23</v>
      </c>
      <c r="Z188" s="291"/>
      <c r="AA188" s="291">
        <f t="shared" si="41"/>
        <v>0.28999999999999998</v>
      </c>
      <c r="AB188" s="291"/>
      <c r="AC188" s="291">
        <f t="shared" si="42"/>
        <v>0.495</v>
      </c>
      <c r="AD188" s="289"/>
      <c r="AE188" s="289"/>
      <c r="AF188" s="291">
        <f t="shared" si="43"/>
        <v>0.439</v>
      </c>
      <c r="AG188" s="291"/>
      <c r="AH188" s="291">
        <f t="shared" si="44"/>
        <v>0.22800000000000001</v>
      </c>
      <c r="AI188" s="291"/>
      <c r="AJ188" s="291">
        <f t="shared" si="45"/>
        <v>0.28699999999999998</v>
      </c>
      <c r="AK188" s="291"/>
      <c r="AL188" s="291">
        <f t="shared" si="46"/>
        <v>0.5</v>
      </c>
      <c r="AM188" s="289"/>
      <c r="AN188" s="289"/>
      <c r="AO188" s="291">
        <f t="shared" si="47"/>
        <v>0.442</v>
      </c>
      <c r="AP188" s="291"/>
      <c r="AQ188" s="291">
        <f t="shared" si="48"/>
        <v>0.224</v>
      </c>
      <c r="AR188" s="291"/>
      <c r="AS188" s="291">
        <f t="shared" si="49"/>
        <v>0.28299999999999997</v>
      </c>
      <c r="AT188" s="291"/>
      <c r="AU188" s="291">
        <f t="shared" si="50"/>
        <v>0.502</v>
      </c>
      <c r="AV188" s="289"/>
      <c r="AW188" s="289"/>
      <c r="AX188" s="291">
        <f t="shared" si="51"/>
        <v>0.44</v>
      </c>
      <c r="AY188" s="291"/>
      <c r="AZ188" s="291">
        <f t="shared" si="52"/>
        <v>0.223</v>
      </c>
      <c r="BA188" s="291"/>
      <c r="BB188" s="291">
        <f t="shared" si="53"/>
        <v>0.28499999999999998</v>
      </c>
      <c r="BC188" s="291"/>
      <c r="BD188" s="291">
        <f t="shared" si="54"/>
        <v>0.501</v>
      </c>
      <c r="BE188" s="289"/>
      <c r="BF188" s="289"/>
      <c r="BG188" s="291">
        <f t="shared" si="55"/>
        <v>0.442</v>
      </c>
      <c r="BH188" s="291"/>
      <c r="BI188" s="291">
        <f t="shared" si="56"/>
        <v>0.221</v>
      </c>
      <c r="BJ188" s="291"/>
      <c r="BK188" s="298">
        <f t="shared" si="57"/>
        <v>0.28199999999999997</v>
      </c>
      <c r="BL188" s="298"/>
      <c r="BM188" s="298">
        <f t="shared" si="58"/>
        <v>0.502</v>
      </c>
    </row>
    <row r="189" spans="1:65">
      <c r="B189" s="259">
        <v>10</v>
      </c>
      <c r="C189" s="250">
        <v>0.47699999999999998</v>
      </c>
      <c r="D189" s="281">
        <f>AZ183</f>
        <v>0.223</v>
      </c>
      <c r="E189" s="250">
        <v>0.34699999999999998</v>
      </c>
      <c r="F189" s="281">
        <f>BD183</f>
        <v>0.501</v>
      </c>
      <c r="H189" s="252"/>
      <c r="L189" s="289"/>
      <c r="M189" s="289"/>
      <c r="N189" s="291"/>
      <c r="O189" s="291"/>
      <c r="P189" s="291"/>
      <c r="Q189" s="291"/>
      <c r="R189" s="291"/>
      <c r="S189" s="291"/>
      <c r="T189" s="291"/>
      <c r="U189" s="289"/>
      <c r="V189" s="289"/>
      <c r="W189" s="291">
        <f t="shared" si="39"/>
        <v>0.433</v>
      </c>
      <c r="X189" s="291"/>
      <c r="Y189" s="291">
        <f t="shared" si="40"/>
        <v>0.23</v>
      </c>
      <c r="Z189" s="291"/>
      <c r="AA189" s="291">
        <f t="shared" si="41"/>
        <v>0.28999999999999998</v>
      </c>
      <c r="AB189" s="291"/>
      <c r="AC189" s="291">
        <f t="shared" si="42"/>
        <v>0.495</v>
      </c>
      <c r="AD189" s="289"/>
      <c r="AE189" s="289"/>
      <c r="AF189" s="291">
        <f t="shared" si="43"/>
        <v>0.439</v>
      </c>
      <c r="AG189" s="291"/>
      <c r="AH189" s="291">
        <f t="shared" si="44"/>
        <v>0.22800000000000001</v>
      </c>
      <c r="AI189" s="291"/>
      <c r="AJ189" s="291">
        <f t="shared" si="45"/>
        <v>0.28699999999999998</v>
      </c>
      <c r="AK189" s="291"/>
      <c r="AL189" s="291">
        <f t="shared" si="46"/>
        <v>0.5</v>
      </c>
      <c r="AM189" s="289"/>
      <c r="AN189" s="289"/>
      <c r="AO189" s="291">
        <f t="shared" si="47"/>
        <v>0.442</v>
      </c>
      <c r="AP189" s="291"/>
      <c r="AQ189" s="291">
        <f t="shared" si="48"/>
        <v>0.224</v>
      </c>
      <c r="AR189" s="291"/>
      <c r="AS189" s="291">
        <f t="shared" si="49"/>
        <v>0.28299999999999997</v>
      </c>
      <c r="AT189" s="291"/>
      <c r="AU189" s="291">
        <f t="shared" si="50"/>
        <v>0.502</v>
      </c>
      <c r="AV189" s="289"/>
      <c r="AW189" s="289"/>
      <c r="AX189" s="291">
        <f t="shared" si="51"/>
        <v>0.44</v>
      </c>
      <c r="AY189" s="291"/>
      <c r="AZ189" s="291">
        <f t="shared" si="52"/>
        <v>0.223</v>
      </c>
      <c r="BA189" s="291"/>
      <c r="BB189" s="291">
        <f t="shared" si="53"/>
        <v>0.28499999999999998</v>
      </c>
      <c r="BC189" s="291"/>
      <c r="BD189" s="291">
        <f t="shared" si="54"/>
        <v>0.501</v>
      </c>
      <c r="BE189" s="289"/>
      <c r="BF189" s="289"/>
      <c r="BG189" s="291">
        <f t="shared" si="55"/>
        <v>0.442</v>
      </c>
      <c r="BH189" s="291"/>
      <c r="BI189" s="291">
        <f t="shared" si="56"/>
        <v>0.221</v>
      </c>
      <c r="BJ189" s="291"/>
      <c r="BK189" s="298">
        <f t="shared" si="57"/>
        <v>0.28199999999999997</v>
      </c>
      <c r="BL189" s="298"/>
      <c r="BM189" s="298">
        <f t="shared" si="58"/>
        <v>0.502</v>
      </c>
    </row>
    <row r="190" spans="1:65">
      <c r="B190" s="259">
        <v>9</v>
      </c>
      <c r="C190" s="250">
        <v>0.47699999999999998</v>
      </c>
      <c r="D190" s="281">
        <f>BI183</f>
        <v>0.221</v>
      </c>
      <c r="E190" s="250">
        <v>0.34599999999999997</v>
      </c>
      <c r="F190" s="281">
        <f>BM183</f>
        <v>0.502</v>
      </c>
      <c r="H190" s="252"/>
      <c r="L190" s="289"/>
      <c r="M190" s="289"/>
      <c r="N190" s="291"/>
      <c r="O190" s="291"/>
      <c r="P190" s="291"/>
      <c r="Q190" s="291"/>
      <c r="R190" s="291"/>
      <c r="S190" s="291"/>
      <c r="T190" s="291"/>
      <c r="U190" s="289"/>
      <c r="V190" s="289"/>
      <c r="W190" s="291">
        <f t="shared" si="39"/>
        <v>0.433</v>
      </c>
      <c r="X190" s="291"/>
      <c r="Y190" s="291">
        <f t="shared" si="40"/>
        <v>0.23</v>
      </c>
      <c r="Z190" s="291"/>
      <c r="AA190" s="291">
        <f t="shared" si="41"/>
        <v>0.28999999999999998</v>
      </c>
      <c r="AB190" s="291"/>
      <c r="AC190" s="291">
        <f t="shared" si="42"/>
        <v>0.495</v>
      </c>
      <c r="AD190" s="289"/>
      <c r="AE190" s="289"/>
      <c r="AF190" s="291">
        <f t="shared" si="43"/>
        <v>0.439</v>
      </c>
      <c r="AG190" s="291"/>
      <c r="AH190" s="291">
        <f t="shared" si="44"/>
        <v>0.22800000000000001</v>
      </c>
      <c r="AI190" s="291"/>
      <c r="AJ190" s="291">
        <f t="shared" si="45"/>
        <v>0.28699999999999998</v>
      </c>
      <c r="AK190" s="291"/>
      <c r="AL190" s="291">
        <f t="shared" si="46"/>
        <v>0.5</v>
      </c>
      <c r="AM190" s="289"/>
      <c r="AN190" s="289"/>
      <c r="AO190" s="291">
        <f t="shared" si="47"/>
        <v>0.442</v>
      </c>
      <c r="AP190" s="291"/>
      <c r="AQ190" s="291">
        <f t="shared" si="48"/>
        <v>0.224</v>
      </c>
      <c r="AR190" s="291"/>
      <c r="AS190" s="291">
        <f t="shared" si="49"/>
        <v>0.28299999999999997</v>
      </c>
      <c r="AT190" s="291"/>
      <c r="AU190" s="291">
        <f t="shared" si="50"/>
        <v>0.502</v>
      </c>
      <c r="AV190" s="289"/>
      <c r="AW190" s="289"/>
      <c r="AX190" s="291">
        <f t="shared" si="51"/>
        <v>0.44</v>
      </c>
      <c r="AY190" s="291"/>
      <c r="AZ190" s="291">
        <f t="shared" si="52"/>
        <v>0.223</v>
      </c>
      <c r="BA190" s="291"/>
      <c r="BB190" s="291">
        <f t="shared" si="53"/>
        <v>0.28499999999999998</v>
      </c>
      <c r="BC190" s="291"/>
      <c r="BD190" s="291">
        <f t="shared" si="54"/>
        <v>0.501</v>
      </c>
      <c r="BE190" s="289"/>
      <c r="BF190" s="289"/>
      <c r="BG190" s="291">
        <f t="shared" si="55"/>
        <v>0.442</v>
      </c>
      <c r="BH190" s="291"/>
      <c r="BI190" s="291">
        <f t="shared" si="56"/>
        <v>0.221</v>
      </c>
      <c r="BJ190" s="291"/>
      <c r="BK190" s="298">
        <f t="shared" si="57"/>
        <v>0.28199999999999997</v>
      </c>
      <c r="BL190" s="298"/>
      <c r="BM190" s="298">
        <f t="shared" si="58"/>
        <v>0.502</v>
      </c>
    </row>
    <row r="191" spans="1:65">
      <c r="L191" s="289"/>
      <c r="M191" s="289"/>
      <c r="N191" s="296"/>
      <c r="O191" s="296"/>
      <c r="P191" s="296"/>
      <c r="Q191" s="296"/>
      <c r="R191" s="296"/>
      <c r="S191" s="296"/>
      <c r="T191" s="291"/>
      <c r="U191" s="289"/>
      <c r="V191" s="289"/>
      <c r="W191" s="296"/>
      <c r="X191" s="296"/>
      <c r="Y191" s="296"/>
      <c r="Z191" s="296"/>
      <c r="AA191" s="296"/>
      <c r="AB191" s="296"/>
      <c r="AC191" s="291">
        <f t="shared" si="42"/>
        <v>0.495</v>
      </c>
      <c r="AD191" s="289"/>
      <c r="AE191" s="289"/>
      <c r="AF191" s="296"/>
      <c r="AG191" s="296"/>
      <c r="AH191" s="296"/>
      <c r="AI191" s="296"/>
      <c r="AJ191" s="296"/>
      <c r="AK191" s="296"/>
      <c r="AL191" s="291">
        <f t="shared" si="46"/>
        <v>0.5</v>
      </c>
      <c r="AM191" s="289"/>
      <c r="AN191" s="289"/>
      <c r="AO191" s="296"/>
      <c r="AP191" s="296"/>
      <c r="AQ191" s="296"/>
      <c r="AR191" s="296"/>
      <c r="AS191" s="296"/>
      <c r="AT191" s="296"/>
      <c r="AU191" s="291">
        <f t="shared" si="50"/>
        <v>0.502</v>
      </c>
      <c r="AV191" s="289"/>
      <c r="AW191" s="289"/>
      <c r="AX191" s="296"/>
      <c r="AY191" s="296"/>
      <c r="AZ191" s="296"/>
      <c r="BA191" s="296"/>
      <c r="BB191" s="296"/>
      <c r="BC191" s="296"/>
      <c r="BD191" s="291">
        <f t="shared" si="54"/>
        <v>0.501</v>
      </c>
      <c r="BE191" s="289"/>
      <c r="BF191" s="289"/>
      <c r="BG191" s="296"/>
      <c r="BH191" s="296"/>
      <c r="BI191" s="296"/>
      <c r="BJ191" s="296"/>
      <c r="BK191" s="299"/>
      <c r="BL191" s="299"/>
      <c r="BM191" s="298">
        <f t="shared" si="58"/>
        <v>0.502</v>
      </c>
    </row>
    <row r="192" spans="1:65">
      <c r="A192" s="768" t="s">
        <v>528</v>
      </c>
      <c r="B192" s="768"/>
      <c r="C192" s="768"/>
      <c r="D192" s="768"/>
      <c r="E192" s="768"/>
      <c r="F192" s="768"/>
      <c r="G192" s="768"/>
      <c r="H192" s="768"/>
      <c r="I192" s="768"/>
      <c r="J192" s="768"/>
      <c r="L192" s="289"/>
      <c r="M192" s="289"/>
      <c r="N192" s="296"/>
      <c r="O192" s="296"/>
      <c r="P192" s="296"/>
      <c r="Q192" s="296"/>
      <c r="R192" s="296"/>
      <c r="S192" s="296"/>
      <c r="T192" s="291"/>
      <c r="U192" s="289"/>
      <c r="V192" s="289"/>
      <c r="W192" s="296"/>
      <c r="X192" s="296"/>
      <c r="Y192" s="296"/>
      <c r="Z192" s="296"/>
      <c r="AA192" s="296"/>
      <c r="AB192" s="296"/>
      <c r="AC192" s="291">
        <f t="shared" si="42"/>
        <v>0.495</v>
      </c>
      <c r="AD192" s="289"/>
      <c r="AE192" s="289"/>
      <c r="AF192" s="296"/>
      <c r="AG192" s="296"/>
      <c r="AH192" s="296"/>
      <c r="AI192" s="296"/>
      <c r="AJ192" s="296"/>
      <c r="AK192" s="296"/>
      <c r="AL192" s="291">
        <f t="shared" si="46"/>
        <v>0.5</v>
      </c>
      <c r="AM192" s="289"/>
      <c r="AN192" s="289"/>
      <c r="AO192" s="296"/>
      <c r="AP192" s="296"/>
      <c r="AQ192" s="296"/>
      <c r="AR192" s="296"/>
      <c r="AS192" s="296"/>
      <c r="AT192" s="296"/>
      <c r="AU192" s="291">
        <f t="shared" si="50"/>
        <v>0.502</v>
      </c>
      <c r="AV192" s="289"/>
      <c r="AW192" s="289"/>
      <c r="AX192" s="296"/>
      <c r="AY192" s="296"/>
      <c r="AZ192" s="296"/>
      <c r="BA192" s="296"/>
      <c r="BB192" s="296"/>
      <c r="BC192" s="296"/>
      <c r="BD192" s="291">
        <f t="shared" si="54"/>
        <v>0.501</v>
      </c>
      <c r="BE192" s="289"/>
      <c r="BF192" s="289"/>
      <c r="BG192" s="296"/>
      <c r="BH192" s="296"/>
      <c r="BI192" s="296"/>
      <c r="BJ192" s="296"/>
      <c r="BK192" s="299"/>
      <c r="BL192" s="299"/>
      <c r="BM192" s="298">
        <f t="shared" si="58"/>
        <v>0.502</v>
      </c>
    </row>
    <row r="193" spans="1:65">
      <c r="L193" s="289"/>
      <c r="M193" s="289"/>
      <c r="N193" s="296"/>
      <c r="O193" s="296"/>
      <c r="P193" s="296"/>
      <c r="Q193" s="296"/>
      <c r="R193" s="296"/>
      <c r="S193" s="296"/>
      <c r="T193" s="291"/>
      <c r="U193" s="289"/>
      <c r="V193" s="289"/>
      <c r="W193" s="296"/>
      <c r="X193" s="296"/>
      <c r="Y193" s="296"/>
      <c r="Z193" s="296"/>
      <c r="AA193" s="296"/>
      <c r="AB193" s="296"/>
      <c r="AC193" s="291">
        <f t="shared" si="42"/>
        <v>0.495</v>
      </c>
      <c r="AD193" s="289"/>
      <c r="AE193" s="289"/>
      <c r="AF193" s="296"/>
      <c r="AG193" s="296"/>
      <c r="AH193" s="296"/>
      <c r="AI193" s="296"/>
      <c r="AJ193" s="296"/>
      <c r="AK193" s="296"/>
      <c r="AL193" s="291">
        <f t="shared" si="46"/>
        <v>0.5</v>
      </c>
      <c r="AM193" s="289"/>
      <c r="AN193" s="289"/>
      <c r="AO193" s="296"/>
      <c r="AP193" s="296"/>
      <c r="AQ193" s="296"/>
      <c r="AR193" s="296"/>
      <c r="AS193" s="296"/>
      <c r="AT193" s="296"/>
      <c r="AU193" s="291">
        <f t="shared" si="50"/>
        <v>0.502</v>
      </c>
      <c r="AV193" s="289"/>
      <c r="AW193" s="289"/>
      <c r="AX193" s="296"/>
      <c r="AY193" s="296"/>
      <c r="AZ193" s="296"/>
      <c r="BA193" s="296"/>
      <c r="BB193" s="296"/>
      <c r="BC193" s="296"/>
      <c r="BD193" s="291">
        <f t="shared" si="54"/>
        <v>0.501</v>
      </c>
      <c r="BE193" s="289"/>
      <c r="BF193" s="289"/>
      <c r="BG193" s="296"/>
      <c r="BH193" s="296"/>
      <c r="BI193" s="296"/>
      <c r="BJ193" s="296"/>
      <c r="BK193" s="299"/>
      <c r="BL193" s="299"/>
      <c r="BM193" s="298">
        <f t="shared" si="58"/>
        <v>0.502</v>
      </c>
    </row>
    <row r="194" spans="1:65">
      <c r="A194" s="765" t="s">
        <v>489</v>
      </c>
      <c r="B194" s="765" t="s">
        <v>490</v>
      </c>
      <c r="C194" s="765" t="s">
        <v>517</v>
      </c>
      <c r="D194" s="765" t="s">
        <v>510</v>
      </c>
      <c r="E194" s="765" t="s">
        <v>523</v>
      </c>
      <c r="F194" s="765" t="s">
        <v>529</v>
      </c>
      <c r="G194" s="765" t="s">
        <v>530</v>
      </c>
      <c r="H194" s="233" t="s">
        <v>531</v>
      </c>
      <c r="I194" s="300"/>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289"/>
      <c r="AH194" s="289"/>
      <c r="AI194" s="289"/>
      <c r="AJ194" s="289"/>
      <c r="AK194" s="289"/>
      <c r="AL194" s="289"/>
      <c r="AM194" s="289"/>
      <c r="AN194" s="289"/>
      <c r="AO194" s="289"/>
      <c r="AP194" s="289"/>
      <c r="AQ194" s="289"/>
      <c r="AR194" s="289"/>
      <c r="AS194" s="289"/>
      <c r="AT194" s="289"/>
      <c r="AU194" s="289"/>
      <c r="AV194" s="289"/>
      <c r="AW194" s="289"/>
      <c r="AX194" s="289"/>
      <c r="AY194" s="289"/>
      <c r="AZ194" s="289"/>
      <c r="BA194" s="289"/>
      <c r="BB194" s="289"/>
      <c r="BC194" s="289"/>
      <c r="BD194" s="289"/>
      <c r="BE194" s="289"/>
      <c r="BF194" s="289"/>
      <c r="BG194" s="289"/>
      <c r="BH194" s="289"/>
      <c r="BI194" s="289"/>
      <c r="BJ194" s="289"/>
    </row>
    <row r="195" spans="1:65">
      <c r="A195" s="766"/>
      <c r="B195" s="766"/>
      <c r="C195" s="766"/>
      <c r="D195" s="766"/>
      <c r="E195" s="766"/>
      <c r="F195" s="766"/>
      <c r="G195" s="766"/>
      <c r="H195" s="233" t="s">
        <v>532</v>
      </c>
      <c r="I195" s="300"/>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289"/>
      <c r="AH195" s="289"/>
      <c r="AI195" s="289"/>
      <c r="AJ195" s="289"/>
      <c r="AK195" s="289"/>
      <c r="AL195" s="289"/>
      <c r="AM195" s="289"/>
      <c r="AN195" s="289"/>
      <c r="AO195" s="289"/>
      <c r="AP195" s="289"/>
      <c r="AQ195" s="289"/>
      <c r="AR195" s="289"/>
      <c r="AS195" s="289"/>
      <c r="AT195" s="289"/>
      <c r="AU195" s="289"/>
      <c r="AV195" s="289"/>
      <c r="AW195" s="289"/>
      <c r="AX195" s="289"/>
      <c r="AY195" s="289"/>
      <c r="AZ195" s="289"/>
      <c r="BA195" s="289"/>
      <c r="BB195" s="289"/>
      <c r="BC195" s="289"/>
      <c r="BD195" s="289"/>
      <c r="BE195" s="289"/>
      <c r="BF195" s="289"/>
      <c r="BG195" s="289"/>
      <c r="BH195" s="289"/>
      <c r="BI195" s="289"/>
      <c r="BJ195" s="289"/>
    </row>
    <row r="196" spans="1:65">
      <c r="A196" s="301">
        <v>14</v>
      </c>
      <c r="B196" s="285">
        <f t="shared" ref="B196:B201" si="59">B9</f>
        <v>7.2021600000000001</v>
      </c>
      <c r="C196" s="285">
        <f t="shared" ref="C196:C201" si="60">E91</f>
        <v>5.0371999999999995</v>
      </c>
      <c r="D196" s="281">
        <f t="shared" ref="D196:E201" si="61">C155</f>
        <v>0.46100000000000002</v>
      </c>
      <c r="E196" s="281">
        <f t="shared" si="61"/>
        <v>0</v>
      </c>
      <c r="F196" s="281">
        <f t="shared" ref="F196:F201" si="62">E155/10</f>
        <v>3.4000000000000002E-2</v>
      </c>
      <c r="G196" s="281">
        <f>F155</f>
        <v>0</v>
      </c>
      <c r="H196" s="301">
        <f t="shared" ref="H196:H201" si="63">(C196/(D196*$D$3))*60</f>
        <v>160.96560130523952</v>
      </c>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289"/>
      <c r="AH196" s="289"/>
      <c r="AI196" s="289"/>
      <c r="AJ196" s="289"/>
      <c r="AK196" s="289"/>
      <c r="AL196" s="289"/>
      <c r="AM196" s="289"/>
      <c r="AN196" s="289"/>
      <c r="AO196" s="289"/>
      <c r="AP196" s="289"/>
      <c r="AQ196" s="289"/>
      <c r="AR196" s="289"/>
      <c r="AS196" s="289"/>
      <c r="AT196" s="289"/>
      <c r="AU196" s="289"/>
      <c r="AV196" s="289"/>
      <c r="AW196" s="289"/>
      <c r="AX196" s="289"/>
      <c r="AY196" s="289"/>
      <c r="AZ196" s="289"/>
      <c r="BA196" s="289"/>
      <c r="BB196" s="289"/>
      <c r="BC196" s="289"/>
      <c r="BD196" s="289"/>
      <c r="BE196" s="289"/>
      <c r="BF196" s="289"/>
      <c r="BG196" s="289"/>
      <c r="BH196" s="289"/>
      <c r="BI196" s="289"/>
      <c r="BJ196" s="289"/>
    </row>
    <row r="197" spans="1:65">
      <c r="A197" s="301">
        <v>13</v>
      </c>
      <c r="B197" s="285">
        <f t="shared" si="59"/>
        <v>6.6877200000000006</v>
      </c>
      <c r="C197" s="285">
        <f t="shared" si="60"/>
        <v>4.6773999999999996</v>
      </c>
      <c r="D197" s="281">
        <f t="shared" si="61"/>
        <v>0.46300000000000002</v>
      </c>
      <c r="E197" s="281">
        <f t="shared" si="61"/>
        <v>0.214</v>
      </c>
      <c r="F197" s="281">
        <f t="shared" si="62"/>
        <v>3.39E-2</v>
      </c>
      <c r="G197" s="281">
        <f>F157</f>
        <v>0.52400000000000002</v>
      </c>
      <c r="H197" s="301">
        <f t="shared" si="63"/>
        <v>148.82240799480104</v>
      </c>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289"/>
      <c r="AH197" s="289"/>
      <c r="AI197" s="289"/>
      <c r="AJ197" s="289"/>
      <c r="AK197" s="289"/>
      <c r="AL197" s="289"/>
      <c r="AM197" s="289"/>
      <c r="AN197" s="289"/>
      <c r="AO197" s="289"/>
      <c r="AP197" s="289"/>
      <c r="AQ197" s="289"/>
      <c r="AR197" s="289"/>
      <c r="AS197" s="289"/>
      <c r="AT197" s="289"/>
      <c r="AU197" s="289"/>
      <c r="AV197" s="289"/>
      <c r="AW197" s="289"/>
      <c r="AX197" s="289"/>
      <c r="AY197" s="289"/>
      <c r="AZ197" s="289"/>
      <c r="BA197" s="289"/>
      <c r="BB197" s="289"/>
      <c r="BC197" s="289"/>
      <c r="BD197" s="289"/>
      <c r="BE197" s="289"/>
      <c r="BF197" s="289"/>
      <c r="BG197" s="289"/>
      <c r="BH197" s="289"/>
      <c r="BI197" s="289"/>
      <c r="BJ197" s="289"/>
    </row>
    <row r="198" spans="1:65">
      <c r="A198" s="301">
        <v>12</v>
      </c>
      <c r="B198" s="285">
        <f t="shared" si="59"/>
        <v>6.1732800000000001</v>
      </c>
      <c r="C198" s="285">
        <f t="shared" si="60"/>
        <v>4.3175999999999997</v>
      </c>
      <c r="D198" s="281">
        <f t="shared" si="61"/>
        <v>0.46300000000000002</v>
      </c>
      <c r="E198" s="281">
        <f t="shared" si="61"/>
        <v>0.21299999999999999</v>
      </c>
      <c r="F198" s="281">
        <f t="shared" si="62"/>
        <v>3.3700000000000001E-2</v>
      </c>
      <c r="G198" s="281">
        <f>F158</f>
        <v>0.53</v>
      </c>
      <c r="H198" s="281">
        <f t="shared" si="63"/>
        <v>137.37453045673942</v>
      </c>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289"/>
      <c r="AH198" s="289"/>
      <c r="AI198" s="289"/>
      <c r="AJ198" s="289"/>
      <c r="AK198" s="289"/>
      <c r="AL198" s="289"/>
      <c r="AM198" s="289"/>
      <c r="AN198" s="289"/>
      <c r="AO198" s="289"/>
      <c r="AP198" s="289"/>
      <c r="AQ198" s="289"/>
      <c r="AR198" s="289"/>
      <c r="AS198" s="289"/>
      <c r="AT198" s="289"/>
      <c r="AU198" s="289"/>
      <c r="AV198" s="289"/>
      <c r="AW198" s="289"/>
      <c r="AX198" s="289"/>
      <c r="AY198" s="289"/>
      <c r="AZ198" s="289"/>
      <c r="BA198" s="289"/>
      <c r="BB198" s="289"/>
      <c r="BC198" s="289"/>
      <c r="BD198" s="289"/>
      <c r="BE198" s="289"/>
      <c r="BF198" s="289"/>
      <c r="BG198" s="289"/>
      <c r="BH198" s="289"/>
      <c r="BI198" s="289"/>
      <c r="BJ198" s="289"/>
    </row>
    <row r="199" spans="1:65">
      <c r="A199" s="301">
        <v>11</v>
      </c>
      <c r="B199" s="285">
        <f t="shared" si="59"/>
        <v>5.6588399999999996</v>
      </c>
      <c r="C199" s="285">
        <f t="shared" si="60"/>
        <v>3.9577999999999998</v>
      </c>
      <c r="D199" s="281">
        <f t="shared" si="61"/>
        <v>0.46400000000000002</v>
      </c>
      <c r="E199" s="281">
        <f t="shared" si="61"/>
        <v>0.21</v>
      </c>
      <c r="F199" s="281">
        <f t="shared" si="62"/>
        <v>3.3600000000000005E-2</v>
      </c>
      <c r="G199" s="281">
        <f>F158</f>
        <v>0.53</v>
      </c>
      <c r="H199" s="281">
        <f t="shared" si="63"/>
        <v>125.65525927014619</v>
      </c>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289"/>
      <c r="AH199" s="289"/>
      <c r="AI199" s="289"/>
      <c r="AJ199" s="289"/>
      <c r="AK199" s="289"/>
      <c r="AL199" s="289"/>
      <c r="AM199" s="289"/>
      <c r="AN199" s="289"/>
      <c r="AO199" s="289"/>
      <c r="AP199" s="289"/>
      <c r="AQ199" s="289"/>
      <c r="AR199" s="289"/>
      <c r="AS199" s="289"/>
      <c r="AT199" s="289"/>
      <c r="AU199" s="289"/>
      <c r="AV199" s="289"/>
      <c r="AW199" s="289"/>
      <c r="AX199" s="289"/>
      <c r="AY199" s="289"/>
      <c r="AZ199" s="289"/>
      <c r="BA199" s="289"/>
      <c r="BB199" s="289"/>
      <c r="BC199" s="289"/>
      <c r="BD199" s="289"/>
      <c r="BE199" s="289"/>
      <c r="BF199" s="289"/>
      <c r="BG199" s="289"/>
      <c r="BH199" s="289"/>
      <c r="BI199" s="289"/>
      <c r="BJ199" s="289"/>
    </row>
    <row r="200" spans="1:65">
      <c r="A200" s="301">
        <v>10</v>
      </c>
      <c r="B200" s="285">
        <f t="shared" si="59"/>
        <v>5.1444000000000001</v>
      </c>
      <c r="C200" s="285">
        <f t="shared" si="60"/>
        <v>3.5979999999999999</v>
      </c>
      <c r="D200" s="281">
        <f t="shared" si="61"/>
        <v>0.46600000000000003</v>
      </c>
      <c r="E200" s="281">
        <f t="shared" si="61"/>
        <v>0.21199999999999999</v>
      </c>
      <c r="F200" s="281">
        <f t="shared" si="62"/>
        <v>3.3600000000000005E-2</v>
      </c>
      <c r="G200" s="281">
        <f>F159</f>
        <v>0.52700000000000002</v>
      </c>
      <c r="H200" s="281">
        <f t="shared" si="63"/>
        <v>113.74178755627746</v>
      </c>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289"/>
      <c r="AH200" s="289"/>
      <c r="AI200" s="289"/>
      <c r="AJ200" s="289"/>
      <c r="AK200" s="289"/>
      <c r="AL200" s="289"/>
      <c r="AM200" s="289"/>
      <c r="AN200" s="289"/>
      <c r="AO200" s="289"/>
      <c r="AP200" s="289"/>
      <c r="AQ200" s="289"/>
      <c r="AR200" s="289"/>
      <c r="AS200" s="289"/>
      <c r="AT200" s="289"/>
      <c r="AU200" s="289"/>
      <c r="AV200" s="289"/>
      <c r="AW200" s="289"/>
      <c r="AX200" s="289"/>
      <c r="AY200" s="289"/>
      <c r="AZ200" s="289"/>
      <c r="BA200" s="289"/>
      <c r="BB200" s="289"/>
      <c r="BC200" s="289"/>
      <c r="BD200" s="289"/>
      <c r="BE200" s="289"/>
      <c r="BF200" s="289"/>
      <c r="BG200" s="289"/>
      <c r="BH200" s="289"/>
      <c r="BI200" s="289"/>
      <c r="BJ200" s="289"/>
    </row>
    <row r="201" spans="1:65">
      <c r="A201" s="301">
        <v>9</v>
      </c>
      <c r="B201" s="285">
        <f t="shared" si="59"/>
        <v>4.6299600000000005</v>
      </c>
      <c r="C201" s="285">
        <f t="shared" si="60"/>
        <v>3.2382</v>
      </c>
      <c r="D201" s="281">
        <f t="shared" si="61"/>
        <v>0.46700000000000003</v>
      </c>
      <c r="E201" s="281">
        <f t="shared" si="61"/>
        <v>0.21199999999999999</v>
      </c>
      <c r="F201" s="281">
        <f t="shared" si="62"/>
        <v>3.3399999999999999E-2</v>
      </c>
      <c r="G201" s="281">
        <f>F160</f>
        <v>0.53</v>
      </c>
      <c r="H201" s="281">
        <f t="shared" si="63"/>
        <v>102.1484062122115</v>
      </c>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289"/>
      <c r="AH201" s="289"/>
      <c r="AI201" s="289"/>
      <c r="AJ201" s="289"/>
      <c r="AK201" s="289"/>
      <c r="AL201" s="289"/>
      <c r="AM201" s="289"/>
      <c r="AN201" s="289"/>
      <c r="AO201" s="289"/>
      <c r="AP201" s="289"/>
      <c r="AQ201" s="289"/>
      <c r="AR201" s="289"/>
      <c r="AS201" s="289"/>
      <c r="AT201" s="289"/>
      <c r="AU201" s="289"/>
      <c r="AV201" s="289"/>
      <c r="AW201" s="289"/>
      <c r="AX201" s="289"/>
      <c r="AY201" s="289"/>
      <c r="AZ201" s="289"/>
      <c r="BA201" s="289"/>
      <c r="BB201" s="289"/>
      <c r="BC201" s="289"/>
      <c r="BD201" s="289"/>
      <c r="BE201" s="289"/>
      <c r="BF201" s="289"/>
      <c r="BG201" s="289"/>
      <c r="BH201" s="289"/>
      <c r="BI201" s="289"/>
      <c r="BJ201" s="289"/>
    </row>
    <row r="202" spans="1:65">
      <c r="A202" s="274"/>
      <c r="B202" s="274"/>
      <c r="C202" s="274"/>
      <c r="D202" s="274"/>
      <c r="E202" s="274"/>
      <c r="F202" s="274"/>
      <c r="G202" s="274"/>
      <c r="H202" s="274"/>
      <c r="I202" s="274"/>
      <c r="L202" s="289"/>
      <c r="M202" s="289"/>
      <c r="N202" s="289"/>
      <c r="O202" s="289"/>
      <c r="P202" s="289"/>
      <c r="Q202" s="289"/>
      <c r="R202" s="289"/>
      <c r="S202" s="289"/>
      <c r="T202" s="289"/>
      <c r="U202" s="289"/>
      <c r="V202" s="289"/>
      <c r="W202" s="289"/>
      <c r="X202" s="289"/>
      <c r="Y202" s="289"/>
      <c r="Z202" s="289"/>
      <c r="AA202" s="289"/>
      <c r="AB202" s="289"/>
      <c r="AC202" s="289"/>
      <c r="AD202" s="289"/>
      <c r="AE202" s="289"/>
      <c r="AF202" s="289"/>
      <c r="AG202" s="289"/>
      <c r="AH202" s="289"/>
      <c r="AI202" s="289"/>
      <c r="AJ202" s="289"/>
      <c r="AK202" s="289"/>
      <c r="AL202" s="289"/>
      <c r="AM202" s="289"/>
      <c r="AN202" s="289"/>
      <c r="AO202" s="289"/>
      <c r="AP202" s="289"/>
      <c r="AQ202" s="289"/>
      <c r="AR202" s="289"/>
      <c r="AS202" s="289"/>
      <c r="AT202" s="289"/>
      <c r="AU202" s="289"/>
      <c r="AV202" s="289"/>
      <c r="AW202" s="289"/>
      <c r="AX202" s="289"/>
      <c r="AY202" s="289"/>
      <c r="AZ202" s="289"/>
      <c r="BA202" s="289"/>
      <c r="BB202" s="289"/>
      <c r="BC202" s="289"/>
      <c r="BD202" s="289"/>
      <c r="BE202" s="289"/>
      <c r="BF202" s="289"/>
      <c r="BG202" s="289"/>
      <c r="BH202" s="289"/>
      <c r="BI202" s="289"/>
      <c r="BJ202" s="289"/>
    </row>
    <row r="203" spans="1:65" ht="15">
      <c r="A203" s="765" t="s">
        <v>489</v>
      </c>
      <c r="B203" s="765" t="s">
        <v>533</v>
      </c>
      <c r="C203" s="233" t="s">
        <v>534</v>
      </c>
      <c r="D203" s="233" t="s">
        <v>366</v>
      </c>
      <c r="E203" s="233" t="s">
        <v>364</v>
      </c>
      <c r="F203" s="302" t="s">
        <v>535</v>
      </c>
      <c r="G203" s="302" t="s">
        <v>536</v>
      </c>
      <c r="H203" s="765" t="s">
        <v>537</v>
      </c>
      <c r="I203" s="767" t="s">
        <v>538</v>
      </c>
      <c r="L203" s="289"/>
      <c r="M203" s="289"/>
      <c r="N203" s="289"/>
      <c r="O203" s="289"/>
      <c r="P203" s="289"/>
      <c r="Q203" s="289"/>
      <c r="R203" s="289"/>
      <c r="S203" s="289"/>
      <c r="T203" s="289"/>
      <c r="U203" s="289"/>
      <c r="V203" s="289"/>
      <c r="W203" s="289"/>
      <c r="X203" s="289"/>
      <c r="Y203" s="289"/>
      <c r="Z203" s="289"/>
      <c r="AA203" s="289"/>
      <c r="AB203" s="289"/>
      <c r="AC203" s="289"/>
      <c r="AD203" s="289"/>
      <c r="AE203" s="289"/>
      <c r="AF203" s="289"/>
      <c r="AG203" s="289"/>
      <c r="AH203" s="289"/>
      <c r="AI203" s="289"/>
      <c r="AJ203" s="289"/>
      <c r="AK203" s="289"/>
      <c r="AL203" s="289"/>
      <c r="AM203" s="289"/>
      <c r="AN203" s="289"/>
      <c r="AO203" s="289"/>
      <c r="AP203" s="289"/>
      <c r="AQ203" s="289"/>
      <c r="AR203" s="289"/>
      <c r="AS203" s="289"/>
      <c r="AT203" s="289"/>
      <c r="AU203" s="289"/>
      <c r="AV203" s="289"/>
      <c r="AW203" s="289"/>
      <c r="AX203" s="289"/>
      <c r="AY203" s="289"/>
      <c r="AZ203" s="289"/>
      <c r="BA203" s="289"/>
      <c r="BB203" s="289"/>
      <c r="BC203" s="289"/>
      <c r="BD203" s="289"/>
      <c r="BE203" s="289"/>
      <c r="BF203" s="289"/>
      <c r="BG203" s="289"/>
      <c r="BH203" s="289"/>
      <c r="BI203" s="289"/>
      <c r="BJ203" s="289"/>
    </row>
    <row r="204" spans="1:65" ht="15.6">
      <c r="A204" s="766"/>
      <c r="B204" s="766"/>
      <c r="C204" s="302" t="s">
        <v>539</v>
      </c>
      <c r="D204" s="302" t="s">
        <v>540</v>
      </c>
      <c r="E204" s="302" t="s">
        <v>541</v>
      </c>
      <c r="F204" s="302" t="s">
        <v>542</v>
      </c>
      <c r="G204" s="280" t="s">
        <v>543</v>
      </c>
      <c r="H204" s="766"/>
      <c r="I204" s="767"/>
      <c r="L204" s="289"/>
      <c r="M204" s="289"/>
      <c r="N204" s="289"/>
      <c r="O204" s="289"/>
      <c r="P204" s="289"/>
      <c r="Q204" s="289"/>
      <c r="R204" s="289"/>
      <c r="S204" s="289"/>
      <c r="T204" s="289"/>
      <c r="U204" s="289"/>
      <c r="V204" s="289"/>
      <c r="W204" s="289"/>
      <c r="X204" s="289"/>
      <c r="Y204" s="289"/>
      <c r="Z204" s="289"/>
      <c r="AA204" s="289"/>
      <c r="AB204" s="289"/>
      <c r="AC204" s="289"/>
      <c r="AD204" s="289"/>
      <c r="AE204" s="289"/>
      <c r="AF204" s="289"/>
      <c r="AG204" s="289"/>
      <c r="AH204" s="289"/>
      <c r="AI204" s="289"/>
      <c r="AJ204" s="289"/>
      <c r="AK204" s="289"/>
      <c r="AL204" s="289"/>
      <c r="AM204" s="289"/>
      <c r="AN204" s="289"/>
      <c r="AO204" s="289"/>
      <c r="AP204" s="289"/>
      <c r="AQ204" s="289"/>
      <c r="AR204" s="289"/>
      <c r="AS204" s="289"/>
      <c r="AT204" s="289"/>
      <c r="AU204" s="289"/>
      <c r="AV204" s="289"/>
      <c r="AW204" s="289"/>
      <c r="AX204" s="289"/>
      <c r="AY204" s="289"/>
      <c r="AZ204" s="289"/>
      <c r="BA204" s="289"/>
      <c r="BB204" s="289"/>
      <c r="BC204" s="289"/>
      <c r="BD204" s="289"/>
      <c r="BE204" s="289"/>
      <c r="BF204" s="289"/>
      <c r="BG204" s="289"/>
      <c r="BH204" s="289"/>
      <c r="BI204" s="289"/>
      <c r="BJ204" s="289"/>
    </row>
    <row r="205" spans="1:65">
      <c r="A205" s="301">
        <v>14</v>
      </c>
      <c r="B205" s="303">
        <f t="shared" ref="B205:B210" si="64">H196/60</f>
        <v>2.682760021753992</v>
      </c>
      <c r="C205" s="303">
        <f t="shared" ref="C205:C210" si="65">F196*1.025*(B205^2)*($D$3^5)</f>
        <v>281.12447100309487</v>
      </c>
      <c r="D205" s="303">
        <f t="shared" ref="D205:D210" si="66">2*(22/7)*C205*B205</f>
        <v>4740.6196636470086</v>
      </c>
      <c r="E205" s="303">
        <f>D205/0.98</f>
        <v>4837.367003721437</v>
      </c>
      <c r="F205" s="303">
        <f>E205/0.98</f>
        <v>4936.088779307589</v>
      </c>
      <c r="G205" s="304">
        <f t="shared" ref="G205:G210" si="67">F205/7</f>
        <v>705.15553990108413</v>
      </c>
      <c r="H205" s="305">
        <f t="shared" ref="H205:H210" si="68">(F205/4240)</f>
        <v>1.1641718819121671</v>
      </c>
      <c r="I205" s="305">
        <f t="shared" ref="I205:I210" si="69">((H196*(4.818/750)))</f>
        <v>1.0340430227848585</v>
      </c>
      <c r="J205" s="274"/>
      <c r="L205" s="289"/>
      <c r="M205" s="289"/>
      <c r="N205" s="289"/>
      <c r="O205" s="289"/>
      <c r="P205" s="289"/>
      <c r="Q205" s="289"/>
      <c r="R205" s="289"/>
      <c r="S205" s="289"/>
      <c r="T205" s="289"/>
      <c r="U205" s="289"/>
      <c r="V205" s="289"/>
      <c r="W205" s="289"/>
      <c r="X205" s="289"/>
      <c r="Y205" s="289"/>
      <c r="Z205" s="289"/>
      <c r="AA205" s="289"/>
      <c r="AB205" s="289"/>
      <c r="AC205" s="289"/>
      <c r="AD205" s="289"/>
      <c r="AE205" s="289"/>
      <c r="AF205" s="289"/>
      <c r="AG205" s="289"/>
      <c r="AH205" s="289"/>
      <c r="AI205" s="289"/>
      <c r="AJ205" s="289"/>
      <c r="AK205" s="289"/>
      <c r="AL205" s="289"/>
      <c r="AM205" s="289"/>
      <c r="AN205" s="289"/>
      <c r="AO205" s="289"/>
      <c r="AP205" s="289"/>
      <c r="AQ205" s="289"/>
      <c r="AR205" s="289"/>
      <c r="AS205" s="289"/>
      <c r="AT205" s="289"/>
      <c r="AU205" s="289"/>
      <c r="AV205" s="289"/>
      <c r="AW205" s="289"/>
      <c r="AX205" s="289"/>
      <c r="AY205" s="289"/>
      <c r="AZ205" s="289"/>
      <c r="BA205" s="289"/>
      <c r="BB205" s="289"/>
      <c r="BC205" s="289"/>
      <c r="BD205" s="289"/>
      <c r="BE205" s="289"/>
      <c r="BF205" s="289"/>
      <c r="BG205" s="289"/>
      <c r="BH205" s="289"/>
      <c r="BI205" s="289"/>
      <c r="BJ205" s="289"/>
    </row>
    <row r="206" spans="1:65">
      <c r="A206" s="233">
        <v>13</v>
      </c>
      <c r="B206" s="306">
        <f t="shared" si="64"/>
        <v>2.4803734665800174</v>
      </c>
      <c r="C206" s="306">
        <f t="shared" si="65"/>
        <v>239.60172167734507</v>
      </c>
      <c r="D206" s="306">
        <f t="shared" si="66"/>
        <v>3735.6110188280832</v>
      </c>
      <c r="E206" s="306">
        <f t="shared" ref="E206:F210" si="70">D206/0.98</f>
        <v>3811.8479783960033</v>
      </c>
      <c r="F206" s="306">
        <f t="shared" si="70"/>
        <v>3889.6407942816363</v>
      </c>
      <c r="G206" s="266">
        <f t="shared" si="67"/>
        <v>555.66297061166233</v>
      </c>
      <c r="H206" s="307">
        <f t="shared" si="68"/>
        <v>0.91736811185887646</v>
      </c>
      <c r="I206" s="307">
        <f t="shared" si="69"/>
        <v>0.95603514895860175</v>
      </c>
      <c r="J206" s="274"/>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289"/>
      <c r="AH206" s="289"/>
      <c r="AI206" s="289"/>
      <c r="AJ206" s="289"/>
      <c r="AK206" s="289"/>
      <c r="AL206" s="289"/>
      <c r="AM206" s="289"/>
      <c r="AN206" s="289"/>
      <c r="AO206" s="289"/>
      <c r="AP206" s="289"/>
      <c r="AQ206" s="289"/>
      <c r="AR206" s="289"/>
      <c r="AS206" s="289"/>
      <c r="AT206" s="289"/>
      <c r="AU206" s="289"/>
      <c r="AV206" s="289"/>
      <c r="AW206" s="289"/>
      <c r="AX206" s="289"/>
      <c r="AY206" s="289"/>
      <c r="AZ206" s="289"/>
      <c r="BA206" s="289"/>
      <c r="BB206" s="289"/>
      <c r="BC206" s="289"/>
      <c r="BD206" s="289"/>
      <c r="BE206" s="289"/>
      <c r="BF206" s="289"/>
      <c r="BG206" s="289"/>
      <c r="BH206" s="289"/>
      <c r="BI206" s="289"/>
      <c r="BJ206" s="289"/>
    </row>
    <row r="207" spans="1:65">
      <c r="A207" s="301">
        <v>12</v>
      </c>
      <c r="B207" s="303">
        <f t="shared" si="64"/>
        <v>2.2895755076123239</v>
      </c>
      <c r="C207" s="303">
        <f t="shared" si="65"/>
        <v>202.95320992054951</v>
      </c>
      <c r="D207" s="303">
        <f t="shared" si="66"/>
        <v>2920.8249627881828</v>
      </c>
      <c r="E207" s="303">
        <f t="shared" si="70"/>
        <v>2980.4336354981456</v>
      </c>
      <c r="F207" s="303">
        <f t="shared" si="70"/>
        <v>3041.2588117328019</v>
      </c>
      <c r="G207" s="304">
        <f t="shared" si="67"/>
        <v>434.4655445332574</v>
      </c>
      <c r="H207" s="305">
        <f t="shared" si="68"/>
        <v>0.7172780216350948</v>
      </c>
      <c r="I207" s="305">
        <f t="shared" si="69"/>
        <v>0.88249398365409393</v>
      </c>
      <c r="J207" s="274"/>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289"/>
      <c r="AH207" s="289"/>
      <c r="AI207" s="289"/>
      <c r="AJ207" s="289"/>
      <c r="AK207" s="289"/>
      <c r="AL207" s="289"/>
      <c r="AM207" s="289"/>
      <c r="AN207" s="289"/>
      <c r="AO207" s="289"/>
      <c r="AP207" s="289"/>
      <c r="AQ207" s="289"/>
      <c r="AR207" s="289"/>
      <c r="AS207" s="289"/>
      <c r="AT207" s="289"/>
      <c r="AU207" s="289"/>
      <c r="AV207" s="289"/>
      <c r="AW207" s="289"/>
      <c r="AX207" s="289"/>
      <c r="AY207" s="289"/>
      <c r="AZ207" s="289"/>
      <c r="BA207" s="289"/>
      <c r="BB207" s="289"/>
      <c r="BC207" s="289"/>
      <c r="BD207" s="289"/>
      <c r="BE207" s="289"/>
      <c r="BF207" s="289"/>
      <c r="BG207" s="289"/>
      <c r="BH207" s="289"/>
      <c r="BI207" s="289"/>
      <c r="BJ207" s="289"/>
    </row>
    <row r="208" spans="1:65">
      <c r="A208" s="301">
        <v>11</v>
      </c>
      <c r="B208" s="303">
        <f t="shared" si="64"/>
        <v>2.0942543211691032</v>
      </c>
      <c r="C208" s="303">
        <f t="shared" si="65"/>
        <v>169.29892489498678</v>
      </c>
      <c r="D208" s="303">
        <f t="shared" si="66"/>
        <v>2228.6314601924028</v>
      </c>
      <c r="E208" s="303">
        <f t="shared" si="70"/>
        <v>2274.1137348902071</v>
      </c>
      <c r="F208" s="303">
        <f t="shared" si="70"/>
        <v>2320.5242192757214</v>
      </c>
      <c r="G208" s="304">
        <f t="shared" si="67"/>
        <v>331.50345989653164</v>
      </c>
      <c r="H208" s="305">
        <f t="shared" si="68"/>
        <v>0.5472934479423871</v>
      </c>
      <c r="I208" s="305">
        <f t="shared" si="69"/>
        <v>0.80720938555141897</v>
      </c>
      <c r="J208" s="274"/>
      <c r="L208" s="289"/>
      <c r="M208" s="289"/>
      <c r="N208" s="289"/>
      <c r="O208" s="289"/>
      <c r="P208" s="289"/>
      <c r="Q208" s="289"/>
      <c r="R208" s="289"/>
      <c r="S208" s="289"/>
      <c r="T208" s="289"/>
      <c r="U208" s="289"/>
      <c r="V208" s="289"/>
      <c r="W208" s="289"/>
      <c r="X208" s="289"/>
      <c r="Y208" s="289"/>
      <c r="Z208" s="289"/>
      <c r="AA208" s="289"/>
      <c r="AB208" s="289"/>
      <c r="AC208" s="289"/>
      <c r="AD208" s="289"/>
      <c r="AE208" s="289"/>
      <c r="AF208" s="289"/>
      <c r="AG208" s="289"/>
      <c r="AH208" s="289"/>
      <c r="AI208" s="289"/>
      <c r="AJ208" s="289"/>
      <c r="AK208" s="289"/>
      <c r="AL208" s="289"/>
      <c r="AM208" s="289"/>
      <c r="AN208" s="289"/>
      <c r="AO208" s="289"/>
      <c r="AP208" s="289"/>
      <c r="AQ208" s="289"/>
      <c r="AR208" s="289"/>
      <c r="AS208" s="289"/>
      <c r="AT208" s="289"/>
      <c r="AU208" s="289"/>
      <c r="AV208" s="289"/>
      <c r="AW208" s="289"/>
      <c r="AX208" s="289"/>
      <c r="AY208" s="289"/>
      <c r="AZ208" s="289"/>
      <c r="BA208" s="289"/>
      <c r="BB208" s="289"/>
      <c r="BC208" s="289"/>
      <c r="BD208" s="289"/>
      <c r="BE208" s="289"/>
      <c r="BF208" s="289"/>
      <c r="BG208" s="289"/>
      <c r="BH208" s="289"/>
      <c r="BI208" s="289"/>
      <c r="BJ208" s="289"/>
    </row>
    <row r="209" spans="1:62">
      <c r="A209" s="301">
        <v>10</v>
      </c>
      <c r="B209" s="308">
        <f t="shared" si="64"/>
        <v>1.895696459271291</v>
      </c>
      <c r="C209" s="308">
        <f t="shared" si="65"/>
        <v>138.71804439247268</v>
      </c>
      <c r="D209" s="308">
        <f t="shared" si="66"/>
        <v>1652.9373494344745</v>
      </c>
      <c r="E209" s="308">
        <f t="shared" si="70"/>
        <v>1686.6707647290557</v>
      </c>
      <c r="F209" s="308">
        <f t="shared" si="70"/>
        <v>1721.0926170704649</v>
      </c>
      <c r="G209" s="304">
        <f t="shared" si="67"/>
        <v>245.87037386720928</v>
      </c>
      <c r="H209" s="305">
        <f t="shared" si="68"/>
        <v>0.40591807006378888</v>
      </c>
      <c r="I209" s="305">
        <f t="shared" si="69"/>
        <v>0.73067724326152628</v>
      </c>
      <c r="J209" s="274"/>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89"/>
      <c r="AH209" s="289"/>
      <c r="AI209" s="289"/>
      <c r="AJ209" s="289"/>
      <c r="AK209" s="289"/>
      <c r="AL209" s="289"/>
      <c r="AM209" s="289"/>
      <c r="AN209" s="289"/>
      <c r="AO209" s="289"/>
      <c r="AP209" s="289"/>
      <c r="AQ209" s="289"/>
      <c r="AR209" s="289"/>
      <c r="AS209" s="289"/>
      <c r="AT209" s="289"/>
      <c r="AU209" s="289"/>
      <c r="AV209" s="289"/>
      <c r="AW209" s="289"/>
      <c r="AX209" s="289"/>
      <c r="AY209" s="289"/>
      <c r="AZ209" s="289"/>
      <c r="BA209" s="289"/>
      <c r="BB209" s="289"/>
      <c r="BC209" s="289"/>
      <c r="BD209" s="289"/>
      <c r="BE209" s="289"/>
      <c r="BF209" s="289"/>
      <c r="BG209" s="289"/>
      <c r="BH209" s="289"/>
      <c r="BI209" s="289"/>
      <c r="BJ209" s="289"/>
    </row>
    <row r="210" spans="1:62">
      <c r="A210" s="301">
        <v>9</v>
      </c>
      <c r="B210" s="308">
        <f t="shared" si="64"/>
        <v>1.7024734368701917</v>
      </c>
      <c r="C210" s="308">
        <f t="shared" si="65"/>
        <v>111.21496721623961</v>
      </c>
      <c r="D210" s="308">
        <f t="shared" si="66"/>
        <v>1190.1404583705191</v>
      </c>
      <c r="E210" s="308">
        <f t="shared" si="70"/>
        <v>1214.429039153591</v>
      </c>
      <c r="F210" s="308">
        <f t="shared" si="70"/>
        <v>1239.2133052587665</v>
      </c>
      <c r="G210" s="304">
        <f t="shared" si="67"/>
        <v>177.03047217982379</v>
      </c>
      <c r="H210" s="305">
        <f t="shared" si="68"/>
        <v>0.29226728897612414</v>
      </c>
      <c r="I210" s="305">
        <f t="shared" si="69"/>
        <v>0.65620136150724662</v>
      </c>
      <c r="J210" s="274"/>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289"/>
      <c r="AH210" s="289"/>
      <c r="AI210" s="289"/>
      <c r="AJ210" s="289"/>
      <c r="AK210" s="289"/>
      <c r="AL210" s="289"/>
      <c r="AM210" s="289"/>
      <c r="AN210" s="289"/>
      <c r="AO210" s="289"/>
      <c r="AP210" s="289"/>
      <c r="AQ210" s="289"/>
      <c r="AR210" s="289"/>
      <c r="AS210" s="289"/>
      <c r="AT210" s="289"/>
      <c r="AU210" s="289"/>
      <c r="AV210" s="289"/>
      <c r="AW210" s="289"/>
      <c r="AX210" s="289"/>
      <c r="AY210" s="289"/>
      <c r="AZ210" s="289"/>
      <c r="BA210" s="289"/>
      <c r="BB210" s="289"/>
      <c r="BC210" s="289"/>
      <c r="BD210" s="289"/>
      <c r="BE210" s="289"/>
      <c r="BF210" s="289"/>
      <c r="BG210" s="289"/>
      <c r="BH210" s="289"/>
      <c r="BI210" s="289"/>
      <c r="BJ210" s="289"/>
    </row>
    <row r="211" spans="1:62">
      <c r="L211" s="289"/>
      <c r="M211" s="289"/>
      <c r="N211" s="289"/>
      <c r="O211" s="289"/>
      <c r="P211" s="289"/>
      <c r="Q211" s="289"/>
      <c r="R211" s="289"/>
      <c r="S211" s="289"/>
      <c r="T211" s="289"/>
      <c r="U211" s="289"/>
      <c r="V211" s="289"/>
      <c r="W211" s="289"/>
      <c r="X211" s="289"/>
      <c r="Y211" s="289"/>
      <c r="Z211" s="289"/>
      <c r="AA211" s="289"/>
      <c r="AB211" s="289"/>
      <c r="AC211" s="289"/>
      <c r="AD211" s="289"/>
      <c r="AE211" s="289"/>
      <c r="AF211" s="289"/>
      <c r="AG211" s="289"/>
      <c r="AH211" s="289"/>
      <c r="AI211" s="289"/>
      <c r="AJ211" s="289"/>
      <c r="AK211" s="289"/>
      <c r="AL211" s="289"/>
      <c r="AM211" s="289"/>
      <c r="AN211" s="289"/>
      <c r="AO211" s="289"/>
      <c r="AP211" s="289"/>
      <c r="AQ211" s="289"/>
      <c r="AR211" s="289"/>
      <c r="AS211" s="289"/>
      <c r="AT211" s="289"/>
      <c r="AU211" s="289"/>
      <c r="AV211" s="289"/>
      <c r="AW211" s="289"/>
      <c r="AX211" s="289"/>
      <c r="AY211" s="289"/>
      <c r="AZ211" s="289"/>
      <c r="BA211" s="289"/>
      <c r="BB211" s="289"/>
      <c r="BC211" s="289"/>
      <c r="BD211" s="289"/>
      <c r="BE211" s="289"/>
      <c r="BF211" s="289"/>
      <c r="BG211" s="289"/>
      <c r="BH211" s="289"/>
      <c r="BI211" s="289"/>
      <c r="BJ211" s="289"/>
    </row>
    <row r="212" spans="1:62">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289"/>
      <c r="AH212" s="289"/>
      <c r="AI212" s="289"/>
      <c r="AJ212" s="289"/>
      <c r="AK212" s="289"/>
      <c r="AL212" s="289"/>
      <c r="AM212" s="289"/>
      <c r="AN212" s="289"/>
      <c r="AO212" s="289"/>
      <c r="AP212" s="289"/>
      <c r="AQ212" s="289"/>
      <c r="AR212" s="289"/>
      <c r="AS212" s="289"/>
      <c r="AT212" s="289"/>
      <c r="AU212" s="289"/>
      <c r="AV212" s="289"/>
      <c r="AW212" s="289"/>
      <c r="AX212" s="289"/>
      <c r="AY212" s="289"/>
      <c r="AZ212" s="289"/>
      <c r="BA212" s="289"/>
      <c r="BB212" s="289"/>
      <c r="BC212" s="289"/>
      <c r="BD212" s="289"/>
      <c r="BE212" s="289"/>
      <c r="BF212" s="289"/>
      <c r="BG212" s="289"/>
      <c r="BH212" s="289"/>
      <c r="BI212" s="289"/>
      <c r="BJ212" s="289"/>
    </row>
    <row r="213" spans="1:62">
      <c r="A213" s="768" t="s">
        <v>544</v>
      </c>
      <c r="B213" s="768"/>
      <c r="C213" s="768"/>
      <c r="D213" s="768"/>
      <c r="E213" s="768"/>
      <c r="F213" s="768"/>
      <c r="G213" s="768"/>
      <c r="H213" s="768"/>
      <c r="I213" s="768"/>
      <c r="J213" s="768"/>
      <c r="L213" s="289"/>
      <c r="M213" s="289"/>
      <c r="N213" s="289"/>
      <c r="O213" s="289"/>
      <c r="P213" s="289"/>
      <c r="Q213" s="289"/>
      <c r="R213" s="289"/>
      <c r="S213" s="289"/>
      <c r="T213" s="289"/>
      <c r="U213" s="289"/>
      <c r="V213" s="289"/>
      <c r="W213" s="289"/>
      <c r="X213" s="289"/>
      <c r="Y213" s="289"/>
      <c r="Z213" s="289"/>
      <c r="AA213" s="289"/>
      <c r="AB213" s="289"/>
      <c r="AC213" s="289"/>
      <c r="AD213" s="289"/>
      <c r="AE213" s="289"/>
      <c r="AF213" s="289"/>
      <c r="AG213" s="289"/>
      <c r="AH213" s="289"/>
      <c r="AI213" s="289"/>
      <c r="AJ213" s="289"/>
      <c r="AK213" s="289"/>
      <c r="AL213" s="289"/>
      <c r="AM213" s="289"/>
      <c r="AN213" s="289"/>
      <c r="AO213" s="289"/>
      <c r="AP213" s="289"/>
      <c r="AQ213" s="289"/>
      <c r="AR213" s="289"/>
      <c r="AS213" s="289"/>
      <c r="AT213" s="289"/>
      <c r="AU213" s="289"/>
      <c r="AV213" s="289"/>
      <c r="AW213" s="289"/>
      <c r="AX213" s="289"/>
      <c r="AY213" s="289"/>
      <c r="AZ213" s="289"/>
      <c r="BA213" s="289"/>
      <c r="BB213" s="289"/>
      <c r="BC213" s="289"/>
      <c r="BD213" s="289"/>
      <c r="BE213" s="289"/>
      <c r="BF213" s="289"/>
      <c r="BG213" s="289"/>
      <c r="BH213" s="289"/>
      <c r="BI213" s="289"/>
      <c r="BJ213" s="289"/>
    </row>
    <row r="214" spans="1:62">
      <c r="L214" s="289"/>
      <c r="M214" s="289"/>
      <c r="N214" s="289"/>
      <c r="O214" s="289"/>
      <c r="P214" s="289"/>
      <c r="Q214" s="289"/>
      <c r="R214" s="289"/>
      <c r="S214" s="289"/>
      <c r="T214" s="289"/>
      <c r="U214" s="289"/>
      <c r="V214" s="289"/>
      <c r="W214" s="289"/>
      <c r="X214" s="289"/>
      <c r="Y214" s="289"/>
      <c r="Z214" s="289"/>
      <c r="AA214" s="289"/>
      <c r="AB214" s="289"/>
      <c r="AC214" s="289"/>
      <c r="AD214" s="289"/>
      <c r="AE214" s="289"/>
      <c r="AF214" s="289"/>
      <c r="AG214" s="289"/>
      <c r="AH214" s="289"/>
      <c r="AI214" s="289"/>
      <c r="AJ214" s="289"/>
      <c r="AK214" s="289"/>
      <c r="AL214" s="289"/>
      <c r="AM214" s="289"/>
      <c r="AN214" s="289"/>
      <c r="AO214" s="289"/>
      <c r="AP214" s="289"/>
      <c r="AQ214" s="289"/>
      <c r="AR214" s="289"/>
      <c r="AS214" s="289"/>
      <c r="AT214" s="289"/>
      <c r="AU214" s="289"/>
      <c r="AV214" s="289"/>
      <c r="AW214" s="289"/>
      <c r="AX214" s="289"/>
      <c r="AY214" s="289"/>
      <c r="AZ214" s="289"/>
      <c r="BA214" s="289"/>
      <c r="BB214" s="289"/>
      <c r="BC214" s="289"/>
      <c r="BD214" s="289"/>
      <c r="BE214" s="289"/>
      <c r="BF214" s="289"/>
      <c r="BG214" s="289"/>
      <c r="BH214" s="289"/>
      <c r="BI214" s="289"/>
      <c r="BJ214" s="289"/>
    </row>
    <row r="215" spans="1:62">
      <c r="A215" s="233" t="s">
        <v>489</v>
      </c>
      <c r="B215" s="233" t="s">
        <v>490</v>
      </c>
      <c r="C215" s="233" t="s">
        <v>517</v>
      </c>
      <c r="D215" s="233" t="s">
        <v>510</v>
      </c>
      <c r="E215" s="233" t="s">
        <v>523</v>
      </c>
      <c r="F215" s="233" t="s">
        <v>529</v>
      </c>
      <c r="G215" s="233" t="s">
        <v>530</v>
      </c>
      <c r="H215" s="233" t="s">
        <v>531</v>
      </c>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289"/>
      <c r="AH215" s="289"/>
      <c r="AI215" s="289"/>
      <c r="AJ215" s="289"/>
      <c r="AK215" s="289"/>
      <c r="AL215" s="289"/>
      <c r="AM215" s="289"/>
      <c r="AN215" s="289"/>
      <c r="AO215" s="289"/>
      <c r="AP215" s="289"/>
      <c r="AQ215" s="289"/>
      <c r="AR215" s="289"/>
      <c r="AS215" s="289"/>
      <c r="AT215" s="289"/>
      <c r="AU215" s="289"/>
      <c r="AV215" s="289"/>
      <c r="AW215" s="289"/>
      <c r="AX215" s="289"/>
      <c r="AY215" s="289"/>
      <c r="AZ215" s="289"/>
      <c r="BA215" s="289"/>
      <c r="BB215" s="289"/>
      <c r="BC215" s="289"/>
      <c r="BD215" s="289"/>
      <c r="BE215" s="289"/>
      <c r="BF215" s="289"/>
      <c r="BG215" s="289"/>
      <c r="BH215" s="289"/>
      <c r="BI215" s="289"/>
      <c r="BJ215" s="289"/>
    </row>
    <row r="216" spans="1:62">
      <c r="A216" s="301">
        <v>14</v>
      </c>
      <c r="B216" s="285">
        <f t="shared" ref="B216:C221" si="71">B196</f>
        <v>7.2021600000000001</v>
      </c>
      <c r="C216" s="285">
        <f t="shared" si="71"/>
        <v>5.0371999999999995</v>
      </c>
      <c r="D216" s="281">
        <f t="shared" ref="D216:E221" si="72">C185</f>
        <v>0.47299999999999998</v>
      </c>
      <c r="E216" s="281">
        <f t="shared" si="72"/>
        <v>0</v>
      </c>
      <c r="F216" s="281">
        <f t="shared" ref="F216:F221" si="73">E185/10</f>
        <v>3.5699999999999996E-2</v>
      </c>
      <c r="G216" s="281">
        <f t="shared" ref="G216:G221" si="74">F185</f>
        <v>0</v>
      </c>
      <c r="H216" s="281">
        <f t="shared" ref="H216:H221" si="75">(C216/(D216*$D$3))*60</f>
        <v>156.88190740320385</v>
      </c>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289"/>
      <c r="AH216" s="289"/>
      <c r="AI216" s="289"/>
      <c r="AJ216" s="289"/>
      <c r="AK216" s="289"/>
      <c r="AL216" s="289"/>
      <c r="AM216" s="289"/>
      <c r="AN216" s="289"/>
      <c r="AO216" s="289"/>
      <c r="AP216" s="289"/>
      <c r="AQ216" s="289"/>
      <c r="AR216" s="289"/>
      <c r="AS216" s="289"/>
      <c r="AT216" s="289"/>
      <c r="AU216" s="289"/>
      <c r="AV216" s="289"/>
      <c r="AW216" s="289"/>
      <c r="AX216" s="289"/>
      <c r="AY216" s="289"/>
      <c r="AZ216" s="289"/>
      <c r="BA216" s="289"/>
      <c r="BB216" s="289"/>
      <c r="BC216" s="289"/>
      <c r="BD216" s="289"/>
      <c r="BE216" s="289"/>
      <c r="BF216" s="289"/>
      <c r="BG216" s="289"/>
      <c r="BH216" s="289"/>
      <c r="BI216" s="289"/>
      <c r="BJ216" s="289"/>
    </row>
    <row r="217" spans="1:62">
      <c r="A217" s="233">
        <v>13</v>
      </c>
      <c r="B217" s="286">
        <f t="shared" si="71"/>
        <v>6.6877200000000006</v>
      </c>
      <c r="C217" s="286">
        <f t="shared" si="71"/>
        <v>4.6773999999999996</v>
      </c>
      <c r="D217" s="233">
        <f t="shared" si="72"/>
        <v>0.47299999999999998</v>
      </c>
      <c r="E217" s="233">
        <f t="shared" si="72"/>
        <v>0.23</v>
      </c>
      <c r="F217" s="233">
        <f t="shared" si="73"/>
        <v>3.5199999999999995E-2</v>
      </c>
      <c r="G217" s="233">
        <f t="shared" si="74"/>
        <v>0.495</v>
      </c>
      <c r="H217" s="233">
        <f t="shared" si="75"/>
        <v>145.67605687440357</v>
      </c>
      <c r="L217" s="289"/>
      <c r="M217" s="289"/>
      <c r="N217" s="289"/>
      <c r="O217" s="289"/>
      <c r="P217" s="289"/>
      <c r="Q217" s="289"/>
      <c r="R217" s="289"/>
      <c r="S217" s="289"/>
      <c r="T217" s="289"/>
      <c r="U217" s="289"/>
      <c r="V217" s="289"/>
      <c r="W217" s="289"/>
      <c r="X217" s="289"/>
      <c r="Y217" s="289"/>
      <c r="Z217" s="289"/>
      <c r="AA217" s="289"/>
      <c r="AB217" s="289"/>
      <c r="AC217" s="289"/>
      <c r="AD217" s="289"/>
      <c r="AE217" s="289"/>
      <c r="AF217" s="289"/>
      <c r="AG217" s="289"/>
      <c r="AH217" s="289"/>
      <c r="AI217" s="289"/>
      <c r="AJ217" s="289"/>
      <c r="AK217" s="289"/>
      <c r="AL217" s="289"/>
      <c r="AM217" s="289"/>
      <c r="AN217" s="289"/>
      <c r="AO217" s="289"/>
      <c r="AP217" s="289"/>
      <c r="AQ217" s="289"/>
      <c r="AR217" s="289"/>
      <c r="AS217" s="289"/>
      <c r="AT217" s="289"/>
      <c r="AU217" s="289"/>
      <c r="AV217" s="289"/>
      <c r="AW217" s="289"/>
      <c r="AX217" s="289"/>
      <c r="AY217" s="289"/>
      <c r="AZ217" s="289"/>
      <c r="BA217" s="289"/>
      <c r="BB217" s="289"/>
      <c r="BC217" s="289"/>
      <c r="BD217" s="289"/>
      <c r="BE217" s="289"/>
      <c r="BF217" s="289"/>
      <c r="BG217" s="289"/>
      <c r="BH217" s="289"/>
      <c r="BI217" s="289"/>
      <c r="BJ217" s="289"/>
    </row>
    <row r="218" spans="1:62">
      <c r="A218" s="301">
        <v>12</v>
      </c>
      <c r="B218" s="285">
        <f t="shared" si="71"/>
        <v>6.1732800000000001</v>
      </c>
      <c r="C218" s="285">
        <f t="shared" si="71"/>
        <v>4.3175999999999997</v>
      </c>
      <c r="D218" s="281">
        <f t="shared" si="72"/>
        <v>0.47399999999999998</v>
      </c>
      <c r="E218" s="281">
        <f t="shared" si="72"/>
        <v>0.22800000000000001</v>
      </c>
      <c r="F218" s="281">
        <f t="shared" si="73"/>
        <v>3.5199999999999995E-2</v>
      </c>
      <c r="G218" s="281">
        <f t="shared" si="74"/>
        <v>0.5</v>
      </c>
      <c r="H218" s="281">
        <f t="shared" si="75"/>
        <v>134.18651392715267</v>
      </c>
      <c r="L218" s="289"/>
      <c r="M218" s="289"/>
      <c r="N218" s="289"/>
      <c r="O218" s="289"/>
      <c r="P218" s="289"/>
      <c r="Q218" s="289"/>
      <c r="R218" s="289"/>
      <c r="S218" s="289"/>
      <c r="T218" s="289"/>
      <c r="U218" s="289"/>
      <c r="V218" s="289"/>
      <c r="W218" s="289"/>
      <c r="X218" s="289"/>
      <c r="Y218" s="289"/>
      <c r="Z218" s="289"/>
      <c r="AA218" s="289"/>
      <c r="AB218" s="289"/>
      <c r="AC218" s="289"/>
      <c r="AD218" s="289"/>
      <c r="AE218" s="289"/>
      <c r="AF218" s="289"/>
      <c r="AG218" s="289"/>
      <c r="AH218" s="289"/>
      <c r="AI218" s="289"/>
      <c r="AJ218" s="289"/>
      <c r="AK218" s="289"/>
      <c r="AL218" s="289"/>
      <c r="AM218" s="289"/>
      <c r="AN218" s="289"/>
      <c r="AO218" s="289"/>
      <c r="AP218" s="289"/>
      <c r="AQ218" s="289"/>
      <c r="AR218" s="289"/>
      <c r="AS218" s="289"/>
      <c r="AT218" s="289"/>
      <c r="AU218" s="289"/>
      <c r="AV218" s="289"/>
      <c r="AW218" s="289"/>
      <c r="AX218" s="289"/>
      <c r="AY218" s="289"/>
      <c r="AZ218" s="289"/>
      <c r="BA218" s="289"/>
      <c r="BB218" s="289"/>
      <c r="BC218" s="289"/>
      <c r="BD218" s="289"/>
      <c r="BE218" s="289"/>
      <c r="BF218" s="289"/>
      <c r="BG218" s="289"/>
      <c r="BH218" s="289"/>
      <c r="BI218" s="289"/>
      <c r="BJ218" s="289"/>
    </row>
    <row r="219" spans="1:62">
      <c r="A219" s="301">
        <v>11</v>
      </c>
      <c r="B219" s="285">
        <f t="shared" si="71"/>
        <v>5.6588399999999996</v>
      </c>
      <c r="C219" s="285">
        <f t="shared" si="71"/>
        <v>3.9577999999999998</v>
      </c>
      <c r="D219" s="281">
        <f t="shared" si="72"/>
        <v>0.47599999999999998</v>
      </c>
      <c r="E219" s="281">
        <f t="shared" si="72"/>
        <v>0.224</v>
      </c>
      <c r="F219" s="281">
        <f t="shared" si="73"/>
        <v>3.4699999999999995E-2</v>
      </c>
      <c r="G219" s="281">
        <f t="shared" si="74"/>
        <v>0.502</v>
      </c>
      <c r="H219" s="281">
        <f t="shared" si="75"/>
        <v>122.48747962468033</v>
      </c>
      <c r="L219" s="289"/>
      <c r="M219" s="289"/>
      <c r="N219" s="289"/>
      <c r="O219" s="289"/>
      <c r="P219" s="289"/>
      <c r="Q219" s="289"/>
      <c r="R219" s="289"/>
      <c r="S219" s="289"/>
      <c r="T219" s="289"/>
      <c r="U219" s="289"/>
      <c r="V219" s="289"/>
      <c r="W219" s="289"/>
      <c r="X219" s="289"/>
      <c r="Y219" s="289"/>
      <c r="Z219" s="289"/>
      <c r="AA219" s="289"/>
      <c r="AB219" s="289"/>
      <c r="AC219" s="289"/>
      <c r="AD219" s="289"/>
      <c r="AE219" s="289"/>
      <c r="AF219" s="289"/>
      <c r="AG219" s="289"/>
      <c r="AH219" s="289"/>
      <c r="AI219" s="289"/>
      <c r="AJ219" s="289"/>
      <c r="AK219" s="289"/>
      <c r="AL219" s="289"/>
      <c r="AM219" s="289"/>
      <c r="AN219" s="289"/>
      <c r="AO219" s="289"/>
      <c r="AP219" s="289"/>
      <c r="AQ219" s="289"/>
      <c r="AR219" s="289"/>
      <c r="AS219" s="289"/>
      <c r="AT219" s="289"/>
      <c r="AU219" s="289"/>
      <c r="AV219" s="289"/>
      <c r="AW219" s="289"/>
      <c r="AX219" s="289"/>
      <c r="AY219" s="289"/>
      <c r="AZ219" s="289"/>
      <c r="BA219" s="289"/>
      <c r="BB219" s="289"/>
      <c r="BC219" s="289"/>
      <c r="BD219" s="289"/>
      <c r="BE219" s="289"/>
      <c r="BF219" s="289"/>
      <c r="BG219" s="289"/>
      <c r="BH219" s="289"/>
      <c r="BI219" s="289"/>
      <c r="BJ219" s="289"/>
    </row>
    <row r="220" spans="1:62">
      <c r="A220" s="301">
        <v>10</v>
      </c>
      <c r="B220" s="285">
        <f t="shared" si="71"/>
        <v>5.1444000000000001</v>
      </c>
      <c r="C220" s="285">
        <f t="shared" si="71"/>
        <v>3.5979999999999999</v>
      </c>
      <c r="D220" s="281">
        <f t="shared" si="72"/>
        <v>0.47699999999999998</v>
      </c>
      <c r="E220" s="281">
        <f t="shared" si="72"/>
        <v>0.223</v>
      </c>
      <c r="F220" s="281">
        <f t="shared" si="73"/>
        <v>3.4699999999999995E-2</v>
      </c>
      <c r="G220" s="281">
        <f t="shared" si="74"/>
        <v>0.501</v>
      </c>
      <c r="H220" s="281">
        <f t="shared" si="75"/>
        <v>111.11881132332348</v>
      </c>
      <c r="L220" s="289"/>
      <c r="M220" s="289"/>
      <c r="N220" s="289"/>
      <c r="O220" s="289"/>
      <c r="P220" s="289"/>
      <c r="Q220" s="289"/>
      <c r="R220" s="289"/>
      <c r="S220" s="289"/>
      <c r="T220" s="289"/>
      <c r="U220" s="289"/>
      <c r="V220" s="289"/>
      <c r="W220" s="289"/>
      <c r="X220" s="289"/>
      <c r="Y220" s="289"/>
      <c r="Z220" s="289"/>
      <c r="AA220" s="289"/>
      <c r="AB220" s="289"/>
      <c r="AC220" s="289"/>
      <c r="AD220" s="289"/>
      <c r="AE220" s="289"/>
      <c r="AF220" s="289"/>
      <c r="AG220" s="289"/>
      <c r="AH220" s="289"/>
      <c r="AI220" s="289"/>
      <c r="AJ220" s="289"/>
      <c r="AK220" s="289"/>
      <c r="AL220" s="289"/>
      <c r="AM220" s="289"/>
      <c r="AN220" s="289"/>
      <c r="AO220" s="289"/>
      <c r="AP220" s="289"/>
      <c r="AQ220" s="289"/>
      <c r="AR220" s="289"/>
      <c r="AS220" s="289"/>
      <c r="AT220" s="289"/>
      <c r="AU220" s="289"/>
      <c r="AV220" s="289"/>
      <c r="AW220" s="289"/>
      <c r="AX220" s="289"/>
      <c r="AY220" s="289"/>
      <c r="AZ220" s="289"/>
      <c r="BA220" s="289"/>
      <c r="BB220" s="289"/>
      <c r="BC220" s="289"/>
      <c r="BD220" s="289"/>
      <c r="BE220" s="289"/>
      <c r="BF220" s="289"/>
      <c r="BG220" s="289"/>
      <c r="BH220" s="289"/>
      <c r="BI220" s="289"/>
      <c r="BJ220" s="289"/>
    </row>
    <row r="221" spans="1:62">
      <c r="A221" s="301">
        <v>9</v>
      </c>
      <c r="B221" s="285">
        <f t="shared" si="71"/>
        <v>4.6299600000000005</v>
      </c>
      <c r="C221" s="285">
        <f t="shared" si="71"/>
        <v>3.2382</v>
      </c>
      <c r="D221" s="281">
        <f t="shared" si="72"/>
        <v>0.47699999999999998</v>
      </c>
      <c r="E221" s="281">
        <f t="shared" si="72"/>
        <v>0.221</v>
      </c>
      <c r="F221" s="281">
        <f t="shared" si="73"/>
        <v>3.4599999999999999E-2</v>
      </c>
      <c r="G221" s="281">
        <f t="shared" si="74"/>
        <v>0.502</v>
      </c>
      <c r="H221" s="281">
        <f t="shared" si="75"/>
        <v>100.00693019099114</v>
      </c>
      <c r="L221" s="289"/>
      <c r="M221" s="289"/>
      <c r="N221" s="289"/>
      <c r="O221" s="289"/>
      <c r="P221" s="289"/>
      <c r="Q221" s="289"/>
      <c r="R221" s="289"/>
      <c r="S221" s="289"/>
      <c r="T221" s="289"/>
      <c r="U221" s="289"/>
      <c r="V221" s="289"/>
      <c r="W221" s="289"/>
      <c r="X221" s="289"/>
      <c r="Y221" s="289"/>
      <c r="Z221" s="289"/>
      <c r="AA221" s="289"/>
      <c r="AB221" s="289"/>
      <c r="AC221" s="289"/>
      <c r="AD221" s="289"/>
      <c r="AE221" s="289"/>
      <c r="AF221" s="289"/>
      <c r="AG221" s="289"/>
      <c r="AH221" s="289"/>
      <c r="AI221" s="289"/>
      <c r="AJ221" s="289"/>
      <c r="AK221" s="289"/>
      <c r="AL221" s="289"/>
      <c r="AM221" s="289"/>
      <c r="AN221" s="289"/>
      <c r="AO221" s="289"/>
      <c r="AP221" s="289"/>
      <c r="AQ221" s="289"/>
      <c r="AR221" s="289"/>
      <c r="AS221" s="289"/>
      <c r="AT221" s="289"/>
      <c r="AU221" s="289"/>
      <c r="AV221" s="289"/>
      <c r="AW221" s="289"/>
      <c r="AX221" s="289"/>
      <c r="AY221" s="289"/>
      <c r="AZ221" s="289"/>
      <c r="BA221" s="289"/>
      <c r="BB221" s="289"/>
      <c r="BC221" s="289"/>
      <c r="BD221" s="289"/>
      <c r="BE221" s="289"/>
      <c r="BF221" s="289"/>
      <c r="BG221" s="289"/>
      <c r="BH221" s="289"/>
      <c r="BI221" s="289"/>
      <c r="BJ221" s="289"/>
    </row>
    <row r="222" spans="1:62">
      <c r="A222" s="274"/>
      <c r="B222" s="274"/>
      <c r="C222" s="274"/>
      <c r="D222" s="274"/>
      <c r="E222" s="274"/>
      <c r="F222" s="274"/>
      <c r="G222" s="274"/>
      <c r="H222" s="274"/>
      <c r="I222" s="274"/>
      <c r="L222" s="289"/>
      <c r="M222" s="289"/>
      <c r="N222" s="289"/>
      <c r="O222" s="289"/>
      <c r="P222" s="289"/>
      <c r="Q222" s="289"/>
      <c r="R222" s="289"/>
      <c r="S222" s="289"/>
      <c r="T222" s="289"/>
      <c r="U222" s="289"/>
      <c r="V222" s="289"/>
      <c r="W222" s="289"/>
      <c r="X222" s="289"/>
      <c r="Y222" s="289"/>
      <c r="Z222" s="289"/>
      <c r="AA222" s="289"/>
      <c r="AB222" s="289"/>
      <c r="AC222" s="289"/>
      <c r="AD222" s="289"/>
      <c r="AE222" s="289"/>
      <c r="AF222" s="289"/>
      <c r="AG222" s="289"/>
      <c r="AH222" s="289"/>
      <c r="AI222" s="289"/>
      <c r="AJ222" s="289"/>
      <c r="AK222" s="289"/>
      <c r="AL222" s="289"/>
      <c r="AM222" s="289"/>
      <c r="AN222" s="289"/>
      <c r="AO222" s="289"/>
      <c r="AP222" s="289"/>
      <c r="AQ222" s="289"/>
      <c r="AR222" s="289"/>
      <c r="AS222" s="289"/>
      <c r="AT222" s="289"/>
      <c r="AU222" s="289"/>
      <c r="AV222" s="289"/>
      <c r="AW222" s="289"/>
      <c r="AX222" s="289"/>
      <c r="AY222" s="289"/>
      <c r="AZ222" s="289"/>
      <c r="BA222" s="289"/>
      <c r="BB222" s="289"/>
      <c r="BC222" s="289"/>
      <c r="BD222" s="289"/>
      <c r="BE222" s="289"/>
      <c r="BF222" s="289"/>
      <c r="BG222" s="289"/>
      <c r="BH222" s="289"/>
      <c r="BI222" s="289"/>
      <c r="BJ222" s="289"/>
    </row>
    <row r="223" spans="1:62" ht="15">
      <c r="A223" s="773" t="s">
        <v>489</v>
      </c>
      <c r="B223" s="773" t="s">
        <v>533</v>
      </c>
      <c r="C223" s="233" t="s">
        <v>534</v>
      </c>
      <c r="D223" s="233" t="s">
        <v>366</v>
      </c>
      <c r="E223" s="233" t="s">
        <v>364</v>
      </c>
      <c r="F223" s="302" t="s">
        <v>535</v>
      </c>
      <c r="G223" s="302" t="s">
        <v>536</v>
      </c>
      <c r="H223" s="773" t="s">
        <v>537</v>
      </c>
      <c r="I223" s="767" t="s">
        <v>538</v>
      </c>
      <c r="L223" s="289"/>
      <c r="M223" s="289"/>
      <c r="N223" s="289"/>
      <c r="O223" s="289"/>
      <c r="P223" s="289"/>
      <c r="Q223" s="289"/>
      <c r="R223" s="289"/>
      <c r="S223" s="289"/>
      <c r="T223" s="289"/>
      <c r="U223" s="289"/>
      <c r="V223" s="289"/>
      <c r="W223" s="289"/>
      <c r="X223" s="289"/>
      <c r="Y223" s="289"/>
      <c r="Z223" s="289"/>
      <c r="AA223" s="289"/>
      <c r="AB223" s="289"/>
      <c r="AC223" s="289"/>
      <c r="AD223" s="289"/>
      <c r="AE223" s="289"/>
      <c r="AF223" s="289"/>
      <c r="AG223" s="289"/>
      <c r="AH223" s="289"/>
      <c r="AI223" s="289"/>
      <c r="AJ223" s="289"/>
      <c r="AK223" s="289"/>
      <c r="AL223" s="289"/>
      <c r="AM223" s="289"/>
      <c r="AN223" s="289"/>
      <c r="AO223" s="289"/>
      <c r="AP223" s="289"/>
      <c r="AQ223" s="289"/>
      <c r="AR223" s="289"/>
      <c r="AS223" s="289"/>
      <c r="AT223" s="289"/>
      <c r="AU223" s="289"/>
      <c r="AV223" s="289"/>
      <c r="AW223" s="289"/>
      <c r="AX223" s="289"/>
      <c r="AY223" s="289"/>
      <c r="AZ223" s="289"/>
      <c r="BA223" s="289"/>
      <c r="BB223" s="289"/>
      <c r="BC223" s="289"/>
      <c r="BD223" s="289"/>
      <c r="BE223" s="289"/>
      <c r="BF223" s="289"/>
      <c r="BG223" s="289"/>
      <c r="BH223" s="289"/>
      <c r="BI223" s="289"/>
      <c r="BJ223" s="289"/>
    </row>
    <row r="224" spans="1:62" ht="15.6">
      <c r="A224" s="773"/>
      <c r="B224" s="773"/>
      <c r="C224" s="302" t="s">
        <v>539</v>
      </c>
      <c r="D224" s="302" t="s">
        <v>540</v>
      </c>
      <c r="E224" s="302" t="s">
        <v>541</v>
      </c>
      <c r="F224" s="302" t="s">
        <v>542</v>
      </c>
      <c r="G224" s="280" t="s">
        <v>543</v>
      </c>
      <c r="H224" s="773"/>
      <c r="I224" s="767"/>
      <c r="L224" s="289"/>
      <c r="M224" s="289"/>
      <c r="N224" s="289"/>
      <c r="O224" s="289"/>
      <c r="P224" s="289"/>
      <c r="Q224" s="289"/>
      <c r="R224" s="289"/>
      <c r="S224" s="289"/>
      <c r="T224" s="289"/>
      <c r="U224" s="289"/>
      <c r="V224" s="289"/>
      <c r="W224" s="289"/>
      <c r="X224" s="289"/>
      <c r="Y224" s="289"/>
      <c r="Z224" s="289"/>
      <c r="AA224" s="289"/>
      <c r="AB224" s="289"/>
      <c r="AC224" s="289"/>
      <c r="AD224" s="289"/>
      <c r="AE224" s="289"/>
      <c r="AF224" s="289"/>
      <c r="AG224" s="289"/>
      <c r="AH224" s="289"/>
      <c r="AI224" s="289"/>
      <c r="AJ224" s="289"/>
      <c r="AK224" s="289"/>
      <c r="AL224" s="289"/>
      <c r="AM224" s="289"/>
      <c r="AN224" s="289"/>
      <c r="AO224" s="289"/>
      <c r="AP224" s="289"/>
      <c r="AQ224" s="289"/>
      <c r="AR224" s="289"/>
      <c r="AS224" s="289"/>
      <c r="AT224" s="289"/>
      <c r="AU224" s="289"/>
      <c r="AV224" s="289"/>
      <c r="AW224" s="289"/>
      <c r="AX224" s="289"/>
      <c r="AY224" s="289"/>
      <c r="AZ224" s="289"/>
      <c r="BA224" s="289"/>
      <c r="BB224" s="289"/>
      <c r="BC224" s="289"/>
      <c r="BD224" s="289"/>
      <c r="BE224" s="289"/>
      <c r="BF224" s="289"/>
      <c r="BG224" s="289"/>
      <c r="BH224" s="289"/>
      <c r="BI224" s="289"/>
      <c r="BJ224" s="289"/>
    </row>
    <row r="225" spans="1:62">
      <c r="A225" s="301">
        <v>14</v>
      </c>
      <c r="B225" s="308">
        <f t="shared" ref="B225:B230" si="76">H216/60</f>
        <v>2.6146984567200642</v>
      </c>
      <c r="C225" s="308">
        <f t="shared" ref="C225:C230" si="77">F216*1.025*(B225^2)*($D$3^5)</f>
        <v>280.39322746336484</v>
      </c>
      <c r="D225" s="308">
        <f t="shared" ref="D225:D230" si="78">2*(22/7)*C225*B225</f>
        <v>4608.3320744887988</v>
      </c>
      <c r="E225" s="308">
        <f t="shared" ref="E225:F230" si="79">D225/0.98</f>
        <v>4702.3796678457129</v>
      </c>
      <c r="F225" s="308">
        <f t="shared" si="79"/>
        <v>4798.3465998425645</v>
      </c>
      <c r="G225" s="304">
        <f t="shared" ref="G225:G230" si="80">F225/7</f>
        <v>685.47808569179494</v>
      </c>
      <c r="H225" s="309">
        <f t="shared" ref="H225:H230" si="81">(F225/4240)</f>
        <v>1.1316855188307935</v>
      </c>
      <c r="I225" s="310">
        <f t="shared" ref="I225:I230" si="82">H216*(4.818/750)</f>
        <v>1.0078093731581814</v>
      </c>
      <c r="K225" s="311"/>
      <c r="L225" s="289"/>
      <c r="M225" s="289"/>
      <c r="N225" s="289"/>
      <c r="O225" s="289"/>
      <c r="P225" s="289"/>
      <c r="Q225" s="289"/>
      <c r="R225" s="289"/>
      <c r="S225" s="289"/>
      <c r="T225" s="289"/>
      <c r="U225" s="289"/>
      <c r="V225" s="289"/>
      <c r="W225" s="289"/>
      <c r="X225" s="289"/>
      <c r="Y225" s="289"/>
      <c r="Z225" s="289"/>
      <c r="AA225" s="289"/>
      <c r="AB225" s="289"/>
      <c r="AC225" s="289"/>
      <c r="AD225" s="289"/>
      <c r="AE225" s="289"/>
      <c r="AF225" s="289"/>
      <c r="AG225" s="289"/>
      <c r="AH225" s="289"/>
      <c r="AI225" s="289"/>
      <c r="AJ225" s="289"/>
      <c r="AK225" s="289"/>
      <c r="AL225" s="289"/>
      <c r="AM225" s="289"/>
      <c r="AN225" s="289"/>
      <c r="AO225" s="289"/>
      <c r="AP225" s="289"/>
      <c r="AQ225" s="289"/>
      <c r="AR225" s="289"/>
      <c r="AS225" s="289"/>
      <c r="AT225" s="289"/>
      <c r="AU225" s="289"/>
      <c r="AV225" s="289"/>
      <c r="AW225" s="289"/>
      <c r="AX225" s="289"/>
      <c r="AY225" s="289"/>
      <c r="AZ225" s="289"/>
      <c r="BA225" s="289"/>
      <c r="BB225" s="289"/>
      <c r="BC225" s="289"/>
      <c r="BD225" s="289"/>
      <c r="BE225" s="289"/>
      <c r="BF225" s="289"/>
      <c r="BG225" s="289"/>
      <c r="BH225" s="289"/>
      <c r="BI225" s="289"/>
      <c r="BJ225" s="289"/>
    </row>
    <row r="226" spans="1:62">
      <c r="A226" s="233">
        <v>13</v>
      </c>
      <c r="B226" s="306">
        <f>H217/60</f>
        <v>2.4279342812400597</v>
      </c>
      <c r="C226" s="306">
        <f t="shared" si="77"/>
        <v>238.38152854485577</v>
      </c>
      <c r="D226" s="306">
        <f t="shared" si="78"/>
        <v>3638.0123067731847</v>
      </c>
      <c r="E226" s="306">
        <f t="shared" si="79"/>
        <v>3712.2574558910051</v>
      </c>
      <c r="F226" s="306">
        <f t="shared" si="79"/>
        <v>3788.0178121336785</v>
      </c>
      <c r="G226" s="266">
        <f t="shared" si="80"/>
        <v>541.14540173338264</v>
      </c>
      <c r="H226" s="312">
        <f t="shared" si="81"/>
        <v>0.89340042739001846</v>
      </c>
      <c r="I226" s="313">
        <f t="shared" si="82"/>
        <v>0.93582298936116837</v>
      </c>
      <c r="K226" s="311"/>
      <c r="L226" s="289"/>
      <c r="M226" s="289"/>
      <c r="N226" s="289"/>
      <c r="O226" s="289"/>
      <c r="P226" s="289"/>
      <c r="Q226" s="289"/>
      <c r="R226" s="289"/>
      <c r="S226" s="289"/>
      <c r="T226" s="289"/>
      <c r="U226" s="289"/>
      <c r="V226" s="289"/>
      <c r="W226" s="289"/>
      <c r="X226" s="289"/>
      <c r="Y226" s="289"/>
      <c r="Z226" s="289"/>
      <c r="AA226" s="289"/>
      <c r="AB226" s="289"/>
      <c r="AC226" s="289"/>
      <c r="AD226" s="289"/>
      <c r="AE226" s="289"/>
      <c r="AF226" s="289"/>
      <c r="AG226" s="289"/>
      <c r="AH226" s="289"/>
      <c r="AI226" s="289"/>
      <c r="AJ226" s="289"/>
      <c r="AK226" s="289"/>
      <c r="AL226" s="289"/>
      <c r="AM226" s="289"/>
      <c r="AN226" s="289"/>
      <c r="AO226" s="289"/>
      <c r="AP226" s="289"/>
      <c r="AQ226" s="289"/>
      <c r="AR226" s="289"/>
      <c r="AS226" s="289"/>
      <c r="AT226" s="289"/>
      <c r="AU226" s="289"/>
      <c r="AV226" s="289"/>
      <c r="AW226" s="289"/>
      <c r="AX226" s="289"/>
      <c r="AY226" s="289"/>
      <c r="AZ226" s="289"/>
      <c r="BA226" s="289"/>
      <c r="BB226" s="289"/>
      <c r="BC226" s="289"/>
      <c r="BD226" s="289"/>
      <c r="BE226" s="289"/>
      <c r="BF226" s="289"/>
      <c r="BG226" s="289"/>
      <c r="BH226" s="289"/>
      <c r="BI226" s="289"/>
      <c r="BJ226" s="289"/>
    </row>
    <row r="227" spans="1:62">
      <c r="A227" s="301">
        <v>12</v>
      </c>
      <c r="B227" s="308">
        <f t="shared" si="76"/>
        <v>2.2364418987858778</v>
      </c>
      <c r="C227" s="308">
        <f t="shared" si="77"/>
        <v>202.26185494022462</v>
      </c>
      <c r="D227" s="308">
        <f t="shared" si="78"/>
        <v>2843.3232891766665</v>
      </c>
      <c r="E227" s="308">
        <f t="shared" si="79"/>
        <v>2901.3502950782313</v>
      </c>
      <c r="F227" s="308">
        <f t="shared" si="79"/>
        <v>2960.561525590032</v>
      </c>
      <c r="G227" s="304">
        <f t="shared" si="80"/>
        <v>422.93736079857598</v>
      </c>
      <c r="H227" s="309">
        <f t="shared" si="81"/>
        <v>0.69824564282783774</v>
      </c>
      <c r="I227" s="310">
        <f t="shared" si="82"/>
        <v>0.86201416546802867</v>
      </c>
      <c r="K227" s="311"/>
      <c r="L227" s="289"/>
      <c r="M227" s="289"/>
      <c r="N227" s="289"/>
      <c r="O227" s="289"/>
      <c r="P227" s="289"/>
      <c r="Q227" s="289"/>
      <c r="R227" s="289"/>
      <c r="S227" s="289"/>
      <c r="T227" s="289"/>
      <c r="U227" s="289"/>
      <c r="V227" s="289"/>
      <c r="W227" s="289"/>
      <c r="X227" s="289"/>
      <c r="Y227" s="289"/>
      <c r="Z227" s="289"/>
      <c r="AA227" s="289"/>
      <c r="AB227" s="289"/>
      <c r="AC227" s="289"/>
      <c r="AD227" s="289"/>
      <c r="AE227" s="289"/>
      <c r="AF227" s="289"/>
      <c r="AG227" s="289"/>
      <c r="AH227" s="289"/>
      <c r="AI227" s="289"/>
      <c r="AJ227" s="289"/>
      <c r="AK227" s="289"/>
      <c r="AL227" s="289"/>
      <c r="AM227" s="289"/>
      <c r="AN227" s="289"/>
      <c r="AO227" s="289"/>
      <c r="AP227" s="289"/>
      <c r="AQ227" s="289"/>
      <c r="AR227" s="289"/>
      <c r="AS227" s="289"/>
      <c r="AT227" s="289"/>
      <c r="AU227" s="289"/>
      <c r="AV227" s="289"/>
      <c r="AW227" s="289"/>
      <c r="AX227" s="289"/>
      <c r="AY227" s="289"/>
      <c r="AZ227" s="289"/>
      <c r="BA227" s="289"/>
      <c r="BB227" s="289"/>
      <c r="BC227" s="289"/>
      <c r="BD227" s="289"/>
      <c r="BE227" s="289"/>
      <c r="BF227" s="289"/>
      <c r="BG227" s="289"/>
      <c r="BH227" s="289"/>
      <c r="BI227" s="289"/>
      <c r="BJ227" s="289"/>
    </row>
    <row r="228" spans="1:62">
      <c r="A228" s="301">
        <v>11</v>
      </c>
      <c r="B228" s="308">
        <f t="shared" si="76"/>
        <v>2.0414579937446722</v>
      </c>
      <c r="C228" s="308">
        <f t="shared" si="77"/>
        <v>166.13703415930846</v>
      </c>
      <c r="D228" s="308">
        <f t="shared" si="78"/>
        <v>2131.874023346898</v>
      </c>
      <c r="E228" s="308">
        <f t="shared" si="79"/>
        <v>2175.3816564764265</v>
      </c>
      <c r="F228" s="308">
        <f t="shared" si="79"/>
        <v>2219.7772004861495</v>
      </c>
      <c r="G228" s="304">
        <f t="shared" si="80"/>
        <v>317.11102864087849</v>
      </c>
      <c r="H228" s="309">
        <f t="shared" si="81"/>
        <v>0.52353235860522396</v>
      </c>
      <c r="I228" s="310">
        <f t="shared" si="82"/>
        <v>0.78685956910894639</v>
      </c>
      <c r="K228" s="311"/>
      <c r="L228" s="289"/>
      <c r="M228" s="289"/>
      <c r="N228" s="289"/>
      <c r="O228" s="289"/>
      <c r="P228" s="289"/>
      <c r="Q228" s="289"/>
      <c r="R228" s="289"/>
      <c r="S228" s="289"/>
      <c r="T228" s="289"/>
      <c r="U228" s="289"/>
      <c r="V228" s="289"/>
      <c r="W228" s="289"/>
      <c r="X228" s="289"/>
      <c r="Y228" s="289"/>
      <c r="Z228" s="289"/>
      <c r="AA228" s="289"/>
      <c r="AB228" s="289"/>
      <c r="AC228" s="289"/>
      <c r="AD228" s="289"/>
      <c r="AE228" s="289"/>
      <c r="AF228" s="289"/>
      <c r="AG228" s="289"/>
      <c r="AH228" s="289"/>
      <c r="AI228" s="289"/>
      <c r="AJ228" s="289"/>
      <c r="AK228" s="289"/>
      <c r="AL228" s="289"/>
      <c r="AM228" s="289"/>
      <c r="AN228" s="289"/>
      <c r="AO228" s="289"/>
      <c r="AP228" s="289"/>
      <c r="AQ228" s="289"/>
      <c r="AR228" s="289"/>
      <c r="AS228" s="289"/>
      <c r="AT228" s="289"/>
      <c r="AU228" s="289"/>
      <c r="AV228" s="289"/>
      <c r="AW228" s="289"/>
      <c r="AX228" s="289"/>
      <c r="AY228" s="289"/>
      <c r="AZ228" s="289"/>
      <c r="BA228" s="289"/>
      <c r="BB228" s="289"/>
      <c r="BC228" s="289"/>
      <c r="BD228" s="289"/>
      <c r="BE228" s="289"/>
      <c r="BF228" s="289"/>
      <c r="BG228" s="289"/>
      <c r="BH228" s="289"/>
      <c r="BI228" s="289"/>
      <c r="BJ228" s="289"/>
    </row>
    <row r="229" spans="1:62">
      <c r="A229" s="301">
        <v>10</v>
      </c>
      <c r="B229" s="308">
        <f t="shared" si="76"/>
        <v>1.8519801887220582</v>
      </c>
      <c r="C229" s="308">
        <f t="shared" si="77"/>
        <v>136.72824214935045</v>
      </c>
      <c r="D229" s="308">
        <f t="shared" si="78"/>
        <v>1591.6559729675901</v>
      </c>
      <c r="E229" s="308">
        <f t="shared" si="79"/>
        <v>1624.1387479261123</v>
      </c>
      <c r="F229" s="308">
        <f t="shared" si="79"/>
        <v>1657.2844366592983</v>
      </c>
      <c r="G229" s="304">
        <f t="shared" si="80"/>
        <v>236.75491952275689</v>
      </c>
      <c r="H229" s="309">
        <f t="shared" si="81"/>
        <v>0.39086897091021189</v>
      </c>
      <c r="I229" s="310">
        <f t="shared" si="82"/>
        <v>0.71382724394102992</v>
      </c>
      <c r="K229" s="311"/>
      <c r="L229" s="289"/>
      <c r="M229" s="289"/>
      <c r="N229" s="289"/>
      <c r="O229" s="289"/>
      <c r="P229" s="289"/>
      <c r="Q229" s="289"/>
      <c r="R229" s="289"/>
      <c r="S229" s="289"/>
      <c r="T229" s="289"/>
      <c r="U229" s="289"/>
      <c r="V229" s="289"/>
      <c r="W229" s="289"/>
      <c r="X229" s="289"/>
      <c r="Y229" s="289"/>
      <c r="Z229" s="289"/>
      <c r="AA229" s="289"/>
      <c r="AB229" s="289"/>
      <c r="AC229" s="289"/>
      <c r="AD229" s="289"/>
      <c r="AE229" s="289"/>
      <c r="AF229" s="289"/>
      <c r="AG229" s="289"/>
      <c r="AH229" s="289"/>
      <c r="AI229" s="289"/>
      <c r="AJ229" s="289"/>
      <c r="AK229" s="289"/>
      <c r="AL229" s="289"/>
      <c r="AM229" s="289"/>
      <c r="AN229" s="289"/>
      <c r="AO229" s="289"/>
      <c r="AP229" s="289"/>
      <c r="AQ229" s="289"/>
      <c r="AR229" s="289"/>
      <c r="AS229" s="289"/>
      <c r="AT229" s="289"/>
      <c r="AU229" s="289"/>
      <c r="AV229" s="289"/>
      <c r="AW229" s="289"/>
      <c r="AX229" s="289"/>
      <c r="AY229" s="289"/>
      <c r="AZ229" s="289"/>
      <c r="BA229" s="289"/>
      <c r="BB229" s="289"/>
      <c r="BC229" s="289"/>
      <c r="BD229" s="289"/>
      <c r="BE229" s="289"/>
      <c r="BF229" s="289"/>
      <c r="BG229" s="289"/>
      <c r="BH229" s="289"/>
      <c r="BI229" s="289"/>
      <c r="BJ229" s="289"/>
    </row>
    <row r="230" spans="1:62">
      <c r="A230" s="301">
        <v>9</v>
      </c>
      <c r="B230" s="308">
        <f t="shared" si="76"/>
        <v>1.6667821698498524</v>
      </c>
      <c r="C230" s="308">
        <f t="shared" si="77"/>
        <v>110.43071223278662</v>
      </c>
      <c r="D230" s="308">
        <f t="shared" si="78"/>
        <v>1156.9733506786947</v>
      </c>
      <c r="E230" s="308">
        <f t="shared" si="79"/>
        <v>1180.5850517129538</v>
      </c>
      <c r="F230" s="308">
        <f t="shared" si="79"/>
        <v>1204.6786241968916</v>
      </c>
      <c r="G230" s="304">
        <f t="shared" si="80"/>
        <v>172.09694631384167</v>
      </c>
      <c r="H230" s="309">
        <f t="shared" si="81"/>
        <v>0.28412231702756879</v>
      </c>
      <c r="I230" s="310">
        <f t="shared" si="82"/>
        <v>0.64244451954692705</v>
      </c>
      <c r="L230" s="289"/>
      <c r="M230" s="289"/>
      <c r="N230" s="289"/>
      <c r="O230" s="289"/>
      <c r="P230" s="289"/>
      <c r="Q230" s="289"/>
      <c r="R230" s="289"/>
      <c r="S230" s="289"/>
      <c r="T230" s="289"/>
      <c r="U230" s="289"/>
      <c r="V230" s="289"/>
      <c r="W230" s="289"/>
      <c r="X230" s="289"/>
      <c r="Y230" s="289"/>
      <c r="Z230" s="289"/>
      <c r="AA230" s="289"/>
      <c r="AB230" s="289"/>
      <c r="AC230" s="289"/>
      <c r="AD230" s="289"/>
      <c r="AE230" s="289"/>
      <c r="AF230" s="289"/>
      <c r="AG230" s="289"/>
      <c r="AH230" s="289"/>
      <c r="AI230" s="289"/>
      <c r="AJ230" s="289"/>
      <c r="AK230" s="289"/>
      <c r="AL230" s="289"/>
      <c r="AM230" s="289"/>
      <c r="AN230" s="289"/>
      <c r="AO230" s="289"/>
      <c r="AP230" s="289"/>
      <c r="AQ230" s="289"/>
      <c r="AR230" s="289"/>
      <c r="AS230" s="289"/>
      <c r="AT230" s="289"/>
      <c r="AU230" s="289"/>
      <c r="AV230" s="289"/>
      <c r="AW230" s="289"/>
      <c r="AX230" s="289"/>
      <c r="AY230" s="289"/>
      <c r="AZ230" s="289"/>
      <c r="BA230" s="289"/>
      <c r="BB230" s="289"/>
      <c r="BC230" s="289"/>
      <c r="BD230" s="289"/>
      <c r="BE230" s="289"/>
      <c r="BF230" s="289"/>
      <c r="BG230" s="289"/>
      <c r="BH230" s="289"/>
      <c r="BI230" s="289"/>
      <c r="BJ230" s="289"/>
    </row>
    <row r="231" spans="1:62">
      <c r="L231" s="289"/>
      <c r="M231" s="289"/>
      <c r="N231" s="289"/>
      <c r="O231" s="289"/>
      <c r="P231" s="289"/>
      <c r="Q231" s="289"/>
      <c r="R231" s="289"/>
      <c r="S231" s="289"/>
      <c r="T231" s="289"/>
      <c r="U231" s="289"/>
      <c r="V231" s="289"/>
      <c r="W231" s="289"/>
      <c r="X231" s="289"/>
      <c r="Y231" s="289"/>
      <c r="Z231" s="289"/>
      <c r="AA231" s="289"/>
      <c r="AB231" s="289"/>
      <c r="AC231" s="289"/>
      <c r="AD231" s="289"/>
      <c r="AE231" s="289"/>
      <c r="AF231" s="289"/>
      <c r="AG231" s="289"/>
      <c r="AH231" s="289"/>
      <c r="AI231" s="289"/>
      <c r="AJ231" s="289"/>
      <c r="AK231" s="289"/>
      <c r="AL231" s="289"/>
      <c r="AM231" s="289"/>
      <c r="AN231" s="289"/>
      <c r="AO231" s="289"/>
      <c r="AP231" s="289"/>
      <c r="AQ231" s="289"/>
      <c r="AR231" s="289"/>
      <c r="AS231" s="289"/>
      <c r="AT231" s="289"/>
      <c r="AU231" s="289"/>
      <c r="AV231" s="289"/>
      <c r="AW231" s="289"/>
      <c r="AX231" s="289"/>
      <c r="AY231" s="289"/>
      <c r="AZ231" s="289"/>
      <c r="BA231" s="289"/>
      <c r="BB231" s="289"/>
      <c r="BC231" s="289"/>
      <c r="BD231" s="289"/>
      <c r="BE231" s="289"/>
      <c r="BF231" s="289"/>
      <c r="BG231" s="289"/>
      <c r="BH231" s="289"/>
      <c r="BI231" s="289"/>
      <c r="BJ231" s="289"/>
    </row>
    <row r="232" spans="1:62">
      <c r="L232" s="289"/>
      <c r="M232" s="289"/>
      <c r="N232" s="289"/>
      <c r="O232" s="289"/>
      <c r="P232" s="289"/>
      <c r="Q232" s="289"/>
      <c r="R232" s="289"/>
      <c r="S232" s="289"/>
      <c r="T232" s="289"/>
      <c r="U232" s="289"/>
      <c r="V232" s="289"/>
      <c r="W232" s="289"/>
      <c r="X232" s="289"/>
      <c r="Y232" s="289"/>
      <c r="Z232" s="289"/>
      <c r="AA232" s="289"/>
      <c r="AB232" s="289"/>
      <c r="AC232" s="289"/>
      <c r="AD232" s="289"/>
      <c r="AE232" s="289"/>
      <c r="AF232" s="289"/>
      <c r="AG232" s="289"/>
      <c r="AH232" s="289"/>
      <c r="AI232" s="289"/>
      <c r="AJ232" s="289"/>
      <c r="AK232" s="289"/>
      <c r="AL232" s="289"/>
      <c r="AM232" s="289"/>
      <c r="AN232" s="289"/>
      <c r="AO232" s="289"/>
      <c r="AP232" s="289"/>
      <c r="AQ232" s="289"/>
      <c r="AR232" s="289"/>
      <c r="AS232" s="289"/>
      <c r="AT232" s="289"/>
      <c r="AU232" s="289"/>
      <c r="AV232" s="289"/>
      <c r="AW232" s="289"/>
      <c r="AX232" s="289"/>
      <c r="AY232" s="289"/>
      <c r="AZ232" s="289"/>
      <c r="BA232" s="289"/>
      <c r="BB232" s="289"/>
      <c r="BC232" s="289"/>
      <c r="BD232" s="289"/>
      <c r="BE232" s="289"/>
      <c r="BF232" s="289"/>
      <c r="BG232" s="289"/>
      <c r="BH232" s="289"/>
      <c r="BI232" s="289"/>
      <c r="BJ232" s="289"/>
    </row>
    <row r="233" spans="1:62" ht="15" thickBot="1">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89"/>
      <c r="AH233" s="289"/>
      <c r="AI233" s="289"/>
      <c r="AJ233" s="289"/>
      <c r="AK233" s="289"/>
      <c r="AL233" s="289"/>
      <c r="AM233" s="289"/>
      <c r="AN233" s="289"/>
      <c r="AO233" s="289"/>
      <c r="AP233" s="289"/>
      <c r="AQ233" s="289"/>
      <c r="AR233" s="289"/>
      <c r="AS233" s="289"/>
      <c r="AT233" s="289"/>
      <c r="AU233" s="289"/>
      <c r="AV233" s="289"/>
      <c r="AW233" s="289"/>
      <c r="AX233" s="289"/>
      <c r="AY233" s="289"/>
      <c r="AZ233" s="289"/>
      <c r="BA233" s="289"/>
      <c r="BB233" s="289"/>
      <c r="BC233" s="289"/>
      <c r="BD233" s="289"/>
      <c r="BE233" s="289"/>
      <c r="BF233" s="289"/>
      <c r="BG233" s="289"/>
      <c r="BH233" s="289"/>
      <c r="BI233" s="289"/>
      <c r="BJ233" s="289"/>
    </row>
    <row r="234" spans="1:62" ht="15" thickBot="1">
      <c r="A234" s="769" t="s">
        <v>545</v>
      </c>
      <c r="B234" s="770"/>
      <c r="C234" s="770"/>
      <c r="D234" s="770"/>
      <c r="E234" s="770"/>
      <c r="F234" s="770"/>
      <c r="G234" s="770"/>
      <c r="H234" s="770"/>
      <c r="I234" s="771"/>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289"/>
      <c r="AH234" s="289"/>
      <c r="AI234" s="289"/>
      <c r="AJ234" s="289"/>
      <c r="AK234" s="289"/>
      <c r="AL234" s="289"/>
      <c r="AM234" s="289"/>
      <c r="AN234" s="289"/>
      <c r="AO234" s="289"/>
      <c r="AP234" s="289"/>
      <c r="AQ234" s="289"/>
      <c r="AR234" s="289"/>
      <c r="AS234" s="289"/>
      <c r="AT234" s="289"/>
      <c r="AU234" s="289"/>
      <c r="AV234" s="289"/>
      <c r="AW234" s="289"/>
      <c r="AX234" s="289"/>
      <c r="AY234" s="289"/>
      <c r="AZ234" s="289"/>
      <c r="BA234" s="289"/>
      <c r="BB234" s="289"/>
      <c r="BC234" s="289"/>
      <c r="BD234" s="289"/>
      <c r="BE234" s="289"/>
      <c r="BF234" s="289"/>
      <c r="BG234" s="289"/>
      <c r="BH234" s="289"/>
      <c r="BI234" s="289"/>
      <c r="BJ234" s="289"/>
    </row>
    <row r="235" spans="1:62">
      <c r="L235" s="289"/>
      <c r="M235" s="289"/>
      <c r="N235" s="289"/>
      <c r="O235" s="289"/>
      <c r="P235" s="289"/>
      <c r="Q235" s="289"/>
      <c r="R235" s="289"/>
      <c r="S235" s="289"/>
      <c r="T235" s="289"/>
      <c r="U235" s="289"/>
      <c r="V235" s="289"/>
      <c r="W235" s="289"/>
      <c r="X235" s="289"/>
      <c r="Y235" s="289"/>
      <c r="Z235" s="289"/>
      <c r="AA235" s="289"/>
      <c r="AB235" s="289"/>
      <c r="AC235" s="289"/>
      <c r="AD235" s="289"/>
      <c r="AE235" s="289"/>
      <c r="AF235" s="289"/>
      <c r="AG235" s="289"/>
      <c r="AH235" s="289"/>
      <c r="AI235" s="289"/>
      <c r="AJ235" s="289"/>
      <c r="AK235" s="289"/>
      <c r="AL235" s="289"/>
      <c r="AM235" s="289"/>
      <c r="AN235" s="289"/>
      <c r="AO235" s="289"/>
      <c r="AP235" s="289"/>
      <c r="AQ235" s="289"/>
      <c r="AR235" s="289"/>
      <c r="AS235" s="289"/>
      <c r="AT235" s="289"/>
      <c r="AU235" s="289"/>
      <c r="AV235" s="289"/>
      <c r="AW235" s="289"/>
      <c r="AX235" s="289"/>
      <c r="AY235" s="289"/>
      <c r="AZ235" s="289"/>
      <c r="BA235" s="289"/>
      <c r="BB235" s="289"/>
      <c r="BC235" s="289"/>
      <c r="BD235" s="289"/>
      <c r="BE235" s="289"/>
      <c r="BF235" s="289"/>
      <c r="BG235" s="289"/>
      <c r="BH235" s="289"/>
      <c r="BI235" s="289"/>
      <c r="BJ235" s="289"/>
    </row>
    <row r="236" spans="1:62">
      <c r="A236" s="772" t="s">
        <v>546</v>
      </c>
      <c r="B236" s="772"/>
      <c r="C236" s="772"/>
      <c r="D236" s="772"/>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289"/>
      <c r="AH236" s="289"/>
      <c r="AI236" s="289"/>
      <c r="AJ236" s="289"/>
      <c r="AK236" s="289"/>
      <c r="AL236" s="289"/>
      <c r="AM236" s="289"/>
      <c r="AN236" s="289"/>
      <c r="AO236" s="289"/>
      <c r="AP236" s="289"/>
      <c r="AQ236" s="289"/>
      <c r="AR236" s="289"/>
      <c r="AS236" s="289"/>
      <c r="AT236" s="289"/>
      <c r="AU236" s="289"/>
      <c r="AV236" s="289"/>
      <c r="AW236" s="289"/>
      <c r="AX236" s="289"/>
      <c r="AY236" s="289"/>
      <c r="AZ236" s="289"/>
      <c r="BA236" s="289"/>
      <c r="BB236" s="289"/>
      <c r="BC236" s="289"/>
      <c r="BD236" s="289"/>
      <c r="BE236" s="289"/>
      <c r="BF236" s="289"/>
      <c r="BG236" s="289"/>
      <c r="BH236" s="289"/>
      <c r="BI236" s="289"/>
      <c r="BJ236" s="289"/>
    </row>
    <row r="237" spans="1:62">
      <c r="A237" s="314" t="s">
        <v>362</v>
      </c>
      <c r="B237" s="314" t="s">
        <v>63</v>
      </c>
      <c r="C237" s="314">
        <v>4240</v>
      </c>
      <c r="D237" s="315" t="s">
        <v>250</v>
      </c>
      <c r="L237" s="289"/>
      <c r="M237" s="289"/>
      <c r="N237" s="289"/>
      <c r="O237" s="289"/>
      <c r="P237" s="289"/>
      <c r="Q237" s="289"/>
      <c r="R237" s="289"/>
      <c r="S237" s="289"/>
      <c r="T237" s="289"/>
      <c r="U237" s="289"/>
      <c r="V237" s="289"/>
      <c r="W237" s="289"/>
      <c r="X237" s="289"/>
      <c r="Y237" s="289"/>
      <c r="Z237" s="289"/>
      <c r="AA237" s="289"/>
      <c r="AB237" s="289"/>
      <c r="AC237" s="289"/>
      <c r="AD237" s="289"/>
      <c r="AE237" s="289"/>
      <c r="AF237" s="289"/>
      <c r="AG237" s="289"/>
      <c r="AH237" s="289"/>
      <c r="AI237" s="289"/>
      <c r="AJ237" s="289"/>
      <c r="AK237" s="289"/>
      <c r="AL237" s="289"/>
      <c r="AM237" s="289"/>
      <c r="AN237" s="289"/>
      <c r="AO237" s="289"/>
      <c r="AP237" s="289"/>
      <c r="AQ237" s="289"/>
      <c r="AR237" s="289"/>
      <c r="AS237" s="289"/>
      <c r="AT237" s="289"/>
      <c r="AU237" s="289"/>
      <c r="AV237" s="289"/>
      <c r="AW237" s="289"/>
      <c r="AX237" s="289"/>
      <c r="AY237" s="289"/>
      <c r="AZ237" s="289"/>
      <c r="BA237" s="289"/>
      <c r="BB237" s="289"/>
      <c r="BC237" s="289"/>
      <c r="BD237" s="289"/>
      <c r="BE237" s="289"/>
      <c r="BF237" s="289"/>
      <c r="BG237" s="289"/>
      <c r="BH237" s="289"/>
      <c r="BI237" s="289"/>
      <c r="BJ237" s="289"/>
    </row>
    <row r="238" spans="1:62">
      <c r="A238" s="314" t="s">
        <v>547</v>
      </c>
      <c r="B238" s="314" t="s">
        <v>63</v>
      </c>
      <c r="C238" s="314">
        <v>750</v>
      </c>
      <c r="D238" s="315" t="s">
        <v>355</v>
      </c>
      <c r="L238" s="289"/>
      <c r="M238" s="289"/>
      <c r="N238" s="289"/>
      <c r="O238" s="289"/>
      <c r="P238" s="289"/>
      <c r="Q238" s="289"/>
      <c r="R238" s="289"/>
      <c r="S238" s="289"/>
      <c r="T238" s="289"/>
      <c r="U238" s="289"/>
      <c r="V238" s="289"/>
      <c r="W238" s="289"/>
      <c r="X238" s="289"/>
      <c r="Y238" s="289"/>
      <c r="Z238" s="289"/>
      <c r="AA238" s="289"/>
      <c r="AB238" s="289"/>
      <c r="AC238" s="289"/>
      <c r="AD238" s="289"/>
      <c r="AE238" s="289"/>
      <c r="AF238" s="289"/>
      <c r="AG238" s="289"/>
      <c r="AH238" s="289"/>
      <c r="AI238" s="289"/>
      <c r="AJ238" s="289"/>
      <c r="AK238" s="289"/>
      <c r="AL238" s="289"/>
      <c r="AM238" s="289"/>
      <c r="AN238" s="289"/>
      <c r="AO238" s="289"/>
      <c r="AP238" s="289"/>
      <c r="AQ238" s="289"/>
      <c r="AR238" s="289"/>
      <c r="AS238" s="289"/>
      <c r="AT238" s="289"/>
      <c r="AU238" s="289"/>
      <c r="AV238" s="289"/>
      <c r="AW238" s="289"/>
      <c r="AX238" s="289"/>
      <c r="AY238" s="289"/>
      <c r="AZ238" s="289"/>
      <c r="BA238" s="289"/>
      <c r="BB238" s="289"/>
      <c r="BC238" s="289"/>
      <c r="BD238" s="289"/>
      <c r="BE238" s="289"/>
      <c r="BF238" s="289"/>
      <c r="BG238" s="289"/>
      <c r="BH238" s="289"/>
      <c r="BI238" s="289"/>
      <c r="BJ238" s="289"/>
    </row>
    <row r="239" spans="1:62">
      <c r="E239" s="316"/>
      <c r="G239" s="317"/>
      <c r="H239" s="317"/>
      <c r="I239" s="317"/>
      <c r="L239" s="289"/>
      <c r="M239" s="289"/>
      <c r="N239" s="289"/>
      <c r="O239" s="289"/>
      <c r="P239" s="289"/>
      <c r="Q239" s="289"/>
      <c r="R239" s="289"/>
      <c r="S239" s="289"/>
      <c r="T239" s="289"/>
      <c r="U239" s="289"/>
      <c r="V239" s="289"/>
      <c r="W239" s="289"/>
      <c r="X239" s="289"/>
      <c r="Y239" s="289"/>
      <c r="Z239" s="289"/>
      <c r="AA239" s="289"/>
      <c r="AB239" s="289"/>
      <c r="AC239" s="289"/>
      <c r="AD239" s="289"/>
      <c r="AE239" s="289"/>
      <c r="AF239" s="289"/>
      <c r="AG239" s="289"/>
      <c r="AH239" s="289"/>
      <c r="AI239" s="289"/>
      <c r="AJ239" s="289"/>
      <c r="AK239" s="289"/>
      <c r="AL239" s="289"/>
      <c r="AM239" s="289"/>
      <c r="AN239" s="289"/>
      <c r="AO239" s="289"/>
      <c r="AP239" s="289"/>
      <c r="AQ239" s="289"/>
      <c r="AR239" s="289"/>
      <c r="AS239" s="289"/>
      <c r="AT239" s="289"/>
      <c r="AU239" s="289"/>
      <c r="AV239" s="289"/>
      <c r="AW239" s="289"/>
      <c r="AX239" s="289"/>
      <c r="AY239" s="289"/>
      <c r="AZ239" s="289"/>
      <c r="BA239" s="289"/>
      <c r="BB239" s="289"/>
      <c r="BC239" s="289"/>
      <c r="BD239" s="289"/>
      <c r="BE239" s="289"/>
      <c r="BF239" s="289"/>
      <c r="BG239" s="289"/>
      <c r="BH239" s="289"/>
      <c r="BI239" s="289"/>
      <c r="BJ239" s="289"/>
    </row>
    <row r="240" spans="1:62">
      <c r="A240" s="763" t="s">
        <v>548</v>
      </c>
      <c r="B240" s="763"/>
      <c r="C240" s="763" t="s">
        <v>549</v>
      </c>
      <c r="D240" s="763"/>
      <c r="E240" s="318"/>
      <c r="G240" s="319"/>
      <c r="H240" s="320"/>
      <c r="I240" s="320"/>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89"/>
      <c r="AH240" s="289"/>
      <c r="AI240" s="289"/>
      <c r="AJ240" s="289"/>
      <c r="AK240" s="289"/>
      <c r="AL240" s="289"/>
      <c r="AM240" s="289"/>
      <c r="AN240" s="289"/>
      <c r="AO240" s="289"/>
      <c r="AP240" s="289"/>
      <c r="AQ240" s="289"/>
      <c r="AR240" s="289"/>
      <c r="AS240" s="289"/>
      <c r="AT240" s="289"/>
      <c r="AU240" s="289"/>
      <c r="AV240" s="289"/>
      <c r="AW240" s="289"/>
      <c r="AX240" s="289"/>
      <c r="AY240" s="289"/>
      <c r="AZ240" s="289"/>
      <c r="BA240" s="289"/>
      <c r="BB240" s="289"/>
      <c r="BC240" s="289"/>
      <c r="BD240" s="289"/>
      <c r="BE240" s="289"/>
      <c r="BF240" s="289"/>
      <c r="BG240" s="289"/>
      <c r="BH240" s="289"/>
      <c r="BI240" s="289"/>
      <c r="BJ240" s="289"/>
    </row>
    <row r="241" spans="1:62">
      <c r="A241" s="321" t="s">
        <v>547</v>
      </c>
      <c r="B241" s="321" t="s">
        <v>362</v>
      </c>
      <c r="C241" s="321" t="s">
        <v>547</v>
      </c>
      <c r="D241" s="321" t="s">
        <v>362</v>
      </c>
      <c r="E241" s="322"/>
      <c r="G241" s="323"/>
      <c r="H241" s="323"/>
      <c r="I241" s="290"/>
      <c r="L241" s="289"/>
      <c r="M241" s="289"/>
      <c r="N241" s="289"/>
      <c r="O241" s="289"/>
      <c r="P241" s="289"/>
      <c r="Q241" s="289"/>
      <c r="R241" s="289"/>
      <c r="S241" s="289"/>
      <c r="T241" s="289"/>
      <c r="U241" s="289"/>
      <c r="V241" s="289"/>
      <c r="W241" s="289"/>
      <c r="X241" s="289"/>
      <c r="Y241" s="289"/>
      <c r="Z241" s="289"/>
      <c r="AA241" s="289"/>
      <c r="AB241" s="289"/>
      <c r="AC241" s="289"/>
      <c r="AD241" s="289"/>
      <c r="AE241" s="289"/>
      <c r="AF241" s="289"/>
      <c r="AG241" s="289"/>
      <c r="AH241" s="289"/>
      <c r="AI241" s="289"/>
      <c r="AJ241" s="289"/>
      <c r="AK241" s="289"/>
      <c r="AL241" s="289"/>
      <c r="AM241" s="289"/>
      <c r="AN241" s="289"/>
      <c r="AO241" s="289"/>
      <c r="AP241" s="289"/>
      <c r="AQ241" s="289"/>
      <c r="AR241" s="289"/>
      <c r="AS241" s="289"/>
      <c r="AT241" s="289"/>
      <c r="AU241" s="289"/>
      <c r="AV241" s="289"/>
      <c r="AW241" s="289"/>
      <c r="AX241" s="289"/>
      <c r="AY241" s="289"/>
      <c r="AZ241" s="289"/>
      <c r="BA241" s="289"/>
      <c r="BB241" s="289"/>
      <c r="BC241" s="289"/>
      <c r="BD241" s="289"/>
      <c r="BE241" s="289"/>
      <c r="BF241" s="289"/>
      <c r="BG241" s="289"/>
      <c r="BH241" s="289"/>
      <c r="BI241" s="289"/>
      <c r="BJ241" s="289"/>
    </row>
    <row r="242" spans="1:62">
      <c r="A242" s="324">
        <f>I230*100</f>
        <v>64.244451954692707</v>
      </c>
      <c r="B242" s="325">
        <f>100*H230</f>
        <v>28.41223170275688</v>
      </c>
      <c r="C242" s="326">
        <f>I210*100</f>
        <v>65.620136150724662</v>
      </c>
      <c r="D242" s="325">
        <f>100*H210</f>
        <v>29.226728897612414</v>
      </c>
      <c r="E242" s="322"/>
      <c r="G242" s="323"/>
      <c r="H242" s="323"/>
      <c r="I242" s="290"/>
      <c r="L242" s="289"/>
      <c r="M242" s="289"/>
      <c r="N242" s="289"/>
      <c r="O242" s="289"/>
      <c r="P242" s="289"/>
      <c r="Q242" s="289"/>
      <c r="R242" s="289"/>
      <c r="S242" s="289"/>
      <c r="T242" s="289"/>
      <c r="U242" s="289"/>
      <c r="V242" s="289"/>
      <c r="W242" s="289"/>
      <c r="X242" s="289"/>
      <c r="Y242" s="289"/>
      <c r="Z242" s="289"/>
      <c r="AA242" s="289"/>
      <c r="AB242" s="289"/>
      <c r="AC242" s="289"/>
      <c r="AD242" s="289"/>
      <c r="AE242" s="289"/>
      <c r="AF242" s="289"/>
      <c r="AG242" s="289"/>
      <c r="AH242" s="289"/>
      <c r="AI242" s="289"/>
      <c r="AJ242" s="289"/>
      <c r="AK242" s="289"/>
      <c r="AL242" s="289"/>
      <c r="AM242" s="289"/>
      <c r="AN242" s="289"/>
      <c r="AO242" s="289"/>
      <c r="AP242" s="289"/>
      <c r="AQ242" s="289"/>
      <c r="AR242" s="289"/>
      <c r="AS242" s="289"/>
      <c r="AT242" s="289"/>
      <c r="AU242" s="289"/>
      <c r="AV242" s="289"/>
      <c r="AW242" s="289"/>
      <c r="AX242" s="289"/>
      <c r="AY242" s="289"/>
      <c r="AZ242" s="289"/>
      <c r="BA242" s="289"/>
      <c r="BB242" s="289"/>
      <c r="BC242" s="289"/>
      <c r="BD242" s="289"/>
      <c r="BE242" s="289"/>
      <c r="BF242" s="289"/>
      <c r="BG242" s="289"/>
      <c r="BH242" s="289"/>
      <c r="BI242" s="289"/>
      <c r="BJ242" s="289"/>
    </row>
    <row r="243" spans="1:62">
      <c r="A243" s="324">
        <f>I229*100</f>
        <v>71.382724394102993</v>
      </c>
      <c r="B243" s="325">
        <f>100*H229</f>
        <v>39.086897091021186</v>
      </c>
      <c r="C243" s="326">
        <f>I209*100</f>
        <v>73.067724326152629</v>
      </c>
      <c r="D243" s="325">
        <f>100*H209</f>
        <v>40.591807006378886</v>
      </c>
      <c r="E243" s="322"/>
      <c r="G243" s="323"/>
      <c r="H243" s="323"/>
      <c r="I243" s="290"/>
      <c r="L243" s="289"/>
      <c r="M243" s="289"/>
      <c r="N243" s="289"/>
      <c r="O243" s="289"/>
      <c r="P243" s="289"/>
      <c r="Q243" s="289"/>
      <c r="R243" s="289"/>
      <c r="S243" s="289"/>
      <c r="T243" s="289"/>
      <c r="U243" s="289"/>
      <c r="V243" s="289"/>
      <c r="W243" s="289"/>
      <c r="X243" s="289"/>
      <c r="Y243" s="289"/>
      <c r="Z243" s="289"/>
      <c r="AA243" s="289"/>
      <c r="AB243" s="289"/>
      <c r="AC243" s="289"/>
      <c r="AD243" s="289"/>
      <c r="AE243" s="289"/>
      <c r="AF243" s="289"/>
      <c r="AG243" s="289"/>
      <c r="AH243" s="289"/>
      <c r="AI243" s="289"/>
      <c r="AJ243" s="289"/>
      <c r="AK243" s="289"/>
      <c r="AL243" s="289"/>
      <c r="AM243" s="289"/>
      <c r="AN243" s="289"/>
      <c r="AO243" s="289"/>
      <c r="AP243" s="289"/>
      <c r="AQ243" s="289"/>
      <c r="AR243" s="289"/>
      <c r="AS243" s="289"/>
      <c r="AT243" s="289"/>
      <c r="AU243" s="289"/>
      <c r="AV243" s="289"/>
      <c r="AW243" s="289"/>
      <c r="AX243" s="289"/>
      <c r="AY243" s="289"/>
      <c r="AZ243" s="289"/>
      <c r="BA243" s="289"/>
      <c r="BB243" s="289"/>
      <c r="BC243" s="289"/>
      <c r="BD243" s="289"/>
      <c r="BE243" s="289"/>
      <c r="BF243" s="289"/>
      <c r="BG243" s="289"/>
      <c r="BH243" s="289"/>
      <c r="BI243" s="289"/>
      <c r="BJ243" s="289"/>
    </row>
    <row r="244" spans="1:62">
      <c r="A244" s="326">
        <f>I228*100</f>
        <v>78.685956910894646</v>
      </c>
      <c r="B244" s="325">
        <f>100*H228</f>
        <v>52.353235860522396</v>
      </c>
      <c r="C244" s="326">
        <f>I208*100</f>
        <v>80.720938555141899</v>
      </c>
      <c r="D244" s="325">
        <f>100*H208</f>
        <v>54.729344794238713</v>
      </c>
      <c r="E244" s="322"/>
      <c r="G244" s="323"/>
      <c r="H244" s="323"/>
      <c r="I244" s="290"/>
      <c r="L244" s="289"/>
      <c r="M244" s="289"/>
      <c r="N244" s="289"/>
      <c r="O244" s="289"/>
      <c r="P244" s="289"/>
      <c r="Q244" s="289"/>
      <c r="R244" s="289"/>
      <c r="S244" s="289"/>
      <c r="T244" s="289"/>
      <c r="U244" s="289"/>
      <c r="V244" s="289"/>
      <c r="W244" s="289"/>
      <c r="X244" s="289"/>
      <c r="Y244" s="289"/>
      <c r="Z244" s="289"/>
      <c r="AA244" s="289"/>
      <c r="AB244" s="289"/>
      <c r="AC244" s="289"/>
      <c r="AD244" s="289"/>
      <c r="AE244" s="289"/>
      <c r="AF244" s="289"/>
      <c r="AG244" s="289"/>
      <c r="AH244" s="289"/>
      <c r="AI244" s="289"/>
      <c r="AJ244" s="289"/>
      <c r="AK244" s="289"/>
      <c r="AL244" s="289"/>
      <c r="AM244" s="289"/>
      <c r="AN244" s="289"/>
      <c r="AO244" s="289"/>
      <c r="AP244" s="289"/>
      <c r="AQ244" s="289"/>
      <c r="AR244" s="289"/>
      <c r="AS244" s="289"/>
      <c r="AT244" s="289"/>
      <c r="AU244" s="289"/>
      <c r="AV244" s="289"/>
      <c r="AW244" s="289"/>
      <c r="AX244" s="289"/>
      <c r="AY244" s="289"/>
      <c r="AZ244" s="289"/>
      <c r="BA244" s="289"/>
      <c r="BB244" s="289"/>
      <c r="BC244" s="289"/>
      <c r="BD244" s="289"/>
      <c r="BE244" s="289"/>
      <c r="BF244" s="289"/>
      <c r="BG244" s="289"/>
      <c r="BH244" s="289"/>
      <c r="BI244" s="289"/>
      <c r="BJ244" s="289"/>
    </row>
    <row r="245" spans="1:62">
      <c r="A245" s="326">
        <f>I227*100</f>
        <v>86.201416546802861</v>
      </c>
      <c r="B245" s="325">
        <f>100*H227</f>
        <v>69.824564282783768</v>
      </c>
      <c r="C245" s="326">
        <f>I207*100</f>
        <v>88.249398365409391</v>
      </c>
      <c r="D245" s="325">
        <f>100*H207</f>
        <v>71.72780216350948</v>
      </c>
      <c r="E245" s="322"/>
      <c r="G245" s="323"/>
      <c r="H245" s="323"/>
      <c r="I245" s="290"/>
      <c r="L245" s="289"/>
      <c r="M245" s="289"/>
      <c r="N245" s="289"/>
      <c r="O245" s="289"/>
      <c r="P245" s="289"/>
      <c r="Q245" s="289"/>
      <c r="R245" s="289"/>
      <c r="S245" s="289"/>
      <c r="T245" s="289"/>
      <c r="U245" s="289"/>
      <c r="V245" s="289"/>
      <c r="W245" s="289"/>
      <c r="X245" s="289"/>
      <c r="Y245" s="289"/>
      <c r="Z245" s="289"/>
      <c r="AA245" s="289"/>
      <c r="AB245" s="289"/>
      <c r="AC245" s="289"/>
      <c r="AD245" s="289"/>
      <c r="AE245" s="289"/>
      <c r="AF245" s="289"/>
      <c r="AG245" s="289"/>
      <c r="AH245" s="289"/>
      <c r="AI245" s="289"/>
      <c r="AJ245" s="289"/>
      <c r="AK245" s="289"/>
      <c r="AL245" s="289"/>
      <c r="AM245" s="289"/>
      <c r="AN245" s="289"/>
      <c r="AO245" s="289"/>
      <c r="AP245" s="289"/>
      <c r="AQ245" s="289"/>
      <c r="AR245" s="289"/>
      <c r="AS245" s="289"/>
      <c r="AT245" s="289"/>
      <c r="AU245" s="289"/>
      <c r="AV245" s="289"/>
      <c r="AW245" s="289"/>
      <c r="AX245" s="289"/>
      <c r="AY245" s="289"/>
      <c r="AZ245" s="289"/>
      <c r="BA245" s="289"/>
      <c r="BB245" s="289"/>
      <c r="BC245" s="289"/>
      <c r="BD245" s="289"/>
      <c r="BE245" s="289"/>
      <c r="BF245" s="289"/>
      <c r="BG245" s="289"/>
      <c r="BH245" s="289"/>
      <c r="BI245" s="289"/>
      <c r="BJ245" s="289"/>
    </row>
    <row r="246" spans="1:62">
      <c r="A246" s="326">
        <f>I226*100</f>
        <v>93.582298936116842</v>
      </c>
      <c r="B246" s="325">
        <f>100*H226</f>
        <v>89.340042739001845</v>
      </c>
      <c r="C246" s="326">
        <f>I206*100</f>
        <v>95.603514895860172</v>
      </c>
      <c r="D246" s="325">
        <f>100*H206</f>
        <v>91.736811185887646</v>
      </c>
      <c r="E246" s="322"/>
      <c r="G246" s="323"/>
      <c r="H246" s="323"/>
      <c r="I246" s="290"/>
      <c r="L246" s="289"/>
      <c r="M246" s="289"/>
      <c r="N246" s="289"/>
      <c r="O246" s="289"/>
      <c r="P246" s="289"/>
      <c r="Q246" s="289"/>
      <c r="R246" s="289"/>
      <c r="S246" s="289"/>
      <c r="T246" s="289"/>
      <c r="U246" s="289"/>
      <c r="V246" s="289"/>
      <c r="W246" s="289"/>
      <c r="X246" s="289"/>
      <c r="Y246" s="289"/>
      <c r="Z246" s="289"/>
      <c r="AA246" s="289"/>
      <c r="AB246" s="289"/>
      <c r="AC246" s="289"/>
      <c r="AD246" s="289"/>
      <c r="AE246" s="289"/>
      <c r="AF246" s="289"/>
      <c r="AG246" s="289"/>
      <c r="AH246" s="289"/>
      <c r="AI246" s="289"/>
      <c r="AJ246" s="289"/>
      <c r="AK246" s="289"/>
      <c r="AL246" s="289"/>
      <c r="AM246" s="289"/>
      <c r="AN246" s="289"/>
      <c r="AO246" s="289"/>
      <c r="AP246" s="289"/>
      <c r="AQ246" s="289"/>
      <c r="AR246" s="289"/>
      <c r="AS246" s="289"/>
      <c r="AT246" s="289"/>
      <c r="AU246" s="289"/>
      <c r="AV246" s="289"/>
      <c r="AW246" s="289"/>
      <c r="AX246" s="289"/>
      <c r="AY246" s="289"/>
      <c r="AZ246" s="289"/>
      <c r="BA246" s="289"/>
      <c r="BB246" s="289"/>
      <c r="BC246" s="289"/>
      <c r="BD246" s="289"/>
      <c r="BE246" s="289"/>
      <c r="BF246" s="289"/>
      <c r="BG246" s="289"/>
      <c r="BH246" s="289"/>
      <c r="BI246" s="289"/>
      <c r="BJ246" s="289"/>
    </row>
    <row r="247" spans="1:62">
      <c r="A247" s="326">
        <f>I225*100</f>
        <v>100.78093731581814</v>
      </c>
      <c r="B247" s="325">
        <f>100*H225</f>
        <v>113.16855188307935</v>
      </c>
      <c r="C247" s="326">
        <f>I205*100</f>
        <v>103.40430227848584</v>
      </c>
      <c r="D247" s="325">
        <f>100*H205</f>
        <v>116.41718819121671</v>
      </c>
      <c r="E247" s="323"/>
      <c r="F247" s="290"/>
      <c r="G247" s="323"/>
      <c r="H247" s="323"/>
      <c r="I247" s="290"/>
      <c r="L247" s="289"/>
      <c r="M247" s="289"/>
      <c r="N247" s="289"/>
      <c r="O247" s="289"/>
      <c r="P247" s="289"/>
      <c r="Q247" s="289"/>
      <c r="R247" s="289"/>
      <c r="S247" s="289"/>
      <c r="T247" s="289"/>
      <c r="U247" s="289"/>
      <c r="V247" s="289"/>
      <c r="W247" s="289"/>
      <c r="X247" s="289"/>
      <c r="Y247" s="289"/>
      <c r="Z247" s="289"/>
      <c r="AA247" s="289"/>
      <c r="AB247" s="289"/>
      <c r="AC247" s="289"/>
      <c r="AD247" s="289"/>
      <c r="AE247" s="289"/>
      <c r="AF247" s="289"/>
      <c r="AG247" s="289"/>
      <c r="AH247" s="289"/>
      <c r="AI247" s="289"/>
      <c r="AJ247" s="289"/>
      <c r="AK247" s="289"/>
      <c r="AL247" s="289"/>
      <c r="AM247" s="289"/>
      <c r="AN247" s="289"/>
      <c r="AO247" s="289"/>
      <c r="AP247" s="289"/>
      <c r="AQ247" s="289"/>
      <c r="AR247" s="289"/>
      <c r="AS247" s="289"/>
      <c r="AT247" s="289"/>
      <c r="AU247" s="289"/>
      <c r="AV247" s="289"/>
      <c r="AW247" s="289"/>
      <c r="AX247" s="289"/>
      <c r="AY247" s="289"/>
      <c r="AZ247" s="289"/>
      <c r="BA247" s="289"/>
      <c r="BB247" s="289"/>
      <c r="BC247" s="289"/>
      <c r="BD247" s="289"/>
      <c r="BE247" s="289"/>
      <c r="BF247" s="289"/>
      <c r="BG247" s="289"/>
      <c r="BH247" s="289"/>
      <c r="BI247" s="289"/>
      <c r="BJ247" s="289"/>
    </row>
    <row r="248" spans="1:62">
      <c r="A248" s="323"/>
      <c r="B248" s="323"/>
      <c r="C248" s="290"/>
      <c r="D248" s="327"/>
      <c r="E248" s="323"/>
      <c r="F248" s="290"/>
      <c r="G248" s="323"/>
      <c r="H248" s="323"/>
      <c r="I248" s="290"/>
      <c r="L248" s="289"/>
      <c r="M248" s="289"/>
      <c r="N248" s="289"/>
      <c r="O248" s="289"/>
      <c r="P248" s="289"/>
      <c r="Q248" s="289"/>
      <c r="R248" s="289"/>
      <c r="S248" s="289"/>
      <c r="T248" s="289"/>
      <c r="U248" s="289"/>
      <c r="V248" s="289"/>
      <c r="W248" s="289"/>
      <c r="X248" s="289"/>
      <c r="Y248" s="289"/>
      <c r="Z248" s="289"/>
      <c r="AA248" s="289"/>
      <c r="AB248" s="289"/>
      <c r="AC248" s="289"/>
      <c r="AD248" s="289"/>
      <c r="AE248" s="289"/>
      <c r="AF248" s="289"/>
      <c r="AG248" s="289"/>
      <c r="AH248" s="289"/>
      <c r="AI248" s="289"/>
      <c r="AJ248" s="289"/>
      <c r="AK248" s="289"/>
      <c r="AL248" s="289"/>
      <c r="AM248" s="289"/>
      <c r="AN248" s="289"/>
      <c r="AO248" s="289"/>
      <c r="AP248" s="289"/>
      <c r="AQ248" s="289"/>
      <c r="AR248" s="289"/>
      <c r="AS248" s="289"/>
      <c r="AT248" s="289"/>
      <c r="AU248" s="289"/>
      <c r="AV248" s="289"/>
      <c r="AW248" s="289"/>
      <c r="AX248" s="289"/>
      <c r="AY248" s="289"/>
      <c r="AZ248" s="289"/>
      <c r="BA248" s="289"/>
      <c r="BB248" s="289"/>
      <c r="BC248" s="289"/>
      <c r="BD248" s="289"/>
      <c r="BE248" s="289"/>
      <c r="BF248" s="289"/>
      <c r="BG248" s="289"/>
      <c r="BH248" s="289"/>
      <c r="BI248" s="289"/>
      <c r="BJ248" s="289"/>
    </row>
    <row r="249" spans="1:62">
      <c r="A249" s="323"/>
      <c r="B249" s="323"/>
      <c r="C249" s="290"/>
      <c r="D249" s="327"/>
      <c r="E249" s="323"/>
      <c r="F249" s="290"/>
      <c r="G249" s="323"/>
      <c r="H249" s="323"/>
      <c r="I249" s="290"/>
      <c r="L249" s="289"/>
      <c r="M249" s="289"/>
      <c r="N249" s="289"/>
      <c r="O249" s="289"/>
      <c r="P249" s="289"/>
      <c r="Q249" s="289"/>
      <c r="R249" s="289"/>
      <c r="S249" s="289"/>
      <c r="T249" s="289"/>
      <c r="U249" s="289"/>
      <c r="V249" s="289"/>
      <c r="W249" s="289"/>
      <c r="X249" s="289"/>
      <c r="Y249" s="289"/>
      <c r="Z249" s="289"/>
      <c r="AA249" s="289"/>
      <c r="AB249" s="289"/>
      <c r="AC249" s="289"/>
      <c r="AD249" s="289"/>
      <c r="AE249" s="289"/>
      <c r="AF249" s="289"/>
      <c r="AG249" s="289"/>
      <c r="AH249" s="289"/>
      <c r="AI249" s="289"/>
      <c r="AJ249" s="289"/>
      <c r="AK249" s="289"/>
      <c r="AL249" s="289"/>
      <c r="AM249" s="289"/>
      <c r="AN249" s="289"/>
      <c r="AO249" s="289"/>
      <c r="AP249" s="289"/>
      <c r="AQ249" s="289"/>
      <c r="AR249" s="289"/>
      <c r="AS249" s="289"/>
      <c r="AT249" s="289"/>
      <c r="AU249" s="289"/>
      <c r="AV249" s="289"/>
      <c r="AW249" s="289"/>
      <c r="AX249" s="289"/>
      <c r="AY249" s="289"/>
      <c r="AZ249" s="289"/>
      <c r="BA249" s="289"/>
      <c r="BB249" s="289"/>
      <c r="BC249" s="289"/>
      <c r="BD249" s="289"/>
      <c r="BE249" s="289"/>
      <c r="BF249" s="289"/>
      <c r="BG249" s="289"/>
      <c r="BH249" s="289"/>
      <c r="BI249" s="289"/>
      <c r="BJ249" s="289"/>
    </row>
    <row r="250" spans="1:62">
      <c r="A250" s="323"/>
      <c r="B250" s="323"/>
      <c r="C250" s="290"/>
      <c r="D250" s="327"/>
      <c r="E250" s="323"/>
      <c r="F250" s="290"/>
      <c r="G250" s="323"/>
      <c r="H250" s="323"/>
      <c r="I250" s="290"/>
      <c r="L250" s="289"/>
      <c r="M250" s="289"/>
      <c r="N250" s="289"/>
      <c r="O250" s="289"/>
      <c r="P250" s="289"/>
      <c r="Q250" s="289"/>
      <c r="R250" s="289"/>
      <c r="S250" s="289"/>
      <c r="T250" s="289"/>
      <c r="U250" s="289"/>
      <c r="V250" s="289"/>
      <c r="W250" s="289"/>
      <c r="X250" s="289"/>
      <c r="Y250" s="289"/>
      <c r="Z250" s="289"/>
      <c r="AA250" s="289"/>
      <c r="AB250" s="289"/>
      <c r="AC250" s="289"/>
      <c r="AD250" s="289"/>
      <c r="AE250" s="289"/>
      <c r="AF250" s="289"/>
      <c r="AG250" s="289"/>
      <c r="AH250" s="289"/>
      <c r="AI250" s="289"/>
      <c r="AJ250" s="289"/>
      <c r="AK250" s="289"/>
      <c r="AL250" s="289"/>
      <c r="AM250" s="289"/>
      <c r="AN250" s="289"/>
      <c r="AO250" s="289"/>
      <c r="AP250" s="289"/>
      <c r="AQ250" s="289"/>
      <c r="AR250" s="289"/>
      <c r="AS250" s="289"/>
      <c r="AT250" s="289"/>
      <c r="AU250" s="289"/>
      <c r="AV250" s="289"/>
      <c r="AW250" s="289"/>
      <c r="AX250" s="289"/>
      <c r="AY250" s="289"/>
      <c r="AZ250" s="289"/>
      <c r="BA250" s="289"/>
      <c r="BB250" s="289"/>
      <c r="BC250" s="289"/>
      <c r="BD250" s="289"/>
      <c r="BE250" s="289"/>
      <c r="BF250" s="289"/>
      <c r="BG250" s="289"/>
      <c r="BH250" s="289"/>
      <c r="BI250" s="289"/>
      <c r="BJ250" s="289"/>
    </row>
    <row r="251" spans="1:62">
      <c r="L251" s="289"/>
      <c r="M251" s="289"/>
      <c r="N251" s="289"/>
      <c r="O251" s="289"/>
      <c r="P251" s="289"/>
      <c r="Q251" s="289"/>
      <c r="R251" s="289"/>
      <c r="S251" s="289"/>
      <c r="T251" s="289"/>
      <c r="U251" s="289"/>
      <c r="V251" s="289"/>
      <c r="W251" s="289"/>
      <c r="X251" s="289"/>
      <c r="Y251" s="289"/>
      <c r="Z251" s="289"/>
      <c r="AA251" s="289"/>
      <c r="AB251" s="289"/>
      <c r="AC251" s="289"/>
      <c r="AD251" s="289"/>
      <c r="AE251" s="289"/>
      <c r="AF251" s="289"/>
      <c r="AG251" s="289"/>
      <c r="AH251" s="289"/>
      <c r="AI251" s="289"/>
      <c r="AJ251" s="289"/>
      <c r="AK251" s="289"/>
      <c r="AL251" s="289"/>
      <c r="AM251" s="289"/>
      <c r="AN251" s="289"/>
      <c r="AO251" s="289"/>
      <c r="AP251" s="289"/>
      <c r="AQ251" s="289"/>
      <c r="AR251" s="289"/>
      <c r="AS251" s="289"/>
      <c r="AT251" s="289"/>
      <c r="AU251" s="289"/>
      <c r="AV251" s="289"/>
      <c r="AW251" s="289"/>
      <c r="AX251" s="289"/>
      <c r="AY251" s="289"/>
      <c r="AZ251" s="289"/>
      <c r="BA251" s="289"/>
      <c r="BB251" s="289"/>
      <c r="BC251" s="289"/>
      <c r="BD251" s="289"/>
      <c r="BE251" s="289"/>
      <c r="BF251" s="289"/>
      <c r="BG251" s="289"/>
      <c r="BH251" s="289"/>
      <c r="BI251" s="289"/>
      <c r="BJ251" s="289"/>
    </row>
    <row r="252" spans="1:62">
      <c r="L252" s="289"/>
      <c r="M252" s="289"/>
      <c r="N252" s="289"/>
      <c r="O252" s="289"/>
      <c r="P252" s="289"/>
      <c r="Q252" s="289"/>
      <c r="R252" s="289"/>
      <c r="S252" s="289"/>
      <c r="T252" s="289"/>
      <c r="U252" s="289"/>
      <c r="V252" s="289"/>
      <c r="W252" s="289"/>
      <c r="X252" s="289"/>
      <c r="Y252" s="289"/>
      <c r="Z252" s="289"/>
      <c r="AA252" s="289"/>
      <c r="AB252" s="289"/>
      <c r="AC252" s="289"/>
      <c r="AD252" s="289"/>
      <c r="AE252" s="289"/>
      <c r="AF252" s="289"/>
      <c r="AG252" s="289"/>
      <c r="AH252" s="289"/>
      <c r="AI252" s="289"/>
      <c r="AJ252" s="289"/>
      <c r="AK252" s="289"/>
      <c r="AL252" s="289"/>
      <c r="AM252" s="289"/>
      <c r="AN252" s="289"/>
      <c r="AO252" s="289"/>
      <c r="AP252" s="289"/>
      <c r="AQ252" s="289"/>
      <c r="AR252" s="289"/>
      <c r="AS252" s="289"/>
      <c r="AT252" s="289"/>
      <c r="AU252" s="289"/>
      <c r="AV252" s="289"/>
      <c r="AW252" s="289"/>
      <c r="AX252" s="289"/>
      <c r="AY252" s="289"/>
      <c r="AZ252" s="289"/>
      <c r="BA252" s="289"/>
      <c r="BB252" s="289"/>
      <c r="BC252" s="289"/>
      <c r="BD252" s="289"/>
      <c r="BE252" s="289"/>
      <c r="BF252" s="289"/>
      <c r="BG252" s="289"/>
      <c r="BH252" s="289"/>
      <c r="BI252" s="289"/>
      <c r="BJ252" s="289"/>
    </row>
    <row r="253" spans="1:62">
      <c r="A253" s="764" t="s">
        <v>550</v>
      </c>
      <c r="B253" s="764"/>
      <c r="C253" s="764" t="s">
        <v>551</v>
      </c>
      <c r="D253" s="764"/>
      <c r="L253" s="289"/>
      <c r="M253" s="289"/>
      <c r="N253" s="289"/>
      <c r="O253" s="289"/>
      <c r="P253" s="289"/>
      <c r="Q253" s="289"/>
      <c r="R253" s="289"/>
      <c r="S253" s="289"/>
      <c r="T253" s="289"/>
      <c r="U253" s="289"/>
      <c r="V253" s="289"/>
      <c r="W253" s="289"/>
      <c r="X253" s="289"/>
      <c r="Y253" s="289"/>
      <c r="Z253" s="289"/>
      <c r="AA253" s="289"/>
      <c r="AB253" s="289"/>
      <c r="AC253" s="289"/>
      <c r="AD253" s="289"/>
      <c r="AE253" s="289"/>
      <c r="AF253" s="289"/>
      <c r="AG253" s="289"/>
      <c r="AH253" s="289"/>
      <c r="AI253" s="289"/>
      <c r="AJ253" s="289"/>
      <c r="AK253" s="289"/>
      <c r="AL253" s="289"/>
      <c r="AM253" s="289"/>
      <c r="AN253" s="289"/>
      <c r="AO253" s="289"/>
      <c r="AP253" s="289"/>
      <c r="AQ253" s="289"/>
      <c r="AR253" s="289"/>
      <c r="AS253" s="289"/>
      <c r="AT253" s="289"/>
      <c r="AU253" s="289"/>
      <c r="AV253" s="289"/>
      <c r="AW253" s="289"/>
      <c r="AX253" s="289"/>
      <c r="AY253" s="289"/>
      <c r="AZ253" s="289"/>
      <c r="BA253" s="289"/>
      <c r="BB253" s="289"/>
      <c r="BC253" s="289"/>
      <c r="BD253" s="289"/>
      <c r="BE253" s="289"/>
      <c r="BF253" s="289"/>
      <c r="BG253" s="289"/>
      <c r="BH253" s="289"/>
      <c r="BI253" s="289"/>
      <c r="BJ253" s="289"/>
    </row>
    <row r="254" spans="1:62">
      <c r="A254" s="328" t="s">
        <v>552</v>
      </c>
      <c r="B254" s="328" t="s">
        <v>553</v>
      </c>
      <c r="C254" s="328" t="s">
        <v>552</v>
      </c>
      <c r="D254" s="328" t="s">
        <v>553</v>
      </c>
      <c r="L254" s="289"/>
      <c r="M254" s="289"/>
      <c r="N254" s="289"/>
      <c r="O254" s="289"/>
      <c r="P254" s="289"/>
      <c r="Q254" s="289"/>
      <c r="R254" s="289"/>
      <c r="S254" s="289"/>
      <c r="T254" s="289"/>
      <c r="U254" s="289"/>
      <c r="V254" s="289"/>
      <c r="W254" s="289"/>
      <c r="X254" s="289"/>
      <c r="Y254" s="289"/>
      <c r="Z254" s="289"/>
      <c r="AA254" s="289"/>
      <c r="AB254" s="289"/>
      <c r="AC254" s="289"/>
      <c r="AD254" s="289"/>
      <c r="AE254" s="289"/>
      <c r="AF254" s="289"/>
      <c r="AG254" s="289"/>
      <c r="AH254" s="289"/>
      <c r="AI254" s="289"/>
      <c r="AJ254" s="289"/>
      <c r="AK254" s="289"/>
      <c r="AL254" s="289"/>
      <c r="AM254" s="289"/>
      <c r="AN254" s="289"/>
      <c r="AO254" s="289"/>
      <c r="AP254" s="289"/>
      <c r="AQ254" s="289"/>
      <c r="AR254" s="289"/>
      <c r="AS254" s="289"/>
      <c r="AT254" s="289"/>
      <c r="AU254" s="289"/>
      <c r="AV254" s="289"/>
      <c r="AW254" s="289"/>
      <c r="AX254" s="289"/>
      <c r="AY254" s="289"/>
      <c r="AZ254" s="289"/>
      <c r="BA254" s="289"/>
      <c r="BB254" s="289"/>
      <c r="BC254" s="289"/>
      <c r="BD254" s="289"/>
      <c r="BE254" s="289"/>
      <c r="BF254" s="289"/>
      <c r="BG254" s="289"/>
      <c r="BH254" s="289"/>
      <c r="BI254" s="289"/>
      <c r="BJ254" s="289"/>
    </row>
    <row r="255" spans="1:62">
      <c r="A255" s="329">
        <v>30</v>
      </c>
      <c r="B255" s="250">
        <v>9</v>
      </c>
      <c r="C255" s="250">
        <f>A255</f>
        <v>30</v>
      </c>
      <c r="D255" s="250">
        <v>2.4</v>
      </c>
      <c r="L255" s="289"/>
      <c r="M255" s="289"/>
      <c r="N255" s="289"/>
      <c r="O255" s="289"/>
      <c r="P255" s="289"/>
      <c r="Q255" s="289"/>
      <c r="R255" s="289"/>
      <c r="S255" s="289"/>
      <c r="T255" s="289"/>
      <c r="U255" s="289"/>
      <c r="V255" s="289"/>
      <c r="W255" s="289"/>
      <c r="X255" s="289"/>
      <c r="Y255" s="289"/>
      <c r="Z255" s="289"/>
      <c r="AA255" s="289"/>
      <c r="AB255" s="289"/>
      <c r="AC255" s="289"/>
      <c r="AD255" s="289"/>
      <c r="AE255" s="289"/>
      <c r="AF255" s="289"/>
      <c r="AG255" s="289"/>
      <c r="AH255" s="289"/>
      <c r="AI255" s="289"/>
      <c r="AJ255" s="289"/>
      <c r="AK255" s="289"/>
      <c r="AL255" s="289"/>
      <c r="AM255" s="289"/>
      <c r="AN255" s="289"/>
      <c r="AO255" s="289"/>
      <c r="AP255" s="289"/>
      <c r="AQ255" s="289"/>
      <c r="AR255" s="289"/>
      <c r="AS255" s="289"/>
      <c r="AT255" s="289"/>
      <c r="AU255" s="289"/>
      <c r="AV255" s="289"/>
      <c r="AW255" s="289"/>
      <c r="AX255" s="289"/>
      <c r="AY255" s="289"/>
      <c r="AZ255" s="289"/>
      <c r="BA255" s="289"/>
      <c r="BB255" s="289"/>
      <c r="BC255" s="289"/>
      <c r="BD255" s="289"/>
      <c r="BE255" s="289"/>
      <c r="BF255" s="289"/>
      <c r="BG255" s="289"/>
      <c r="BH255" s="289"/>
      <c r="BI255" s="289"/>
      <c r="BJ255" s="289"/>
    </row>
    <row r="256" spans="1:62">
      <c r="A256" s="329">
        <v>35</v>
      </c>
      <c r="B256" s="250">
        <v>10.4</v>
      </c>
      <c r="C256" s="250">
        <f t="shared" ref="C256:C269" si="83">A256</f>
        <v>35</v>
      </c>
      <c r="D256" s="250">
        <v>3.8</v>
      </c>
      <c r="L256" s="289"/>
      <c r="M256" s="289"/>
      <c r="N256" s="289"/>
      <c r="O256" s="289"/>
      <c r="P256" s="289"/>
      <c r="Q256" s="289"/>
      <c r="R256" s="289"/>
      <c r="S256" s="289"/>
      <c r="T256" s="289"/>
      <c r="U256" s="289"/>
      <c r="V256" s="289"/>
      <c r="W256" s="289"/>
      <c r="X256" s="289"/>
      <c r="Y256" s="289"/>
      <c r="Z256" s="289"/>
      <c r="AA256" s="289"/>
      <c r="AB256" s="289"/>
      <c r="AC256" s="289"/>
      <c r="AD256" s="289"/>
      <c r="AE256" s="289"/>
      <c r="AF256" s="289"/>
      <c r="AG256" s="289"/>
      <c r="AH256" s="289"/>
      <c r="AI256" s="289"/>
      <c r="AJ256" s="289"/>
      <c r="AK256" s="289"/>
      <c r="AL256" s="289"/>
      <c r="AM256" s="289"/>
      <c r="AN256" s="289"/>
      <c r="AO256" s="289"/>
      <c r="AP256" s="289"/>
      <c r="AQ256" s="289"/>
      <c r="AR256" s="289"/>
      <c r="AS256" s="289"/>
      <c r="AT256" s="289"/>
      <c r="AU256" s="289"/>
      <c r="AV256" s="289"/>
      <c r="AW256" s="289"/>
      <c r="AX256" s="289"/>
      <c r="AY256" s="289"/>
      <c r="AZ256" s="289"/>
      <c r="BA256" s="289"/>
      <c r="BB256" s="289"/>
      <c r="BC256" s="289"/>
      <c r="BD256" s="289"/>
      <c r="BE256" s="289"/>
      <c r="BF256" s="289"/>
      <c r="BG256" s="289"/>
      <c r="BH256" s="289"/>
      <c r="BI256" s="289"/>
      <c r="BJ256" s="289"/>
    </row>
    <row r="257" spans="1:62">
      <c r="A257" s="329">
        <v>40</v>
      </c>
      <c r="B257" s="250">
        <v>12.1</v>
      </c>
      <c r="C257" s="250">
        <f t="shared" si="83"/>
        <v>40</v>
      </c>
      <c r="D257" s="250">
        <v>5.6</v>
      </c>
      <c r="L257" s="289"/>
      <c r="M257" s="289"/>
      <c r="N257" s="289"/>
      <c r="O257" s="289"/>
      <c r="P257" s="289"/>
      <c r="Q257" s="289"/>
      <c r="R257" s="289"/>
      <c r="S257" s="289"/>
      <c r="T257" s="289"/>
      <c r="U257" s="289"/>
      <c r="V257" s="289"/>
      <c r="W257" s="289"/>
      <c r="X257" s="289"/>
      <c r="Y257" s="289"/>
      <c r="Z257" s="289"/>
      <c r="AA257" s="289"/>
      <c r="AB257" s="289"/>
      <c r="AC257" s="289"/>
      <c r="AD257" s="289"/>
      <c r="AE257" s="289"/>
      <c r="AF257" s="289"/>
      <c r="AG257" s="289"/>
      <c r="AH257" s="289"/>
      <c r="AI257" s="289"/>
      <c r="AJ257" s="289"/>
      <c r="AK257" s="289"/>
      <c r="AL257" s="289"/>
      <c r="AM257" s="289"/>
      <c r="AN257" s="289"/>
      <c r="AO257" s="289"/>
      <c r="AP257" s="289"/>
      <c r="AQ257" s="289"/>
      <c r="AR257" s="289"/>
      <c r="AS257" s="289"/>
      <c r="AT257" s="289"/>
      <c r="AU257" s="289"/>
      <c r="AV257" s="289"/>
      <c r="AW257" s="289"/>
      <c r="AX257" s="289"/>
      <c r="AY257" s="289"/>
      <c r="AZ257" s="289"/>
      <c r="BA257" s="289"/>
      <c r="BB257" s="289"/>
      <c r="BC257" s="289"/>
      <c r="BD257" s="289"/>
      <c r="BE257" s="289"/>
      <c r="BF257" s="289"/>
      <c r="BG257" s="289"/>
      <c r="BH257" s="289"/>
      <c r="BI257" s="289"/>
      <c r="BJ257" s="289"/>
    </row>
    <row r="258" spans="1:62">
      <c r="A258" s="329">
        <v>45</v>
      </c>
      <c r="B258" s="250">
        <v>13.7</v>
      </c>
      <c r="C258" s="250">
        <f t="shared" si="83"/>
        <v>45</v>
      </c>
      <c r="D258" s="250">
        <v>7.9</v>
      </c>
      <c r="L258" s="289"/>
      <c r="M258" s="289"/>
      <c r="N258" s="289"/>
      <c r="O258" s="289"/>
      <c r="P258" s="289"/>
      <c r="Q258" s="289"/>
      <c r="R258" s="289"/>
      <c r="S258" s="289"/>
      <c r="T258" s="289"/>
      <c r="U258" s="289"/>
      <c r="V258" s="289"/>
      <c r="W258" s="289"/>
      <c r="X258" s="289"/>
      <c r="Y258" s="289"/>
      <c r="Z258" s="289"/>
      <c r="AA258" s="289"/>
      <c r="AB258" s="289"/>
      <c r="AC258" s="289"/>
      <c r="AD258" s="289"/>
      <c r="AE258" s="289"/>
      <c r="AF258" s="289"/>
      <c r="AG258" s="289"/>
      <c r="AH258" s="289"/>
      <c r="AI258" s="289"/>
      <c r="AJ258" s="289"/>
      <c r="AK258" s="289"/>
      <c r="AL258" s="289"/>
      <c r="AM258" s="289"/>
      <c r="AN258" s="289"/>
      <c r="AO258" s="289"/>
      <c r="AP258" s="289"/>
      <c r="AQ258" s="289"/>
      <c r="AR258" s="289"/>
      <c r="AS258" s="289"/>
      <c r="AT258" s="289"/>
      <c r="AU258" s="289"/>
      <c r="AV258" s="289"/>
      <c r="AW258" s="289"/>
      <c r="AX258" s="289"/>
      <c r="AY258" s="289"/>
      <c r="AZ258" s="289"/>
      <c r="BA258" s="289"/>
      <c r="BB258" s="289"/>
      <c r="BC258" s="289"/>
      <c r="BD258" s="289"/>
      <c r="BE258" s="289"/>
      <c r="BF258" s="289"/>
      <c r="BG258" s="289"/>
      <c r="BH258" s="289"/>
      <c r="BI258" s="289"/>
      <c r="BJ258" s="289"/>
    </row>
    <row r="259" spans="1:62">
      <c r="A259" s="329">
        <v>50</v>
      </c>
      <c r="B259" s="250">
        <v>15.2</v>
      </c>
      <c r="C259" s="250">
        <f t="shared" si="83"/>
        <v>50</v>
      </c>
      <c r="D259" s="250">
        <v>10.6</v>
      </c>
      <c r="L259" s="289"/>
      <c r="M259" s="289"/>
      <c r="N259" s="289"/>
      <c r="O259" s="289"/>
      <c r="P259" s="289"/>
      <c r="Q259" s="289"/>
      <c r="R259" s="289"/>
      <c r="S259" s="289"/>
      <c r="T259" s="289"/>
      <c r="U259" s="289"/>
      <c r="V259" s="289"/>
      <c r="W259" s="289"/>
      <c r="X259" s="289"/>
      <c r="Y259" s="289"/>
      <c r="Z259" s="289"/>
      <c r="AA259" s="289"/>
      <c r="AB259" s="289"/>
      <c r="AC259" s="289"/>
      <c r="AD259" s="289"/>
      <c r="AE259" s="289"/>
      <c r="AF259" s="289"/>
      <c r="AG259" s="289"/>
      <c r="AH259" s="289"/>
      <c r="AI259" s="289"/>
      <c r="AJ259" s="289"/>
      <c r="AK259" s="289"/>
      <c r="AL259" s="289"/>
      <c r="AM259" s="289"/>
      <c r="AN259" s="289"/>
      <c r="AO259" s="289"/>
      <c r="AP259" s="289"/>
      <c r="AQ259" s="289"/>
      <c r="AR259" s="289"/>
      <c r="AS259" s="289"/>
      <c r="AT259" s="289"/>
      <c r="AU259" s="289"/>
      <c r="AV259" s="289"/>
      <c r="AW259" s="289"/>
      <c r="AX259" s="289"/>
      <c r="AY259" s="289"/>
      <c r="AZ259" s="289"/>
      <c r="BA259" s="289"/>
      <c r="BB259" s="289"/>
      <c r="BC259" s="289"/>
      <c r="BD259" s="289"/>
      <c r="BE259" s="289"/>
      <c r="BF259" s="289"/>
      <c r="BG259" s="289"/>
      <c r="BH259" s="289"/>
      <c r="BI259" s="289"/>
      <c r="BJ259" s="289"/>
    </row>
    <row r="260" spans="1:62">
      <c r="A260" s="330">
        <v>55</v>
      </c>
      <c r="B260" s="250">
        <v>20.5</v>
      </c>
      <c r="C260" s="250">
        <f t="shared" si="83"/>
        <v>55</v>
      </c>
      <c r="D260" s="250">
        <v>14.4</v>
      </c>
      <c r="L260" s="289"/>
      <c r="M260" s="289"/>
      <c r="N260" s="289"/>
      <c r="O260" s="289"/>
      <c r="P260" s="289"/>
      <c r="Q260" s="289"/>
      <c r="R260" s="289"/>
      <c r="S260" s="289"/>
      <c r="T260" s="289"/>
      <c r="U260" s="289"/>
      <c r="V260" s="289"/>
      <c r="W260" s="289"/>
      <c r="X260" s="289"/>
      <c r="Y260" s="289"/>
      <c r="Z260" s="289"/>
      <c r="AA260" s="289"/>
      <c r="AB260" s="289"/>
      <c r="AC260" s="289"/>
      <c r="AD260" s="289"/>
      <c r="AE260" s="289"/>
      <c r="AF260" s="289"/>
      <c r="AG260" s="289"/>
      <c r="AH260" s="289"/>
      <c r="AI260" s="289"/>
      <c r="AJ260" s="289"/>
      <c r="AK260" s="289"/>
      <c r="AL260" s="289"/>
      <c r="AM260" s="289"/>
      <c r="AN260" s="289"/>
      <c r="AO260" s="289"/>
      <c r="AP260" s="289"/>
      <c r="AQ260" s="289"/>
      <c r="AR260" s="289"/>
      <c r="AS260" s="289"/>
      <c r="AT260" s="289"/>
      <c r="AU260" s="289"/>
      <c r="AV260" s="289"/>
      <c r="AW260" s="289"/>
      <c r="AX260" s="289"/>
      <c r="AY260" s="289"/>
      <c r="AZ260" s="289"/>
      <c r="BA260" s="289"/>
      <c r="BB260" s="289"/>
      <c r="BC260" s="289"/>
      <c r="BD260" s="289"/>
      <c r="BE260" s="289"/>
      <c r="BF260" s="289"/>
      <c r="BG260" s="289"/>
      <c r="BH260" s="289"/>
      <c r="BI260" s="289"/>
      <c r="BJ260" s="289"/>
    </row>
    <row r="261" spans="1:62">
      <c r="A261" s="330">
        <v>60</v>
      </c>
      <c r="B261" s="250">
        <v>26.5</v>
      </c>
      <c r="C261" s="250">
        <f t="shared" si="83"/>
        <v>60</v>
      </c>
      <c r="D261" s="250">
        <v>18.3</v>
      </c>
      <c r="L261" s="289"/>
      <c r="M261" s="289"/>
      <c r="N261" s="289"/>
      <c r="O261" s="289"/>
      <c r="P261" s="289"/>
      <c r="Q261" s="289"/>
      <c r="R261" s="289"/>
      <c r="S261" s="289"/>
      <c r="T261" s="289"/>
      <c r="U261" s="289"/>
      <c r="V261" s="289"/>
      <c r="W261" s="289"/>
      <c r="X261" s="289"/>
      <c r="Y261" s="289"/>
      <c r="Z261" s="289"/>
      <c r="AA261" s="289"/>
      <c r="AB261" s="289"/>
      <c r="AC261" s="289"/>
      <c r="AD261" s="289"/>
      <c r="AE261" s="289"/>
      <c r="AF261" s="289"/>
      <c r="AG261" s="289"/>
      <c r="AH261" s="289"/>
      <c r="AI261" s="289"/>
      <c r="AJ261" s="289"/>
      <c r="AK261" s="289"/>
      <c r="AL261" s="289"/>
      <c r="AM261" s="289"/>
      <c r="AN261" s="289"/>
      <c r="AO261" s="289"/>
      <c r="AP261" s="289"/>
      <c r="AQ261" s="289"/>
      <c r="AR261" s="289"/>
      <c r="AS261" s="289"/>
      <c r="AT261" s="289"/>
      <c r="AU261" s="289"/>
      <c r="AV261" s="289"/>
      <c r="AW261" s="289"/>
      <c r="AX261" s="289"/>
      <c r="AY261" s="289"/>
      <c r="AZ261" s="289"/>
      <c r="BA261" s="289"/>
      <c r="BB261" s="289"/>
      <c r="BC261" s="289"/>
      <c r="BD261" s="289"/>
      <c r="BE261" s="289"/>
      <c r="BF261" s="289"/>
      <c r="BG261" s="289"/>
      <c r="BH261" s="289"/>
      <c r="BI261" s="289"/>
      <c r="BJ261" s="289"/>
    </row>
    <row r="262" spans="1:62">
      <c r="A262" s="330">
        <v>65</v>
      </c>
      <c r="B262" s="250">
        <v>33.6</v>
      </c>
      <c r="C262" s="250">
        <f t="shared" si="83"/>
        <v>65</v>
      </c>
      <c r="D262" s="250">
        <v>23.1</v>
      </c>
      <c r="L262" s="289"/>
      <c r="M262" s="289"/>
      <c r="N262" s="289"/>
      <c r="O262" s="289"/>
      <c r="P262" s="289"/>
      <c r="Q262" s="289"/>
      <c r="R262" s="289"/>
      <c r="S262" s="289"/>
      <c r="T262" s="289"/>
      <c r="U262" s="289"/>
      <c r="V262" s="289"/>
      <c r="W262" s="289"/>
      <c r="X262" s="289"/>
      <c r="Y262" s="289"/>
      <c r="Z262" s="289"/>
      <c r="AA262" s="289"/>
      <c r="AB262" s="289"/>
      <c r="AC262" s="289"/>
      <c r="AD262" s="289"/>
      <c r="AE262" s="289"/>
      <c r="AF262" s="289"/>
      <c r="AG262" s="289"/>
      <c r="AH262" s="289"/>
      <c r="AI262" s="289"/>
      <c r="AJ262" s="289"/>
      <c r="AK262" s="289"/>
      <c r="AL262" s="289"/>
      <c r="AM262" s="289"/>
      <c r="AN262" s="289"/>
      <c r="AO262" s="289"/>
      <c r="AP262" s="289"/>
      <c r="AQ262" s="289"/>
      <c r="AR262" s="289"/>
      <c r="AS262" s="289"/>
      <c r="AT262" s="289"/>
      <c r="AU262" s="289"/>
      <c r="AV262" s="289"/>
      <c r="AW262" s="289"/>
      <c r="AX262" s="289"/>
      <c r="AY262" s="289"/>
      <c r="AZ262" s="289"/>
      <c r="BA262" s="289"/>
      <c r="BB262" s="289"/>
      <c r="BC262" s="289"/>
      <c r="BD262" s="289"/>
      <c r="BE262" s="289"/>
      <c r="BF262" s="289"/>
      <c r="BG262" s="289"/>
      <c r="BH262" s="289"/>
      <c r="BI262" s="289"/>
      <c r="BJ262" s="289"/>
    </row>
    <row r="263" spans="1:62">
      <c r="A263" s="330">
        <v>70</v>
      </c>
      <c r="B263" s="250">
        <v>42.1</v>
      </c>
      <c r="C263" s="250">
        <f t="shared" si="83"/>
        <v>70</v>
      </c>
      <c r="D263" s="250">
        <v>29</v>
      </c>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89"/>
      <c r="AH263" s="289"/>
      <c r="AI263" s="289"/>
      <c r="AJ263" s="289"/>
      <c r="AK263" s="289"/>
      <c r="AL263" s="289"/>
      <c r="AM263" s="289"/>
      <c r="AN263" s="289"/>
      <c r="AO263" s="289"/>
      <c r="AP263" s="289"/>
      <c r="AQ263" s="289"/>
      <c r="AR263" s="289"/>
      <c r="AS263" s="289"/>
      <c r="AT263" s="289"/>
      <c r="AU263" s="289"/>
      <c r="AV263" s="289"/>
      <c r="AW263" s="289"/>
      <c r="AX263" s="289"/>
      <c r="AY263" s="289"/>
      <c r="AZ263" s="289"/>
      <c r="BA263" s="289"/>
      <c r="BB263" s="289"/>
      <c r="BC263" s="289"/>
      <c r="BD263" s="289"/>
      <c r="BE263" s="289"/>
      <c r="BF263" s="289"/>
      <c r="BG263" s="289"/>
      <c r="BH263" s="289"/>
      <c r="BI263" s="289"/>
      <c r="BJ263" s="289"/>
    </row>
    <row r="264" spans="1:62">
      <c r="A264" s="330">
        <v>75</v>
      </c>
      <c r="B264" s="250">
        <v>52.4</v>
      </c>
      <c r="C264" s="250">
        <f t="shared" si="83"/>
        <v>75</v>
      </c>
      <c r="D264" s="250">
        <v>35.700000000000003</v>
      </c>
      <c r="L264" s="289"/>
      <c r="M264" s="289"/>
      <c r="N264" s="289"/>
      <c r="O264" s="289"/>
      <c r="P264" s="289"/>
      <c r="Q264" s="289"/>
      <c r="R264" s="289"/>
      <c r="S264" s="289"/>
      <c r="T264" s="289"/>
      <c r="U264" s="289"/>
      <c r="V264" s="289"/>
      <c r="W264" s="289"/>
      <c r="X264" s="289"/>
      <c r="Y264" s="289"/>
      <c r="Z264" s="289"/>
      <c r="AA264" s="289"/>
      <c r="AB264" s="289"/>
      <c r="AC264" s="289"/>
      <c r="AD264" s="289"/>
      <c r="AE264" s="289"/>
      <c r="AF264" s="289"/>
      <c r="AG264" s="289"/>
      <c r="AH264" s="289"/>
      <c r="AI264" s="289"/>
      <c r="AJ264" s="289"/>
      <c r="AK264" s="289"/>
      <c r="AL264" s="289"/>
      <c r="AM264" s="289"/>
      <c r="AN264" s="289"/>
      <c r="AO264" s="289"/>
      <c r="AP264" s="289"/>
      <c r="AQ264" s="289"/>
      <c r="AR264" s="289"/>
      <c r="AS264" s="289"/>
      <c r="AT264" s="289"/>
      <c r="AU264" s="289"/>
      <c r="AV264" s="289"/>
      <c r="AW264" s="289"/>
      <c r="AX264" s="289"/>
      <c r="AY264" s="289"/>
      <c r="AZ264" s="289"/>
      <c r="BA264" s="289"/>
      <c r="BB264" s="289"/>
      <c r="BC264" s="289"/>
      <c r="BD264" s="289"/>
      <c r="BE264" s="289"/>
      <c r="BF264" s="289"/>
      <c r="BG264" s="289"/>
      <c r="BH264" s="289"/>
      <c r="BI264" s="289"/>
      <c r="BJ264" s="289"/>
    </row>
    <row r="265" spans="1:62">
      <c r="A265" s="330">
        <v>80</v>
      </c>
      <c r="B265" s="250">
        <v>63.3</v>
      </c>
      <c r="C265" s="250">
        <f t="shared" si="83"/>
        <v>80</v>
      </c>
      <c r="D265" s="250">
        <v>43.4</v>
      </c>
      <c r="L265" s="289"/>
      <c r="M265" s="289"/>
      <c r="N265" s="289"/>
      <c r="O265" s="289"/>
      <c r="P265" s="289"/>
      <c r="Q265" s="289"/>
      <c r="R265" s="289"/>
      <c r="S265" s="289"/>
      <c r="T265" s="289"/>
      <c r="U265" s="289"/>
      <c r="V265" s="289"/>
      <c r="W265" s="289"/>
      <c r="X265" s="289"/>
      <c r="Y265" s="289"/>
      <c r="Z265" s="289"/>
      <c r="AA265" s="289"/>
      <c r="AB265" s="289"/>
      <c r="AC265" s="289"/>
      <c r="AD265" s="289"/>
      <c r="AE265" s="289"/>
      <c r="AF265" s="289"/>
      <c r="AG265" s="289"/>
      <c r="AH265" s="289"/>
      <c r="AI265" s="289"/>
      <c r="AJ265" s="289"/>
      <c r="AK265" s="289"/>
      <c r="AL265" s="289"/>
      <c r="AM265" s="289"/>
      <c r="AN265" s="289"/>
      <c r="AO265" s="289"/>
      <c r="AP265" s="289"/>
      <c r="AQ265" s="289"/>
      <c r="AR265" s="289"/>
      <c r="AS265" s="289"/>
      <c r="AT265" s="289"/>
      <c r="AU265" s="289"/>
      <c r="AV265" s="289"/>
      <c r="AW265" s="289"/>
      <c r="AX265" s="289"/>
      <c r="AY265" s="289"/>
      <c r="AZ265" s="289"/>
      <c r="BA265" s="289"/>
      <c r="BB265" s="289"/>
      <c r="BC265" s="289"/>
      <c r="BD265" s="289"/>
      <c r="BE265" s="289"/>
      <c r="BF265" s="289"/>
      <c r="BG265" s="289"/>
      <c r="BH265" s="289"/>
      <c r="BI265" s="289"/>
      <c r="BJ265" s="289"/>
    </row>
    <row r="266" spans="1:62">
      <c r="A266" s="330">
        <v>85</v>
      </c>
      <c r="B266" s="250">
        <v>74.95</v>
      </c>
      <c r="C266" s="250">
        <f t="shared" si="83"/>
        <v>85</v>
      </c>
      <c r="D266" s="250">
        <v>52.2</v>
      </c>
      <c r="L266" s="289"/>
      <c r="M266" s="289"/>
      <c r="N266" s="289"/>
      <c r="O266" s="289"/>
      <c r="P266" s="289"/>
      <c r="Q266" s="289"/>
      <c r="R266" s="289"/>
      <c r="S266" s="289"/>
      <c r="T266" s="289"/>
      <c r="U266" s="289"/>
      <c r="V266" s="289"/>
      <c r="W266" s="289"/>
      <c r="X266" s="289"/>
      <c r="Y266" s="289"/>
      <c r="Z266" s="289"/>
      <c r="AA266" s="289"/>
      <c r="AB266" s="289"/>
      <c r="AC266" s="289"/>
      <c r="AD266" s="289"/>
      <c r="AE266" s="289"/>
      <c r="AF266" s="289"/>
      <c r="AG266" s="289"/>
      <c r="AH266" s="289"/>
      <c r="AI266" s="289"/>
      <c r="AJ266" s="289"/>
      <c r="AK266" s="289"/>
      <c r="AL266" s="289"/>
      <c r="AM266" s="289"/>
      <c r="AN266" s="289"/>
      <c r="AO266" s="289"/>
      <c r="AP266" s="289"/>
      <c r="AQ266" s="289"/>
      <c r="AR266" s="289"/>
      <c r="AS266" s="289"/>
      <c r="AT266" s="289"/>
      <c r="AU266" s="289"/>
      <c r="AV266" s="289"/>
      <c r="AW266" s="289"/>
      <c r="AX266" s="289"/>
      <c r="AY266" s="289"/>
      <c r="AZ266" s="289"/>
      <c r="BA266" s="289"/>
      <c r="BB266" s="289"/>
      <c r="BC266" s="289"/>
      <c r="BD266" s="289"/>
      <c r="BE266" s="289"/>
      <c r="BF266" s="289"/>
      <c r="BG266" s="289"/>
      <c r="BH266" s="289"/>
      <c r="BI266" s="289"/>
      <c r="BJ266" s="289"/>
    </row>
    <row r="267" spans="1:62">
      <c r="A267" s="331">
        <v>90</v>
      </c>
      <c r="B267" s="250">
        <v>89.99</v>
      </c>
      <c r="C267" s="250">
        <f t="shared" si="83"/>
        <v>90</v>
      </c>
      <c r="D267" s="250">
        <v>61.7</v>
      </c>
      <c r="L267" s="289"/>
      <c r="M267" s="289"/>
      <c r="N267" s="289"/>
      <c r="O267" s="289"/>
      <c r="P267" s="289"/>
      <c r="Q267" s="289"/>
      <c r="R267" s="289"/>
      <c r="S267" s="289"/>
      <c r="T267" s="289"/>
      <c r="U267" s="289"/>
      <c r="V267" s="289"/>
      <c r="W267" s="289"/>
      <c r="X267" s="289"/>
      <c r="Y267" s="289"/>
      <c r="Z267" s="289"/>
      <c r="AA267" s="289"/>
      <c r="AB267" s="289"/>
      <c r="AC267" s="289"/>
      <c r="AD267" s="289"/>
      <c r="AE267" s="289"/>
      <c r="AF267" s="289"/>
      <c r="AG267" s="289"/>
      <c r="AH267" s="289"/>
      <c r="AI267" s="289"/>
      <c r="AJ267" s="289"/>
      <c r="AK267" s="289"/>
      <c r="AL267" s="289"/>
      <c r="AM267" s="289"/>
      <c r="AN267" s="289"/>
      <c r="AO267" s="289"/>
      <c r="AP267" s="289"/>
      <c r="AQ267" s="289"/>
      <c r="AR267" s="289"/>
      <c r="AS267" s="289"/>
      <c r="AT267" s="289"/>
      <c r="AU267" s="289"/>
      <c r="AV267" s="289"/>
      <c r="AW267" s="289"/>
      <c r="AX267" s="289"/>
      <c r="AY267" s="289"/>
      <c r="AZ267" s="289"/>
      <c r="BA267" s="289"/>
      <c r="BB267" s="289"/>
      <c r="BC267" s="289"/>
      <c r="BD267" s="289"/>
      <c r="BE267" s="289"/>
      <c r="BF267" s="289"/>
      <c r="BG267" s="289"/>
      <c r="BH267" s="289"/>
      <c r="BI267" s="289"/>
      <c r="BJ267" s="289"/>
    </row>
    <row r="268" spans="1:62">
      <c r="A268" s="331">
        <v>95</v>
      </c>
      <c r="B268" s="250">
        <v>95.2</v>
      </c>
      <c r="C268" s="250">
        <f t="shared" si="83"/>
        <v>95</v>
      </c>
      <c r="D268" s="250">
        <v>73</v>
      </c>
      <c r="L268" s="289"/>
      <c r="M268" s="289"/>
      <c r="N268" s="289"/>
      <c r="O268" s="289"/>
      <c r="P268" s="289"/>
      <c r="Q268" s="289"/>
      <c r="R268" s="289"/>
      <c r="S268" s="289"/>
      <c r="T268" s="289"/>
      <c r="U268" s="289"/>
      <c r="V268" s="289"/>
      <c r="W268" s="289"/>
      <c r="X268" s="289"/>
      <c r="Y268" s="289"/>
      <c r="Z268" s="289"/>
      <c r="AA268" s="289"/>
      <c r="AB268" s="289"/>
      <c r="AC268" s="289"/>
      <c r="AD268" s="289"/>
      <c r="AE268" s="289"/>
      <c r="AF268" s="289"/>
      <c r="AG268" s="289"/>
      <c r="AH268" s="289"/>
      <c r="AI268" s="289"/>
      <c r="AJ268" s="289"/>
      <c r="AK268" s="289"/>
      <c r="AL268" s="289"/>
      <c r="AM268" s="289"/>
      <c r="AN268" s="289"/>
      <c r="AO268" s="289"/>
      <c r="AP268" s="289"/>
      <c r="AQ268" s="289"/>
      <c r="AR268" s="289"/>
      <c r="AS268" s="289"/>
      <c r="AT268" s="289"/>
      <c r="AU268" s="289"/>
      <c r="AV268" s="289"/>
      <c r="AW268" s="289"/>
      <c r="AX268" s="289"/>
      <c r="AY268" s="289"/>
      <c r="AZ268" s="289"/>
      <c r="BA268" s="289"/>
      <c r="BB268" s="289"/>
      <c r="BC268" s="289"/>
      <c r="BD268" s="289"/>
      <c r="BE268" s="289"/>
      <c r="BF268" s="289"/>
      <c r="BG268" s="289"/>
      <c r="BH268" s="289"/>
      <c r="BI268" s="289"/>
      <c r="BJ268" s="289"/>
    </row>
    <row r="269" spans="1:62">
      <c r="A269" s="331">
        <v>100</v>
      </c>
      <c r="B269" s="250">
        <v>100</v>
      </c>
      <c r="C269" s="250">
        <f t="shared" si="83"/>
        <v>100</v>
      </c>
      <c r="D269" s="250">
        <v>85</v>
      </c>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289"/>
      <c r="AH269" s="289"/>
      <c r="AI269" s="289"/>
      <c r="AJ269" s="289"/>
      <c r="AK269" s="289"/>
      <c r="AL269" s="289"/>
      <c r="AM269" s="289"/>
      <c r="AN269" s="289"/>
      <c r="AO269" s="289"/>
      <c r="AP269" s="289"/>
      <c r="AQ269" s="289"/>
      <c r="AR269" s="289"/>
      <c r="AS269" s="289"/>
      <c r="AT269" s="289"/>
      <c r="AU269" s="289"/>
      <c r="AV269" s="289"/>
      <c r="AW269" s="289"/>
      <c r="AX269" s="289"/>
      <c r="AY269" s="289"/>
      <c r="AZ269" s="289"/>
      <c r="BA269" s="289"/>
      <c r="BB269" s="289"/>
      <c r="BC269" s="289"/>
      <c r="BD269" s="289"/>
      <c r="BE269" s="289"/>
      <c r="BF269" s="289"/>
      <c r="BG269" s="289"/>
      <c r="BH269" s="289"/>
      <c r="BI269" s="289"/>
      <c r="BJ269" s="289"/>
    </row>
    <row r="270" spans="1:62">
      <c r="A270" s="329">
        <v>105</v>
      </c>
      <c r="B270" s="250">
        <v>100</v>
      </c>
      <c r="C270" s="250">
        <v>105</v>
      </c>
      <c r="D270" s="250">
        <v>100</v>
      </c>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89"/>
      <c r="AH270" s="289"/>
      <c r="AI270" s="289"/>
      <c r="AJ270" s="289"/>
      <c r="AK270" s="289"/>
      <c r="AL270" s="289"/>
      <c r="AM270" s="289"/>
      <c r="AN270" s="289"/>
      <c r="AO270" s="289"/>
      <c r="AP270" s="289"/>
      <c r="AQ270" s="289"/>
      <c r="AR270" s="289"/>
      <c r="AS270" s="289"/>
      <c r="AT270" s="289"/>
      <c r="AU270" s="289"/>
      <c r="AV270" s="289"/>
      <c r="AW270" s="289"/>
      <c r="AX270" s="289"/>
      <c r="AY270" s="289"/>
      <c r="AZ270" s="289"/>
      <c r="BA270" s="289"/>
      <c r="BB270" s="289"/>
      <c r="BC270" s="289"/>
      <c r="BD270" s="289"/>
      <c r="BE270" s="289"/>
      <c r="BF270" s="289"/>
      <c r="BG270" s="289"/>
      <c r="BH270" s="289"/>
      <c r="BI270" s="289"/>
      <c r="BJ270" s="289"/>
    </row>
    <row r="271" spans="1:62">
      <c r="A271" s="329">
        <v>15</v>
      </c>
      <c r="B271" s="250">
        <v>105</v>
      </c>
      <c r="C271" s="252"/>
      <c r="D271" s="252"/>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289"/>
      <c r="AH271" s="289"/>
      <c r="AI271" s="289"/>
      <c r="AJ271" s="289"/>
      <c r="AK271" s="289"/>
      <c r="AL271" s="289"/>
      <c r="AM271" s="289"/>
      <c r="AN271" s="289"/>
      <c r="AO271" s="289"/>
      <c r="AP271" s="289"/>
      <c r="AQ271" s="289"/>
      <c r="AR271" s="289"/>
      <c r="AS271" s="289"/>
      <c r="AT271" s="289"/>
      <c r="AU271" s="289"/>
      <c r="AV271" s="289"/>
      <c r="AW271" s="289"/>
      <c r="AX271" s="289"/>
      <c r="AY271" s="289"/>
      <c r="AZ271" s="289"/>
      <c r="BA271" s="289"/>
      <c r="BB271" s="289"/>
      <c r="BC271" s="289"/>
      <c r="BD271" s="289"/>
      <c r="BE271" s="289"/>
      <c r="BF271" s="289"/>
      <c r="BG271" s="289"/>
      <c r="BH271" s="289"/>
      <c r="BI271" s="289"/>
      <c r="BJ271" s="289"/>
    </row>
    <row r="272" spans="1:62">
      <c r="A272" s="329">
        <v>100</v>
      </c>
      <c r="B272" s="250">
        <v>105</v>
      </c>
      <c r="C272" s="252"/>
      <c r="D272" s="252"/>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289"/>
      <c r="AH272" s="289"/>
      <c r="AI272" s="289"/>
      <c r="AJ272" s="289"/>
      <c r="AK272" s="289"/>
      <c r="AL272" s="289"/>
      <c r="AM272" s="289"/>
      <c r="AN272" s="289"/>
      <c r="AO272" s="289"/>
      <c r="AP272" s="289"/>
      <c r="AQ272" s="289"/>
      <c r="AR272" s="289"/>
      <c r="AS272" s="289"/>
      <c r="AT272" s="289"/>
      <c r="AU272" s="289"/>
      <c r="AV272" s="289"/>
      <c r="AW272" s="289"/>
      <c r="AX272" s="289"/>
      <c r="AY272" s="289"/>
      <c r="AZ272" s="289"/>
      <c r="BA272" s="289"/>
      <c r="BB272" s="289"/>
      <c r="BC272" s="289"/>
      <c r="BD272" s="289"/>
      <c r="BE272" s="289"/>
      <c r="BF272" s="289"/>
      <c r="BG272" s="289"/>
      <c r="BH272" s="289"/>
      <c r="BI272" s="289"/>
      <c r="BJ272" s="289"/>
    </row>
    <row r="273" spans="1:62">
      <c r="L273" s="289"/>
      <c r="M273" s="289"/>
      <c r="N273" s="289"/>
      <c r="O273" s="289"/>
      <c r="P273" s="289"/>
      <c r="Q273" s="289"/>
      <c r="R273" s="289"/>
      <c r="S273" s="289"/>
      <c r="T273" s="289"/>
      <c r="U273" s="289"/>
      <c r="V273" s="289"/>
      <c r="W273" s="289"/>
      <c r="X273" s="289"/>
      <c r="Y273" s="289"/>
      <c r="Z273" s="289"/>
      <c r="AA273" s="289"/>
      <c r="AB273" s="289"/>
      <c r="AC273" s="289"/>
      <c r="AD273" s="289"/>
      <c r="AE273" s="289"/>
      <c r="AF273" s="289"/>
      <c r="AG273" s="289"/>
      <c r="AH273" s="289"/>
      <c r="AI273" s="289"/>
      <c r="AJ273" s="289"/>
      <c r="AK273" s="289"/>
      <c r="AL273" s="289"/>
      <c r="AM273" s="289"/>
      <c r="AN273" s="289"/>
      <c r="AO273" s="289"/>
      <c r="AP273" s="289"/>
      <c r="AQ273" s="289"/>
      <c r="AR273" s="289"/>
      <c r="AS273" s="289"/>
      <c r="AT273" s="289"/>
      <c r="AU273" s="289"/>
      <c r="AV273" s="289"/>
      <c r="AW273" s="289"/>
      <c r="AX273" s="289"/>
      <c r="AY273" s="289"/>
      <c r="AZ273" s="289"/>
      <c r="BA273" s="289"/>
      <c r="BB273" s="289"/>
      <c r="BC273" s="289"/>
      <c r="BD273" s="289"/>
      <c r="BE273" s="289"/>
      <c r="BF273" s="289"/>
      <c r="BG273" s="289"/>
      <c r="BH273" s="289"/>
      <c r="BI273" s="289"/>
      <c r="BJ273" s="289"/>
    </row>
    <row r="274" spans="1:62">
      <c r="L274" s="289"/>
      <c r="M274" s="289"/>
      <c r="N274" s="289"/>
      <c r="O274" s="289"/>
      <c r="P274" s="289"/>
      <c r="Q274" s="289"/>
      <c r="R274" s="289"/>
      <c r="S274" s="289"/>
      <c r="T274" s="289"/>
      <c r="U274" s="289"/>
      <c r="V274" s="289"/>
      <c r="W274" s="289"/>
      <c r="X274" s="289"/>
      <c r="Y274" s="289"/>
      <c r="Z274" s="289"/>
      <c r="AA274" s="289"/>
      <c r="AB274" s="289"/>
      <c r="AC274" s="289"/>
      <c r="AD274" s="289"/>
      <c r="AE274" s="289"/>
      <c r="AF274" s="289"/>
      <c r="AG274" s="289"/>
      <c r="AH274" s="289"/>
      <c r="AI274" s="289"/>
      <c r="AJ274" s="289"/>
      <c r="AK274" s="289"/>
      <c r="AL274" s="289"/>
      <c r="AM274" s="289"/>
      <c r="AN274" s="289"/>
      <c r="AO274" s="289"/>
      <c r="AP274" s="289"/>
      <c r="AQ274" s="289"/>
      <c r="AR274" s="289"/>
      <c r="AS274" s="289"/>
      <c r="AT274" s="289"/>
      <c r="AU274" s="289"/>
      <c r="AV274" s="289"/>
      <c r="AW274" s="289"/>
      <c r="AX274" s="289"/>
      <c r="AY274" s="289"/>
      <c r="AZ274" s="289"/>
      <c r="BA274" s="289"/>
      <c r="BB274" s="289"/>
      <c r="BC274" s="289"/>
      <c r="BD274" s="289"/>
      <c r="BE274" s="289"/>
      <c r="BF274" s="289"/>
      <c r="BG274" s="289"/>
      <c r="BH274" s="289"/>
      <c r="BI274" s="289"/>
      <c r="BJ274" s="289"/>
    </row>
    <row r="275" spans="1:62">
      <c r="L275" s="289"/>
      <c r="M275" s="289"/>
      <c r="N275" s="289"/>
      <c r="O275" s="289"/>
      <c r="P275" s="289"/>
      <c r="Q275" s="289"/>
      <c r="R275" s="289"/>
      <c r="S275" s="289"/>
      <c r="T275" s="289"/>
      <c r="U275" s="289"/>
      <c r="V275" s="289"/>
      <c r="W275" s="289"/>
      <c r="X275" s="289"/>
      <c r="Y275" s="289"/>
      <c r="Z275" s="289"/>
      <c r="AA275" s="289"/>
      <c r="AB275" s="289"/>
      <c r="AC275" s="289"/>
      <c r="AD275" s="289"/>
      <c r="AE275" s="289"/>
      <c r="AF275" s="289"/>
      <c r="AG275" s="289"/>
      <c r="AH275" s="289"/>
      <c r="AI275" s="289"/>
      <c r="AJ275" s="289"/>
      <c r="AK275" s="289"/>
      <c r="AL275" s="289"/>
      <c r="AM275" s="289"/>
      <c r="AN275" s="289"/>
      <c r="AO275" s="289"/>
      <c r="AP275" s="289"/>
      <c r="AQ275" s="289"/>
      <c r="AR275" s="289"/>
      <c r="AS275" s="289"/>
      <c r="AT275" s="289"/>
      <c r="AU275" s="289"/>
      <c r="AV275" s="289"/>
      <c r="AW275" s="289"/>
      <c r="AX275" s="289"/>
      <c r="AY275" s="289"/>
      <c r="AZ275" s="289"/>
      <c r="BA275" s="289"/>
      <c r="BB275" s="289"/>
      <c r="BC275" s="289"/>
      <c r="BD275" s="289"/>
      <c r="BE275" s="289"/>
      <c r="BF275" s="289"/>
      <c r="BG275" s="289"/>
      <c r="BH275" s="289"/>
      <c r="BI275" s="289"/>
      <c r="BJ275" s="289"/>
    </row>
    <row r="276" spans="1:62">
      <c r="L276" s="289"/>
      <c r="M276" s="289"/>
      <c r="N276" s="289"/>
      <c r="O276" s="289"/>
      <c r="P276" s="289"/>
      <c r="Q276" s="289"/>
      <c r="R276" s="289"/>
      <c r="S276" s="289"/>
      <c r="T276" s="289"/>
      <c r="U276" s="289"/>
      <c r="V276" s="289"/>
      <c r="W276" s="289"/>
      <c r="X276" s="289"/>
      <c r="Y276" s="289"/>
      <c r="Z276" s="289"/>
      <c r="AA276" s="289"/>
      <c r="AB276" s="289"/>
      <c r="AC276" s="289"/>
      <c r="AD276" s="289"/>
      <c r="AE276" s="289"/>
      <c r="AF276" s="289"/>
      <c r="AG276" s="289"/>
      <c r="AH276" s="289"/>
      <c r="AI276" s="289"/>
      <c r="AJ276" s="289"/>
      <c r="AK276" s="289"/>
      <c r="AL276" s="289"/>
      <c r="AM276" s="289"/>
      <c r="AN276" s="289"/>
      <c r="AO276" s="289"/>
      <c r="AP276" s="289"/>
      <c r="AQ276" s="289"/>
      <c r="AR276" s="289"/>
      <c r="AS276" s="289"/>
      <c r="AT276" s="289"/>
      <c r="AU276" s="289"/>
      <c r="AV276" s="289"/>
      <c r="AW276" s="289"/>
      <c r="AX276" s="289"/>
      <c r="AY276" s="289"/>
      <c r="AZ276" s="289"/>
      <c r="BA276" s="289"/>
      <c r="BB276" s="289"/>
      <c r="BC276" s="289"/>
      <c r="BD276" s="289"/>
      <c r="BE276" s="289"/>
      <c r="BF276" s="289"/>
      <c r="BG276" s="289"/>
      <c r="BH276" s="289"/>
      <c r="BI276" s="289"/>
      <c r="BJ276" s="289"/>
    </row>
    <row r="277" spans="1:62">
      <c r="A277" s="332"/>
      <c r="E277" s="332"/>
      <c r="F277" s="333"/>
    </row>
    <row r="278" spans="1:62">
      <c r="A278" s="333"/>
      <c r="B278" s="333"/>
      <c r="E278" s="333"/>
      <c r="F278" s="333"/>
    </row>
  </sheetData>
  <mergeCells count="38">
    <mergeCell ref="B101:H102"/>
    <mergeCell ref="A1:I1"/>
    <mergeCell ref="A5:I5"/>
    <mergeCell ref="D6:F6"/>
    <mergeCell ref="A16:I16"/>
    <mergeCell ref="B19:H19"/>
    <mergeCell ref="B20:B21"/>
    <mergeCell ref="C20:H20"/>
    <mergeCell ref="A51:I51"/>
    <mergeCell ref="B56:H56"/>
    <mergeCell ref="B57:B58"/>
    <mergeCell ref="C57:H57"/>
    <mergeCell ref="A100:I100"/>
    <mergeCell ref="B153:F153"/>
    <mergeCell ref="B183:F183"/>
    <mergeCell ref="A192:J192"/>
    <mergeCell ref="A194:A195"/>
    <mergeCell ref="B194:B195"/>
    <mergeCell ref="C194:C195"/>
    <mergeCell ref="D194:D195"/>
    <mergeCell ref="E194:E195"/>
    <mergeCell ref="F194:F195"/>
    <mergeCell ref="G194:G195"/>
    <mergeCell ref="I203:I204"/>
    <mergeCell ref="A213:J213"/>
    <mergeCell ref="A234:I234"/>
    <mergeCell ref="A236:D236"/>
    <mergeCell ref="A223:A224"/>
    <mergeCell ref="B223:B224"/>
    <mergeCell ref="H223:H224"/>
    <mergeCell ref="I223:I224"/>
    <mergeCell ref="A203:A204"/>
    <mergeCell ref="B203:B204"/>
    <mergeCell ref="A240:B240"/>
    <mergeCell ref="C240:D240"/>
    <mergeCell ref="A253:B253"/>
    <mergeCell ref="C253:D253"/>
    <mergeCell ref="H203:H204"/>
  </mergeCells>
  <pageMargins left="0.7" right="0.7" top="0.75" bottom="0.75" header="0.3" footer="0.3"/>
  <pageSetup orientation="portrait" horizontalDpi="4294967293"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2F4A-3D8D-4188-912A-17CC1F9252B5}">
  <dimension ref="A2:BM61"/>
  <sheetViews>
    <sheetView zoomScale="70" zoomScaleNormal="70" zoomScaleSheetLayoutView="85" workbookViewId="0">
      <selection activeCell="T8" sqref="T8"/>
    </sheetView>
  </sheetViews>
  <sheetFormatPr defaultColWidth="9.109375" defaultRowHeight="14.4"/>
  <cols>
    <col min="1" max="9" width="9.109375" style="206"/>
    <col min="10" max="10" width="9.33203125" style="206" bestFit="1" customWidth="1"/>
    <col min="11" max="12" width="9.6640625" style="206" customWidth="1"/>
    <col min="13" max="15" width="9.33203125" style="206" bestFit="1" customWidth="1"/>
    <col min="16" max="16" width="7.5546875" style="206" customWidth="1"/>
    <col min="17" max="18" width="11.44140625" style="206" customWidth="1"/>
    <col min="19" max="22" width="9.33203125" style="206" bestFit="1" customWidth="1"/>
    <col min="23" max="24" width="10.33203125" style="206" customWidth="1"/>
    <col min="25" max="25" width="9.33203125" style="206" bestFit="1" customWidth="1"/>
    <col min="26" max="28" width="9.109375" style="206"/>
    <col min="29" max="30" width="9.6640625" style="206" customWidth="1"/>
    <col min="31" max="34" width="9.109375" style="206"/>
    <col min="35" max="36" width="10" style="206" customWidth="1"/>
    <col min="37" max="40" width="9.109375" style="206"/>
    <col min="41" max="42" width="10" style="206" customWidth="1"/>
    <col min="43" max="46" width="9.109375" style="206"/>
    <col min="47" max="48" width="10.109375" style="206" customWidth="1"/>
    <col min="49" max="16384" width="9.109375" style="206"/>
  </cols>
  <sheetData>
    <row r="2" spans="1:65" ht="16.2">
      <c r="A2" s="792" t="s">
        <v>564</v>
      </c>
      <c r="B2" s="792"/>
      <c r="C2" s="792"/>
      <c r="D2" s="792"/>
      <c r="E2" s="792"/>
      <c r="G2" s="792" t="s">
        <v>442</v>
      </c>
      <c r="H2" s="792"/>
      <c r="I2" s="792"/>
      <c r="J2" s="792"/>
      <c r="K2" s="792"/>
      <c r="L2" s="205"/>
      <c r="M2" s="792" t="s">
        <v>443</v>
      </c>
      <c r="N2" s="792"/>
      <c r="O2" s="792"/>
      <c r="P2" s="792"/>
      <c r="Q2" s="792"/>
      <c r="R2" s="205"/>
      <c r="S2" s="790" t="s">
        <v>444</v>
      </c>
      <c r="T2" s="790"/>
      <c r="U2" s="790"/>
      <c r="V2" s="790"/>
      <c r="W2" s="790"/>
      <c r="X2" s="205"/>
      <c r="Y2" s="792" t="s">
        <v>445</v>
      </c>
      <c r="Z2" s="792"/>
      <c r="AA2" s="792"/>
      <c r="AB2" s="792"/>
      <c r="AC2" s="792"/>
      <c r="AD2" s="205"/>
      <c r="AE2" s="790" t="s">
        <v>446</v>
      </c>
      <c r="AF2" s="790"/>
      <c r="AG2" s="790"/>
      <c r="AH2" s="790"/>
      <c r="AI2" s="790"/>
      <c r="AJ2" s="205"/>
      <c r="AK2" s="790" t="s">
        <v>447</v>
      </c>
      <c r="AL2" s="790"/>
      <c r="AM2" s="790"/>
      <c r="AN2" s="790"/>
      <c r="AO2" s="790"/>
      <c r="AP2" s="205"/>
      <c r="AQ2" s="790" t="s">
        <v>448</v>
      </c>
      <c r="AR2" s="790"/>
      <c r="AS2" s="790"/>
      <c r="AT2" s="790"/>
      <c r="AU2" s="790"/>
      <c r="AV2" s="205"/>
      <c r="AW2" s="790" t="s">
        <v>449</v>
      </c>
      <c r="AX2" s="790"/>
      <c r="AY2" s="790"/>
      <c r="AZ2" s="790"/>
      <c r="BA2" s="790"/>
      <c r="BB2" s="205"/>
      <c r="BC2" s="790" t="s">
        <v>450</v>
      </c>
      <c r="BD2" s="790"/>
      <c r="BE2" s="790"/>
      <c r="BF2" s="790"/>
      <c r="BG2" s="790"/>
      <c r="BH2" s="205"/>
      <c r="BI2" s="790" t="s">
        <v>451</v>
      </c>
      <c r="BJ2" s="790"/>
      <c r="BK2" s="790"/>
      <c r="BL2" s="790"/>
      <c r="BM2" s="790"/>
    </row>
    <row r="3" spans="1:65" ht="16.2">
      <c r="A3" s="207"/>
      <c r="B3" s="207"/>
      <c r="C3" s="207"/>
      <c r="D3" s="208"/>
      <c r="G3" s="207"/>
      <c r="H3" s="207"/>
      <c r="I3" s="207"/>
      <c r="J3" s="208"/>
      <c r="M3" s="209"/>
      <c r="N3" s="209"/>
      <c r="O3" s="209"/>
      <c r="P3" s="209"/>
      <c r="Q3" s="209"/>
      <c r="S3" s="205"/>
      <c r="T3" s="205"/>
      <c r="U3" s="205"/>
      <c r="V3" s="205"/>
      <c r="W3" s="205"/>
      <c r="X3" s="207"/>
      <c r="Y3" s="210"/>
      <c r="Z3" s="211"/>
      <c r="AA3" s="211"/>
      <c r="AB3" s="211"/>
      <c r="AC3" s="212"/>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row>
    <row r="4" spans="1:65" ht="16.2">
      <c r="A4" s="213" t="s">
        <v>452</v>
      </c>
      <c r="B4" s="213" t="s">
        <v>453</v>
      </c>
      <c r="C4" s="213" t="s">
        <v>454</v>
      </c>
      <c r="D4" s="213" t="s">
        <v>455</v>
      </c>
      <c r="E4" s="213" t="s">
        <v>456</v>
      </c>
      <c r="G4" s="213" t="s">
        <v>452</v>
      </c>
      <c r="H4" s="213" t="s">
        <v>453</v>
      </c>
      <c r="I4" s="213" t="s">
        <v>454</v>
      </c>
      <c r="J4" s="213" t="s">
        <v>455</v>
      </c>
      <c r="K4" s="213" t="s">
        <v>456</v>
      </c>
      <c r="L4" s="205"/>
      <c r="M4" s="213" t="s">
        <v>452</v>
      </c>
      <c r="N4" s="213" t="s">
        <v>453</v>
      </c>
      <c r="O4" s="213" t="s">
        <v>454</v>
      </c>
      <c r="P4" s="213" t="s">
        <v>455</v>
      </c>
      <c r="Q4" s="213" t="s">
        <v>456</v>
      </c>
      <c r="R4" s="205"/>
      <c r="S4" s="213" t="s">
        <v>452</v>
      </c>
      <c r="T4" s="213" t="s">
        <v>453</v>
      </c>
      <c r="U4" s="213" t="s">
        <v>454</v>
      </c>
      <c r="V4" s="213" t="s">
        <v>455</v>
      </c>
      <c r="W4" s="213" t="s">
        <v>456</v>
      </c>
      <c r="X4" s="205"/>
      <c r="Y4" s="213" t="s">
        <v>452</v>
      </c>
      <c r="Z4" s="213" t="s">
        <v>453</v>
      </c>
      <c r="AA4" s="213" t="s">
        <v>454</v>
      </c>
      <c r="AB4" s="213" t="s">
        <v>455</v>
      </c>
      <c r="AC4" s="213" t="s">
        <v>456</v>
      </c>
      <c r="AD4" s="205"/>
      <c r="AE4" s="213" t="s">
        <v>452</v>
      </c>
      <c r="AF4" s="213" t="s">
        <v>453</v>
      </c>
      <c r="AG4" s="213" t="s">
        <v>454</v>
      </c>
      <c r="AH4" s="213" t="s">
        <v>455</v>
      </c>
      <c r="AI4" s="213" t="s">
        <v>456</v>
      </c>
      <c r="AJ4" s="205"/>
      <c r="AK4" s="213" t="s">
        <v>452</v>
      </c>
      <c r="AL4" s="213" t="s">
        <v>453</v>
      </c>
      <c r="AM4" s="213" t="s">
        <v>454</v>
      </c>
      <c r="AN4" s="213" t="s">
        <v>455</v>
      </c>
      <c r="AO4" s="213" t="s">
        <v>456</v>
      </c>
      <c r="AP4" s="205"/>
      <c r="AQ4" s="213" t="s">
        <v>452</v>
      </c>
      <c r="AR4" s="213" t="s">
        <v>453</v>
      </c>
      <c r="AS4" s="213" t="s">
        <v>454</v>
      </c>
      <c r="AT4" s="213" t="s">
        <v>455</v>
      </c>
      <c r="AU4" s="213" t="s">
        <v>456</v>
      </c>
      <c r="AV4" s="205"/>
      <c r="AW4" s="213" t="s">
        <v>452</v>
      </c>
      <c r="AX4" s="213" t="s">
        <v>453</v>
      </c>
      <c r="AY4" s="213" t="s">
        <v>454</v>
      </c>
      <c r="AZ4" s="213" t="s">
        <v>455</v>
      </c>
      <c r="BA4" s="213" t="s">
        <v>456</v>
      </c>
      <c r="BB4" s="205"/>
      <c r="BC4" s="213" t="s">
        <v>452</v>
      </c>
      <c r="BD4" s="213" t="s">
        <v>453</v>
      </c>
      <c r="BE4" s="213" t="s">
        <v>454</v>
      </c>
      <c r="BF4" s="213" t="s">
        <v>455</v>
      </c>
      <c r="BG4" s="213" t="s">
        <v>456</v>
      </c>
      <c r="BH4" s="205"/>
      <c r="BI4" s="213" t="s">
        <v>452</v>
      </c>
      <c r="BJ4" s="213" t="s">
        <v>453</v>
      </c>
      <c r="BK4" s="213" t="s">
        <v>454</v>
      </c>
      <c r="BL4" s="213" t="s">
        <v>455</v>
      </c>
      <c r="BM4" s="213" t="s">
        <v>456</v>
      </c>
    </row>
    <row r="5" spans="1:65" ht="16.2">
      <c r="A5" s="214">
        <v>-2</v>
      </c>
      <c r="B5" s="214">
        <v>0</v>
      </c>
      <c r="C5" s="214">
        <v>0</v>
      </c>
      <c r="D5" s="214">
        <v>0.3</v>
      </c>
      <c r="E5" s="214">
        <f>C5*D5</f>
        <v>0</v>
      </c>
      <c r="G5" s="214">
        <v>-2</v>
      </c>
      <c r="H5" s="214">
        <v>0</v>
      </c>
      <c r="I5" s="214">
        <v>0</v>
      </c>
      <c r="J5" s="214">
        <v>0.3</v>
      </c>
      <c r="K5" s="214">
        <f>I5*J5</f>
        <v>0</v>
      </c>
      <c r="L5" s="205"/>
      <c r="M5" s="214">
        <v>-2</v>
      </c>
      <c r="N5" s="214">
        <v>0</v>
      </c>
      <c r="O5" s="214">
        <v>0</v>
      </c>
      <c r="P5" s="214">
        <v>0.3</v>
      </c>
      <c r="Q5" s="214">
        <f>O5*P5</f>
        <v>0</v>
      </c>
      <c r="R5" s="205"/>
      <c r="S5" s="214">
        <v>-2</v>
      </c>
      <c r="T5" s="214">
        <v>0</v>
      </c>
      <c r="U5" s="214">
        <v>0</v>
      </c>
      <c r="V5" s="214">
        <v>0.3</v>
      </c>
      <c r="W5" s="214">
        <f>U5*V5</f>
        <v>0</v>
      </c>
      <c r="X5" s="205"/>
      <c r="Y5" s="214">
        <v>-2</v>
      </c>
      <c r="Z5" s="214">
        <v>0</v>
      </c>
      <c r="AA5" s="214">
        <v>0</v>
      </c>
      <c r="AB5" s="214">
        <v>0.3</v>
      </c>
      <c r="AC5" s="214">
        <f>AA5*AB5</f>
        <v>0</v>
      </c>
      <c r="AD5" s="205"/>
      <c r="AE5" s="214">
        <v>-2</v>
      </c>
      <c r="AF5" s="214">
        <v>0</v>
      </c>
      <c r="AG5" s="214">
        <v>0</v>
      </c>
      <c r="AH5" s="214">
        <v>0.3</v>
      </c>
      <c r="AI5" s="214">
        <f>AG5*AH5</f>
        <v>0</v>
      </c>
      <c r="AJ5" s="205"/>
      <c r="AK5" s="214">
        <v>-2</v>
      </c>
      <c r="AL5" s="214">
        <v>0</v>
      </c>
      <c r="AM5" s="214">
        <v>0</v>
      </c>
      <c r="AN5" s="214">
        <v>0.3</v>
      </c>
      <c r="AO5" s="214">
        <f>AM5*AN5</f>
        <v>0</v>
      </c>
      <c r="AP5" s="205"/>
      <c r="AQ5" s="214">
        <v>-2</v>
      </c>
      <c r="AR5" s="214">
        <v>0</v>
      </c>
      <c r="AS5" s="214">
        <v>0</v>
      </c>
      <c r="AT5" s="214">
        <v>0.3</v>
      </c>
      <c r="AU5" s="214">
        <f>AS5*AT5</f>
        <v>0</v>
      </c>
      <c r="AV5" s="205"/>
      <c r="AW5" s="214">
        <v>-2</v>
      </c>
      <c r="AX5" s="214">
        <v>0</v>
      </c>
      <c r="AY5" s="214">
        <v>0</v>
      </c>
      <c r="AZ5" s="214">
        <v>0.3</v>
      </c>
      <c r="BA5" s="214">
        <f>AY5*AZ5</f>
        <v>0</v>
      </c>
      <c r="BB5" s="205"/>
      <c r="BC5" s="214">
        <v>-2</v>
      </c>
      <c r="BD5" s="214">
        <v>0</v>
      </c>
      <c r="BE5" s="214">
        <v>0</v>
      </c>
      <c r="BF5" s="214">
        <v>0.3</v>
      </c>
      <c r="BG5" s="214">
        <f>BE5*BF5</f>
        <v>0</v>
      </c>
      <c r="BH5" s="205"/>
      <c r="BI5" s="214">
        <v>-2</v>
      </c>
      <c r="BJ5" s="214">
        <f t="shared" ref="BJ5:BJ27" si="0">BK5*$N$35</f>
        <v>0</v>
      </c>
      <c r="BK5" s="214">
        <v>0</v>
      </c>
      <c r="BL5" s="214">
        <v>0.3</v>
      </c>
      <c r="BM5" s="214">
        <f>BK5*BL5</f>
        <v>0</v>
      </c>
    </row>
    <row r="6" spans="1:65" ht="16.2">
      <c r="A6" s="214">
        <v>-1</v>
      </c>
      <c r="B6" s="214">
        <f t="shared" ref="B6:B27" si="1">C6*$N$35</f>
        <v>19.36</v>
      </c>
      <c r="C6" s="214">
        <f>5.85+I6</f>
        <v>9.68</v>
      </c>
      <c r="D6" s="214">
        <v>1.2</v>
      </c>
      <c r="E6" s="214">
        <f>C6*D6</f>
        <v>11.616</v>
      </c>
      <c r="G6" s="214">
        <v>-1</v>
      </c>
      <c r="H6" s="214">
        <f t="shared" ref="H6:H27" si="2">I6*$N$35</f>
        <v>7.66</v>
      </c>
      <c r="I6" s="214">
        <f>2.65+O6</f>
        <v>3.83</v>
      </c>
      <c r="J6" s="214">
        <v>1.2</v>
      </c>
      <c r="K6" s="214">
        <f>I6*J6</f>
        <v>4.5960000000000001</v>
      </c>
      <c r="L6" s="205"/>
      <c r="M6" s="214">
        <v>-1</v>
      </c>
      <c r="N6" s="214">
        <f t="shared" ref="N6:N27" si="3">O6*$N$35</f>
        <v>2.36</v>
      </c>
      <c r="O6" s="214">
        <v>1.18</v>
      </c>
      <c r="P6" s="214">
        <v>1.2</v>
      </c>
      <c r="Q6" s="214">
        <f>O6*P6</f>
        <v>1.4159999999999999</v>
      </c>
      <c r="R6" s="205"/>
      <c r="S6" s="214">
        <v>-1</v>
      </c>
      <c r="T6" s="214">
        <v>0</v>
      </c>
      <c r="U6" s="214">
        <v>0</v>
      </c>
      <c r="V6" s="214">
        <v>1.2</v>
      </c>
      <c r="W6" s="214">
        <f>U6*V6</f>
        <v>0</v>
      </c>
      <c r="X6" s="205"/>
      <c r="Y6" s="214">
        <v>-1</v>
      </c>
      <c r="Z6" s="214">
        <v>0</v>
      </c>
      <c r="AA6" s="214">
        <v>0</v>
      </c>
      <c r="AB6" s="214">
        <v>1.2</v>
      </c>
      <c r="AC6" s="214">
        <f>AA6*AB6</f>
        <v>0</v>
      </c>
      <c r="AD6" s="205"/>
      <c r="AE6" s="214">
        <v>-1</v>
      </c>
      <c r="AF6" s="214">
        <v>0</v>
      </c>
      <c r="AG6" s="214">
        <v>0</v>
      </c>
      <c r="AH6" s="214">
        <v>1.2</v>
      </c>
      <c r="AI6" s="214">
        <f>AG6*AH6</f>
        <v>0</v>
      </c>
      <c r="AJ6" s="205"/>
      <c r="AK6" s="214">
        <v>-1</v>
      </c>
      <c r="AL6" s="214">
        <v>0</v>
      </c>
      <c r="AM6" s="214">
        <v>0</v>
      </c>
      <c r="AN6" s="214">
        <v>1.2</v>
      </c>
      <c r="AO6" s="214">
        <f>AM6*AN6</f>
        <v>0</v>
      </c>
      <c r="AP6" s="205"/>
      <c r="AQ6" s="214">
        <v>-1</v>
      </c>
      <c r="AR6" s="214">
        <v>0</v>
      </c>
      <c r="AS6" s="214">
        <v>0</v>
      </c>
      <c r="AT6" s="214">
        <v>1.2</v>
      </c>
      <c r="AU6" s="214">
        <f>AS6*AT6</f>
        <v>0</v>
      </c>
      <c r="AV6" s="205"/>
      <c r="AW6" s="214">
        <v>-1</v>
      </c>
      <c r="AX6" s="214">
        <v>0</v>
      </c>
      <c r="AY6" s="214">
        <v>0</v>
      </c>
      <c r="AZ6" s="214">
        <v>1.2</v>
      </c>
      <c r="BA6" s="214">
        <f>AY6*AZ6</f>
        <v>0</v>
      </c>
      <c r="BB6" s="205"/>
      <c r="BC6" s="214">
        <v>-1</v>
      </c>
      <c r="BD6" s="214">
        <v>0</v>
      </c>
      <c r="BE6" s="214">
        <v>0</v>
      </c>
      <c r="BF6" s="214">
        <v>1.2</v>
      </c>
      <c r="BG6" s="214">
        <f>BE6*BF6</f>
        <v>0</v>
      </c>
      <c r="BH6" s="205"/>
      <c r="BI6" s="214">
        <v>-1</v>
      </c>
      <c r="BJ6" s="214">
        <f t="shared" si="0"/>
        <v>0</v>
      </c>
      <c r="BK6" s="214">
        <v>0</v>
      </c>
      <c r="BL6" s="214">
        <v>1.2</v>
      </c>
      <c r="BM6" s="214">
        <f>BK6*BL6</f>
        <v>0</v>
      </c>
    </row>
    <row r="7" spans="1:65" ht="16.2">
      <c r="A7" s="214" t="s">
        <v>457</v>
      </c>
      <c r="B7" s="214">
        <f t="shared" si="1"/>
        <v>31.4</v>
      </c>
      <c r="C7" s="215">
        <f>8.42+I7</f>
        <v>15.7</v>
      </c>
      <c r="D7" s="214">
        <v>1.3</v>
      </c>
      <c r="E7" s="216">
        <f>B7*D7</f>
        <v>40.82</v>
      </c>
      <c r="G7" s="214" t="s">
        <v>457</v>
      </c>
      <c r="H7" s="214">
        <f t="shared" si="2"/>
        <v>14.559999999999999</v>
      </c>
      <c r="I7" s="215">
        <f>4.05+O7</f>
        <v>7.2799999999999994</v>
      </c>
      <c r="J7" s="214">
        <v>1.3</v>
      </c>
      <c r="K7" s="216">
        <f>H7*J7</f>
        <v>18.927999999999997</v>
      </c>
      <c r="L7" s="217"/>
      <c r="M7" s="214" t="s">
        <v>457</v>
      </c>
      <c r="N7" s="214">
        <f t="shared" si="3"/>
        <v>6.46</v>
      </c>
      <c r="O7" s="215">
        <f>2.89+U7</f>
        <v>3.23</v>
      </c>
      <c r="P7" s="214">
        <v>1.3</v>
      </c>
      <c r="Q7" s="216">
        <f>O7*P7</f>
        <v>4.1989999999999998</v>
      </c>
      <c r="R7" s="217"/>
      <c r="S7" s="214" t="s">
        <v>457</v>
      </c>
      <c r="T7" s="214">
        <f t="shared" ref="T7:T27" si="4">U7*$N$35</f>
        <v>0.68</v>
      </c>
      <c r="U7" s="214">
        <v>0.34</v>
      </c>
      <c r="V7" s="214">
        <v>1.3</v>
      </c>
      <c r="W7" s="216">
        <f>U7*V7</f>
        <v>0.44200000000000006</v>
      </c>
      <c r="X7" s="217"/>
      <c r="Y7" s="214" t="s">
        <v>457</v>
      </c>
      <c r="Z7" s="214">
        <v>0</v>
      </c>
      <c r="AA7" s="214">
        <v>0</v>
      </c>
      <c r="AB7" s="214">
        <v>1.3</v>
      </c>
      <c r="AC7" s="216">
        <f>AA7*AB7</f>
        <v>0</v>
      </c>
      <c r="AD7" s="217"/>
      <c r="AE7" s="214" t="s">
        <v>457</v>
      </c>
      <c r="AF7" s="214">
        <v>0</v>
      </c>
      <c r="AG7" s="214">
        <v>0</v>
      </c>
      <c r="AH7" s="214">
        <v>1.3</v>
      </c>
      <c r="AI7" s="216">
        <f>AG7*AH7</f>
        <v>0</v>
      </c>
      <c r="AJ7" s="217"/>
      <c r="AK7" s="214" t="s">
        <v>457</v>
      </c>
      <c r="AL7" s="214">
        <v>0</v>
      </c>
      <c r="AM7" s="214">
        <v>0</v>
      </c>
      <c r="AN7" s="214">
        <v>1.3</v>
      </c>
      <c r="AO7" s="216">
        <f>AM7*AN7</f>
        <v>0</v>
      </c>
      <c r="AP7" s="217"/>
      <c r="AQ7" s="214" t="s">
        <v>457</v>
      </c>
      <c r="AR7" s="214">
        <v>0</v>
      </c>
      <c r="AS7" s="214">
        <v>0</v>
      </c>
      <c r="AT7" s="214">
        <v>1.3</v>
      </c>
      <c r="AU7" s="216">
        <f>AS7*AT7</f>
        <v>0</v>
      </c>
      <c r="AV7" s="217"/>
      <c r="AW7" s="214" t="s">
        <v>457</v>
      </c>
      <c r="AX7" s="214">
        <v>0</v>
      </c>
      <c r="AY7" s="214">
        <v>0</v>
      </c>
      <c r="AZ7" s="214">
        <v>1.3</v>
      </c>
      <c r="BA7" s="216">
        <f>AY7*AZ7</f>
        <v>0</v>
      </c>
      <c r="BB7" s="217"/>
      <c r="BC7" s="214" t="s">
        <v>457</v>
      </c>
      <c r="BD7" s="214">
        <v>0</v>
      </c>
      <c r="BE7" s="214">
        <v>0</v>
      </c>
      <c r="BF7" s="214">
        <v>1.3</v>
      </c>
      <c r="BG7" s="216">
        <f>BE7*BF7</f>
        <v>0</v>
      </c>
      <c r="BH7" s="217"/>
      <c r="BI7" s="214" t="s">
        <v>457</v>
      </c>
      <c r="BJ7" s="214">
        <f t="shared" si="0"/>
        <v>0</v>
      </c>
      <c r="BK7" s="214">
        <v>0</v>
      </c>
      <c r="BL7" s="214">
        <v>1.3</v>
      </c>
      <c r="BM7" s="216">
        <f>BK7*BL7</f>
        <v>0</v>
      </c>
    </row>
    <row r="8" spans="1:65" ht="16.2">
      <c r="A8" s="214">
        <v>1</v>
      </c>
      <c r="B8" s="214">
        <f t="shared" si="1"/>
        <v>83.299999999999983</v>
      </c>
      <c r="C8" s="215">
        <f>13.16+I8</f>
        <v>41.649999999999991</v>
      </c>
      <c r="D8" s="214">
        <v>4</v>
      </c>
      <c r="E8" s="216">
        <f t="shared" ref="E8:E27" si="5">B8*D8</f>
        <v>333.19999999999993</v>
      </c>
      <c r="G8" s="214">
        <v>1</v>
      </c>
      <c r="H8" s="214">
        <f t="shared" si="2"/>
        <v>56.97999999999999</v>
      </c>
      <c r="I8" s="215">
        <f>6.6+O8</f>
        <v>28.489999999999995</v>
      </c>
      <c r="J8" s="214">
        <v>4</v>
      </c>
      <c r="K8" s="216">
        <f t="shared" ref="K8:K27" si="6">H8*J8</f>
        <v>227.91999999999996</v>
      </c>
      <c r="L8" s="217"/>
      <c r="M8" s="214">
        <v>1</v>
      </c>
      <c r="N8" s="214">
        <f t="shared" si="3"/>
        <v>43.779999999999994</v>
      </c>
      <c r="O8" s="215">
        <f>5.2+U8</f>
        <v>21.889999999999997</v>
      </c>
      <c r="P8" s="214">
        <v>4</v>
      </c>
      <c r="Q8" s="216">
        <f>N8*P8</f>
        <v>175.11999999999998</v>
      </c>
      <c r="R8" s="217"/>
      <c r="S8" s="214">
        <v>1</v>
      </c>
      <c r="T8" s="214">
        <f t="shared" si="4"/>
        <v>33.379999999999995</v>
      </c>
      <c r="U8" s="215">
        <f>4.05+AA8</f>
        <v>16.689999999999998</v>
      </c>
      <c r="V8" s="214">
        <v>4</v>
      </c>
      <c r="W8" s="216">
        <f>T8*V8</f>
        <v>133.51999999999998</v>
      </c>
      <c r="X8" s="217"/>
      <c r="Y8" s="214">
        <v>1</v>
      </c>
      <c r="Z8" s="214">
        <f t="shared" ref="Z8:Z27" si="7">AA8*$N$35</f>
        <v>25.279999999999998</v>
      </c>
      <c r="AA8" s="215">
        <f>3.03+AG8</f>
        <v>12.639999999999999</v>
      </c>
      <c r="AB8" s="214">
        <v>4</v>
      </c>
      <c r="AC8" s="216">
        <f>Z8*AB8</f>
        <v>101.11999999999999</v>
      </c>
      <c r="AD8" s="217"/>
      <c r="AE8" s="214">
        <v>1</v>
      </c>
      <c r="AF8" s="214">
        <f t="shared" ref="AF8:AF27" si="8">AG8*$N$35</f>
        <v>19.22</v>
      </c>
      <c r="AG8" s="218">
        <f>2.46+AM8</f>
        <v>9.61</v>
      </c>
      <c r="AH8" s="214">
        <v>4</v>
      </c>
      <c r="AI8" s="216">
        <f>AF8*AH8</f>
        <v>76.88</v>
      </c>
      <c r="AJ8" s="217"/>
      <c r="AK8" s="214">
        <v>1</v>
      </c>
      <c r="AL8" s="214">
        <f t="shared" ref="AL8:AL27" si="9">AM8*$N$35</f>
        <v>14.3</v>
      </c>
      <c r="AM8" s="218">
        <f>2.17+AS8</f>
        <v>7.15</v>
      </c>
      <c r="AN8" s="214">
        <v>4</v>
      </c>
      <c r="AO8" s="216">
        <f>AL8*AN8</f>
        <v>57.2</v>
      </c>
      <c r="AP8" s="217"/>
      <c r="AQ8" s="214">
        <v>1</v>
      </c>
      <c r="AR8" s="214">
        <f t="shared" ref="AR8:AR27" si="10">AS8*$N$35</f>
        <v>9.9600000000000009</v>
      </c>
      <c r="AS8" s="218">
        <f>1.99+AY8</f>
        <v>4.9800000000000004</v>
      </c>
      <c r="AT8" s="214">
        <v>4</v>
      </c>
      <c r="AU8" s="216">
        <f>AR8*AT8</f>
        <v>39.840000000000003</v>
      </c>
      <c r="AV8" s="217"/>
      <c r="AW8" s="214">
        <v>1</v>
      </c>
      <c r="AX8" s="214">
        <f t="shared" ref="AX8:AX27" si="11">AY8*$N$35</f>
        <v>5.98</v>
      </c>
      <c r="AY8" s="218">
        <f>1.82+BE8</f>
        <v>2.99</v>
      </c>
      <c r="AZ8" s="214">
        <v>4</v>
      </c>
      <c r="BA8" s="216">
        <f>AX8*AZ8</f>
        <v>23.92</v>
      </c>
      <c r="BB8" s="217"/>
      <c r="BC8" s="214">
        <v>1</v>
      </c>
      <c r="BD8" s="214">
        <f t="shared" ref="BD8:BD27" si="12">BE8*$N$35</f>
        <v>2.34</v>
      </c>
      <c r="BE8" s="218">
        <f>0.76+BK8</f>
        <v>1.17</v>
      </c>
      <c r="BF8" s="214">
        <v>4</v>
      </c>
      <c r="BG8" s="216">
        <f>BD8*BF8</f>
        <v>9.36</v>
      </c>
      <c r="BH8" s="217"/>
      <c r="BI8" s="214">
        <v>1</v>
      </c>
      <c r="BJ8" s="214">
        <f t="shared" si="0"/>
        <v>0.82</v>
      </c>
      <c r="BK8" s="215">
        <v>0.41</v>
      </c>
      <c r="BL8" s="214">
        <v>4</v>
      </c>
      <c r="BM8" s="216">
        <f>BJ8*BL8</f>
        <v>3.28</v>
      </c>
    </row>
    <row r="9" spans="1:65" ht="16.2">
      <c r="A9" s="214">
        <v>2</v>
      </c>
      <c r="B9" s="214">
        <f t="shared" si="1"/>
        <v>139.24</v>
      </c>
      <c r="C9" s="215">
        <f>16.68+I9</f>
        <v>69.62</v>
      </c>
      <c r="D9" s="214">
        <v>2</v>
      </c>
      <c r="E9" s="216">
        <f t="shared" si="5"/>
        <v>278.48</v>
      </c>
      <c r="G9" s="214">
        <v>2</v>
      </c>
      <c r="H9" s="214">
        <f t="shared" si="2"/>
        <v>105.88</v>
      </c>
      <c r="I9" s="215">
        <f>8.91+O9</f>
        <v>52.94</v>
      </c>
      <c r="J9" s="214">
        <v>2</v>
      </c>
      <c r="K9" s="216">
        <f t="shared" si="6"/>
        <v>211.76</v>
      </c>
      <c r="L9" s="217"/>
      <c r="M9" s="214">
        <v>2</v>
      </c>
      <c r="N9" s="214">
        <f t="shared" si="3"/>
        <v>88.06</v>
      </c>
      <c r="O9" s="215">
        <f>7.65+U9</f>
        <v>44.03</v>
      </c>
      <c r="P9" s="214">
        <v>2</v>
      </c>
      <c r="Q9" s="216">
        <f t="shared" ref="Q9:Q27" si="13">N9*P9</f>
        <v>176.12</v>
      </c>
      <c r="R9" s="217"/>
      <c r="S9" s="214">
        <v>2</v>
      </c>
      <c r="T9" s="214">
        <f t="shared" si="4"/>
        <v>72.760000000000005</v>
      </c>
      <c r="U9" s="215">
        <f>6.84+AA9</f>
        <v>36.380000000000003</v>
      </c>
      <c r="V9" s="214">
        <v>2</v>
      </c>
      <c r="W9" s="216">
        <f t="shared" ref="W9:W27" si="14">T9*V9</f>
        <v>145.52000000000001</v>
      </c>
      <c r="X9" s="217"/>
      <c r="Y9" s="214">
        <v>2</v>
      </c>
      <c r="Z9" s="214">
        <f t="shared" si="7"/>
        <v>59.080000000000005</v>
      </c>
      <c r="AA9" s="215">
        <f>6.11+AG9</f>
        <v>29.540000000000003</v>
      </c>
      <c r="AB9" s="214">
        <v>2</v>
      </c>
      <c r="AC9" s="216">
        <f t="shared" ref="AC9:AC27" si="15">Z9*AB9</f>
        <v>118.16000000000001</v>
      </c>
      <c r="AD9" s="217"/>
      <c r="AE9" s="214">
        <v>2</v>
      </c>
      <c r="AF9" s="214">
        <f t="shared" si="8"/>
        <v>46.860000000000007</v>
      </c>
      <c r="AG9" s="218">
        <f>5.55+AM9</f>
        <v>23.430000000000003</v>
      </c>
      <c r="AH9" s="214">
        <v>2</v>
      </c>
      <c r="AI9" s="216">
        <f t="shared" ref="AI9:AI27" si="16">AF9*AH9</f>
        <v>93.720000000000013</v>
      </c>
      <c r="AJ9" s="217"/>
      <c r="AK9" s="214">
        <v>2</v>
      </c>
      <c r="AL9" s="214">
        <f t="shared" si="9"/>
        <v>35.760000000000005</v>
      </c>
      <c r="AM9" s="218">
        <f>5.16+AS9</f>
        <v>17.880000000000003</v>
      </c>
      <c r="AN9" s="214">
        <v>2</v>
      </c>
      <c r="AO9" s="216">
        <f t="shared" ref="AO9:AO27" si="17">AL9*AN9</f>
        <v>71.52000000000001</v>
      </c>
      <c r="AP9" s="217"/>
      <c r="AQ9" s="214">
        <v>2</v>
      </c>
      <c r="AR9" s="214">
        <f t="shared" si="10"/>
        <v>25.44</v>
      </c>
      <c r="AS9" s="218">
        <f>4.83+AY9</f>
        <v>12.72</v>
      </c>
      <c r="AT9" s="214">
        <v>2</v>
      </c>
      <c r="AU9" s="216">
        <f t="shared" ref="AU9:AU27" si="18">AR9*AT9</f>
        <v>50.88</v>
      </c>
      <c r="AV9" s="217"/>
      <c r="AW9" s="214">
        <v>2</v>
      </c>
      <c r="AX9" s="214">
        <f t="shared" si="11"/>
        <v>15.780000000000001</v>
      </c>
      <c r="AY9" s="218">
        <f>4.44+BE9</f>
        <v>7.8900000000000006</v>
      </c>
      <c r="AZ9" s="214">
        <v>2</v>
      </c>
      <c r="BA9" s="216">
        <f t="shared" ref="BA9:BA27" si="19">AX9*AZ9</f>
        <v>31.560000000000002</v>
      </c>
      <c r="BB9" s="217"/>
      <c r="BC9" s="214">
        <v>2</v>
      </c>
      <c r="BD9" s="214">
        <f t="shared" si="12"/>
        <v>6.9</v>
      </c>
      <c r="BE9" s="218">
        <f>1.97+BK9</f>
        <v>3.45</v>
      </c>
      <c r="BF9" s="214">
        <v>2</v>
      </c>
      <c r="BG9" s="216">
        <f t="shared" ref="BG9:BG27" si="20">BD9*BF9</f>
        <v>13.8</v>
      </c>
      <c r="BH9" s="217"/>
      <c r="BI9" s="214">
        <v>2</v>
      </c>
      <c r="BJ9" s="214">
        <f t="shared" si="0"/>
        <v>2.96</v>
      </c>
      <c r="BK9" s="215">
        <v>1.48</v>
      </c>
      <c r="BL9" s="214">
        <v>2</v>
      </c>
      <c r="BM9" s="216">
        <f t="shared" ref="BM9:BM27" si="21">BJ9*BL9</f>
        <v>5.92</v>
      </c>
    </row>
    <row r="10" spans="1:65" ht="16.2">
      <c r="A10" s="214">
        <v>3</v>
      </c>
      <c r="B10" s="214">
        <f t="shared" si="1"/>
        <v>188.82</v>
      </c>
      <c r="C10" s="215">
        <f>19.36+I10</f>
        <v>94.41</v>
      </c>
      <c r="D10" s="214">
        <v>4</v>
      </c>
      <c r="E10" s="216">
        <f t="shared" si="5"/>
        <v>755.28</v>
      </c>
      <c r="G10" s="214">
        <v>3</v>
      </c>
      <c r="H10" s="214">
        <f t="shared" si="2"/>
        <v>150.1</v>
      </c>
      <c r="I10" s="215">
        <f>10.61+O10</f>
        <v>75.05</v>
      </c>
      <c r="J10" s="214">
        <v>4</v>
      </c>
      <c r="K10" s="216">
        <f t="shared" si="6"/>
        <v>600.4</v>
      </c>
      <c r="L10" s="217"/>
      <c r="M10" s="214">
        <v>3</v>
      </c>
      <c r="N10" s="214">
        <f t="shared" si="3"/>
        <v>128.88</v>
      </c>
      <c r="O10" s="215">
        <f>9.5+U10</f>
        <v>64.44</v>
      </c>
      <c r="P10" s="214">
        <v>4</v>
      </c>
      <c r="Q10" s="216">
        <f t="shared" si="13"/>
        <v>515.52</v>
      </c>
      <c r="R10" s="217"/>
      <c r="S10" s="214">
        <v>3</v>
      </c>
      <c r="T10" s="214">
        <f t="shared" si="4"/>
        <v>109.88</v>
      </c>
      <c r="U10" s="215">
        <f>9.02+AA10</f>
        <v>54.94</v>
      </c>
      <c r="V10" s="214">
        <v>4</v>
      </c>
      <c r="W10" s="216">
        <f t="shared" si="14"/>
        <v>439.52</v>
      </c>
      <c r="X10" s="217"/>
      <c r="Y10" s="214">
        <v>3</v>
      </c>
      <c r="Z10" s="214">
        <f t="shared" si="7"/>
        <v>91.84</v>
      </c>
      <c r="AA10" s="215">
        <f>8.63+AG10</f>
        <v>45.92</v>
      </c>
      <c r="AB10" s="214">
        <v>4</v>
      </c>
      <c r="AC10" s="216">
        <f t="shared" si="15"/>
        <v>367.36</v>
      </c>
      <c r="AD10" s="217"/>
      <c r="AE10" s="214">
        <v>3</v>
      </c>
      <c r="AF10" s="214">
        <f t="shared" si="8"/>
        <v>74.58</v>
      </c>
      <c r="AG10" s="218">
        <f>8.32+AM10</f>
        <v>37.29</v>
      </c>
      <c r="AH10" s="214">
        <v>4</v>
      </c>
      <c r="AI10" s="216">
        <f t="shared" si="16"/>
        <v>298.32</v>
      </c>
      <c r="AJ10" s="217"/>
      <c r="AK10" s="214">
        <v>3</v>
      </c>
      <c r="AL10" s="214">
        <f t="shared" si="9"/>
        <v>57.94</v>
      </c>
      <c r="AM10" s="218">
        <f>8.04+AS10</f>
        <v>28.97</v>
      </c>
      <c r="AN10" s="214">
        <v>4</v>
      </c>
      <c r="AO10" s="216">
        <f t="shared" si="17"/>
        <v>231.76</v>
      </c>
      <c r="AP10" s="217"/>
      <c r="AQ10" s="214">
        <v>3</v>
      </c>
      <c r="AR10" s="214">
        <f t="shared" si="10"/>
        <v>41.86</v>
      </c>
      <c r="AS10" s="218">
        <f>7.72+AY10</f>
        <v>20.93</v>
      </c>
      <c r="AT10" s="214">
        <v>4</v>
      </c>
      <c r="AU10" s="216">
        <f t="shared" si="18"/>
        <v>167.44</v>
      </c>
      <c r="AV10" s="217"/>
      <c r="AW10" s="214">
        <v>3</v>
      </c>
      <c r="AX10" s="214">
        <f t="shared" si="11"/>
        <v>26.42</v>
      </c>
      <c r="AY10" s="218">
        <f>7.24+BE10</f>
        <v>13.21</v>
      </c>
      <c r="AZ10" s="214">
        <v>4</v>
      </c>
      <c r="BA10" s="216">
        <f t="shared" si="19"/>
        <v>105.68</v>
      </c>
      <c r="BB10" s="217"/>
      <c r="BC10" s="214">
        <v>3</v>
      </c>
      <c r="BD10" s="214">
        <f t="shared" si="12"/>
        <v>11.94</v>
      </c>
      <c r="BE10" s="218">
        <f>3.3+BK10</f>
        <v>5.97</v>
      </c>
      <c r="BF10" s="214">
        <v>4</v>
      </c>
      <c r="BG10" s="216">
        <f t="shared" si="20"/>
        <v>47.76</v>
      </c>
      <c r="BH10" s="217"/>
      <c r="BI10" s="214">
        <v>3</v>
      </c>
      <c r="BJ10" s="214">
        <f t="shared" si="0"/>
        <v>5.34</v>
      </c>
      <c r="BK10" s="215">
        <v>2.67</v>
      </c>
      <c r="BL10" s="214">
        <v>4</v>
      </c>
      <c r="BM10" s="216">
        <f t="shared" si="21"/>
        <v>21.36</v>
      </c>
    </row>
    <row r="11" spans="1:65" ht="16.2">
      <c r="A11" s="214">
        <v>4</v>
      </c>
      <c r="B11" s="214">
        <f t="shared" si="1"/>
        <v>221.45000000000002</v>
      </c>
      <c r="C11" s="215">
        <f>20.55+I11</f>
        <v>110.72500000000001</v>
      </c>
      <c r="D11" s="214">
        <v>2</v>
      </c>
      <c r="E11" s="216">
        <f t="shared" si="5"/>
        <v>442.90000000000003</v>
      </c>
      <c r="G11" s="214">
        <v>4</v>
      </c>
      <c r="H11" s="214">
        <f t="shared" si="2"/>
        <v>180.35000000000002</v>
      </c>
      <c r="I11" s="215">
        <f>11.71+O11</f>
        <v>90.175000000000011</v>
      </c>
      <c r="J11" s="214">
        <v>2</v>
      </c>
      <c r="K11" s="216">
        <f t="shared" si="6"/>
        <v>360.70000000000005</v>
      </c>
      <c r="L11" s="217"/>
      <c r="M11" s="214">
        <v>4</v>
      </c>
      <c r="N11" s="214">
        <f t="shared" si="3"/>
        <v>156.93</v>
      </c>
      <c r="O11" s="215">
        <f>10.82+U11</f>
        <v>78.465000000000003</v>
      </c>
      <c r="P11" s="214">
        <v>2</v>
      </c>
      <c r="Q11" s="216">
        <f t="shared" si="13"/>
        <v>313.86</v>
      </c>
      <c r="R11" s="217"/>
      <c r="S11" s="214">
        <v>4</v>
      </c>
      <c r="T11" s="214">
        <f t="shared" si="4"/>
        <v>135.29</v>
      </c>
      <c r="U11" s="215">
        <f>10.56+AA11</f>
        <v>67.644999999999996</v>
      </c>
      <c r="V11" s="214">
        <v>2</v>
      </c>
      <c r="W11" s="216">
        <f t="shared" si="14"/>
        <v>270.58</v>
      </c>
      <c r="X11" s="217"/>
      <c r="Y11" s="214">
        <v>4</v>
      </c>
      <c r="Z11" s="214">
        <f t="shared" si="7"/>
        <v>114.17</v>
      </c>
      <c r="AA11" s="215">
        <f>10.33+AG11</f>
        <v>57.085000000000001</v>
      </c>
      <c r="AB11" s="214">
        <v>2</v>
      </c>
      <c r="AC11" s="216">
        <f t="shared" si="15"/>
        <v>228.34</v>
      </c>
      <c r="AD11" s="217"/>
      <c r="AE11" s="214">
        <v>4</v>
      </c>
      <c r="AF11" s="214">
        <f t="shared" si="8"/>
        <v>93.51</v>
      </c>
      <c r="AG11" s="219">
        <f>10.14+AM11</f>
        <v>46.755000000000003</v>
      </c>
      <c r="AH11" s="214">
        <v>2</v>
      </c>
      <c r="AI11" s="216">
        <f t="shared" si="16"/>
        <v>187.02</v>
      </c>
      <c r="AJ11" s="217"/>
      <c r="AK11" s="214">
        <v>4</v>
      </c>
      <c r="AL11" s="214">
        <f t="shared" si="9"/>
        <v>73.23</v>
      </c>
      <c r="AM11" s="218">
        <f>9.935+AS11</f>
        <v>36.615000000000002</v>
      </c>
      <c r="AN11" s="214">
        <v>2</v>
      </c>
      <c r="AO11" s="216">
        <f t="shared" si="17"/>
        <v>146.46</v>
      </c>
      <c r="AP11" s="217"/>
      <c r="AQ11" s="214">
        <v>4</v>
      </c>
      <c r="AR11" s="214">
        <f t="shared" si="10"/>
        <v>53.36</v>
      </c>
      <c r="AS11" s="218">
        <f>9.66+AY11</f>
        <v>26.68</v>
      </c>
      <c r="AT11" s="214">
        <v>2</v>
      </c>
      <c r="AU11" s="216">
        <f t="shared" si="18"/>
        <v>106.72</v>
      </c>
      <c r="AV11" s="217"/>
      <c r="AW11" s="214">
        <v>4</v>
      </c>
      <c r="AX11" s="214">
        <f t="shared" si="11"/>
        <v>34.04</v>
      </c>
      <c r="AY11" s="218">
        <f>9.2+BE11</f>
        <v>17.02</v>
      </c>
      <c r="AZ11" s="214">
        <v>2</v>
      </c>
      <c r="BA11" s="216">
        <f t="shared" si="19"/>
        <v>68.08</v>
      </c>
      <c r="BB11" s="217"/>
      <c r="BC11" s="214">
        <v>4</v>
      </c>
      <c r="BD11" s="214">
        <f t="shared" si="12"/>
        <v>15.64</v>
      </c>
      <c r="BE11" s="218">
        <f>4.24+BK11</f>
        <v>7.82</v>
      </c>
      <c r="BF11" s="214">
        <v>2</v>
      </c>
      <c r="BG11" s="216">
        <f t="shared" si="20"/>
        <v>31.28</v>
      </c>
      <c r="BH11" s="217"/>
      <c r="BI11" s="214">
        <v>4</v>
      </c>
      <c r="BJ11" s="214">
        <f t="shared" si="0"/>
        <v>7.16</v>
      </c>
      <c r="BK11" s="220">
        <v>3.58</v>
      </c>
      <c r="BL11" s="214">
        <v>2</v>
      </c>
      <c r="BM11" s="216">
        <f t="shared" si="21"/>
        <v>14.32</v>
      </c>
    </row>
    <row r="12" spans="1:65" ht="16.2">
      <c r="A12" s="214">
        <v>5</v>
      </c>
      <c r="B12" s="214">
        <f t="shared" si="1"/>
        <v>239.54000000000002</v>
      </c>
      <c r="C12" s="215">
        <f>20.82+I12</f>
        <v>119.77000000000001</v>
      </c>
      <c r="D12" s="214">
        <v>4</v>
      </c>
      <c r="E12" s="216">
        <f t="shared" si="5"/>
        <v>958.16000000000008</v>
      </c>
      <c r="G12" s="214">
        <v>5</v>
      </c>
      <c r="H12" s="214">
        <f t="shared" si="2"/>
        <v>197.9</v>
      </c>
      <c r="I12" s="215">
        <f>12.14+O12</f>
        <v>98.95</v>
      </c>
      <c r="J12" s="214">
        <v>4</v>
      </c>
      <c r="K12" s="216">
        <f t="shared" si="6"/>
        <v>791.6</v>
      </c>
      <c r="L12" s="217"/>
      <c r="M12" s="214">
        <v>5</v>
      </c>
      <c r="N12" s="214">
        <f t="shared" si="3"/>
        <v>173.62</v>
      </c>
      <c r="O12" s="215">
        <f>11.47+U12</f>
        <v>86.81</v>
      </c>
      <c r="P12" s="214">
        <v>4</v>
      </c>
      <c r="Q12" s="216">
        <f t="shared" si="13"/>
        <v>694.48</v>
      </c>
      <c r="R12" s="217"/>
      <c r="S12" s="214">
        <v>5</v>
      </c>
      <c r="T12" s="214">
        <f t="shared" si="4"/>
        <v>150.68</v>
      </c>
      <c r="U12" s="215">
        <f>11.41+AA12</f>
        <v>75.34</v>
      </c>
      <c r="V12" s="214">
        <v>4</v>
      </c>
      <c r="W12" s="216">
        <f t="shared" si="14"/>
        <v>602.72</v>
      </c>
      <c r="X12" s="217"/>
      <c r="Y12" s="214">
        <v>5</v>
      </c>
      <c r="Z12" s="214">
        <f t="shared" si="7"/>
        <v>127.86000000000001</v>
      </c>
      <c r="AA12" s="215">
        <f>11.35+AG12</f>
        <v>63.930000000000007</v>
      </c>
      <c r="AB12" s="214">
        <v>4</v>
      </c>
      <c r="AC12" s="216">
        <f t="shared" si="15"/>
        <v>511.44000000000005</v>
      </c>
      <c r="AD12" s="217"/>
      <c r="AE12" s="214">
        <v>5</v>
      </c>
      <c r="AF12" s="214">
        <f t="shared" si="8"/>
        <v>105.16000000000001</v>
      </c>
      <c r="AG12" s="218">
        <f>11.24+AM12</f>
        <v>52.580000000000005</v>
      </c>
      <c r="AH12" s="214">
        <v>4</v>
      </c>
      <c r="AI12" s="216">
        <f t="shared" si="16"/>
        <v>420.64000000000004</v>
      </c>
      <c r="AJ12" s="217"/>
      <c r="AK12" s="214">
        <v>5</v>
      </c>
      <c r="AL12" s="214">
        <f t="shared" si="9"/>
        <v>82.68</v>
      </c>
      <c r="AM12" s="218">
        <f>11.06+AS12</f>
        <v>41.34</v>
      </c>
      <c r="AN12" s="214">
        <v>4</v>
      </c>
      <c r="AO12" s="216">
        <f t="shared" si="17"/>
        <v>330.72</v>
      </c>
      <c r="AP12" s="217"/>
      <c r="AQ12" s="214">
        <v>5</v>
      </c>
      <c r="AR12" s="214">
        <f t="shared" si="10"/>
        <v>60.56</v>
      </c>
      <c r="AS12" s="218">
        <f>10.76+AY12</f>
        <v>30.28</v>
      </c>
      <c r="AT12" s="214">
        <v>4</v>
      </c>
      <c r="AU12" s="216">
        <f t="shared" si="18"/>
        <v>242.24</v>
      </c>
      <c r="AV12" s="217"/>
      <c r="AW12" s="214">
        <v>5</v>
      </c>
      <c r="AX12" s="214">
        <f t="shared" si="11"/>
        <v>39.04</v>
      </c>
      <c r="AY12" s="218">
        <f>10.27+BE12</f>
        <v>19.52</v>
      </c>
      <c r="AZ12" s="214">
        <v>4</v>
      </c>
      <c r="BA12" s="216">
        <f t="shared" si="19"/>
        <v>156.16</v>
      </c>
      <c r="BB12" s="217"/>
      <c r="BC12" s="214">
        <v>5</v>
      </c>
      <c r="BD12" s="214">
        <f t="shared" si="12"/>
        <v>18.5</v>
      </c>
      <c r="BE12" s="218">
        <f>4.84+BK12</f>
        <v>9.25</v>
      </c>
      <c r="BF12" s="214">
        <v>4</v>
      </c>
      <c r="BG12" s="216">
        <f t="shared" si="20"/>
        <v>74</v>
      </c>
      <c r="BH12" s="217"/>
      <c r="BI12" s="214">
        <v>5</v>
      </c>
      <c r="BJ12" s="214">
        <f t="shared" si="0"/>
        <v>8.82</v>
      </c>
      <c r="BK12" s="215">
        <v>4.41</v>
      </c>
      <c r="BL12" s="214">
        <v>4</v>
      </c>
      <c r="BM12" s="216">
        <f t="shared" si="21"/>
        <v>35.28</v>
      </c>
    </row>
    <row r="13" spans="1:65" ht="16.2">
      <c r="A13" s="214">
        <v>6</v>
      </c>
      <c r="B13" s="214">
        <f t="shared" si="1"/>
        <v>247.54</v>
      </c>
      <c r="C13" s="215">
        <f>20.91+I13</f>
        <v>123.77</v>
      </c>
      <c r="D13" s="214">
        <v>2</v>
      </c>
      <c r="E13" s="216">
        <f t="shared" si="5"/>
        <v>495.08</v>
      </c>
      <c r="G13" s="214">
        <v>6</v>
      </c>
      <c r="H13" s="214">
        <f t="shared" si="2"/>
        <v>205.72</v>
      </c>
      <c r="I13" s="215">
        <f>12.25+O13</f>
        <v>102.86</v>
      </c>
      <c r="J13" s="214">
        <v>2</v>
      </c>
      <c r="K13" s="216">
        <f t="shared" si="6"/>
        <v>411.44</v>
      </c>
      <c r="L13" s="217"/>
      <c r="M13" s="214">
        <v>6</v>
      </c>
      <c r="N13" s="214">
        <f t="shared" si="3"/>
        <v>181.22</v>
      </c>
      <c r="O13" s="215">
        <f>11.63+U13</f>
        <v>90.61</v>
      </c>
      <c r="P13" s="214">
        <v>2</v>
      </c>
      <c r="Q13" s="216">
        <f t="shared" si="13"/>
        <v>362.44</v>
      </c>
      <c r="R13" s="217"/>
      <c r="S13" s="214">
        <v>6</v>
      </c>
      <c r="T13" s="214">
        <f t="shared" si="4"/>
        <v>157.96</v>
      </c>
      <c r="U13" s="215">
        <f>11.62+AA13</f>
        <v>78.98</v>
      </c>
      <c r="V13" s="214">
        <v>2</v>
      </c>
      <c r="W13" s="216">
        <f t="shared" si="14"/>
        <v>315.92</v>
      </c>
      <c r="X13" s="217"/>
      <c r="Y13" s="214">
        <v>6</v>
      </c>
      <c r="Z13" s="214">
        <f t="shared" si="7"/>
        <v>134.72</v>
      </c>
      <c r="AA13" s="215">
        <f>11.61+AG13</f>
        <v>67.36</v>
      </c>
      <c r="AB13" s="214">
        <v>2</v>
      </c>
      <c r="AC13" s="216">
        <f t="shared" si="15"/>
        <v>269.44</v>
      </c>
      <c r="AD13" s="217"/>
      <c r="AE13" s="214">
        <v>6</v>
      </c>
      <c r="AF13" s="214">
        <f t="shared" si="8"/>
        <v>111.5</v>
      </c>
      <c r="AG13" s="218">
        <f>11.58+AM13</f>
        <v>55.75</v>
      </c>
      <c r="AH13" s="214">
        <v>2</v>
      </c>
      <c r="AI13" s="216">
        <f t="shared" si="16"/>
        <v>223</v>
      </c>
      <c r="AJ13" s="217"/>
      <c r="AK13" s="214">
        <v>6</v>
      </c>
      <c r="AL13" s="214">
        <f t="shared" si="9"/>
        <v>88.34</v>
      </c>
      <c r="AM13" s="218">
        <f>11.53+AS13</f>
        <v>44.17</v>
      </c>
      <c r="AN13" s="214">
        <v>2</v>
      </c>
      <c r="AO13" s="216">
        <f t="shared" si="17"/>
        <v>176.68</v>
      </c>
      <c r="AP13" s="217"/>
      <c r="AQ13" s="214">
        <v>6</v>
      </c>
      <c r="AR13" s="214">
        <f t="shared" si="10"/>
        <v>65.28</v>
      </c>
      <c r="AS13" s="218">
        <f>11.42+AY13</f>
        <v>32.64</v>
      </c>
      <c r="AT13" s="214">
        <v>2</v>
      </c>
      <c r="AU13" s="216">
        <f t="shared" si="18"/>
        <v>130.56</v>
      </c>
      <c r="AV13" s="217"/>
      <c r="AW13" s="214">
        <v>6</v>
      </c>
      <c r="AX13" s="214">
        <f t="shared" si="11"/>
        <v>42.44</v>
      </c>
      <c r="AY13" s="218">
        <f>11.13+BE13</f>
        <v>21.22</v>
      </c>
      <c r="AZ13" s="214">
        <v>2</v>
      </c>
      <c r="BA13" s="216">
        <f t="shared" si="19"/>
        <v>84.88</v>
      </c>
      <c r="BB13" s="217"/>
      <c r="BC13" s="214">
        <v>6</v>
      </c>
      <c r="BD13" s="214">
        <f t="shared" si="12"/>
        <v>20.18</v>
      </c>
      <c r="BE13" s="218">
        <f>5.29+BK13</f>
        <v>10.09</v>
      </c>
      <c r="BF13" s="214">
        <v>2</v>
      </c>
      <c r="BG13" s="216">
        <f t="shared" si="20"/>
        <v>40.36</v>
      </c>
      <c r="BH13" s="217"/>
      <c r="BI13" s="214">
        <v>6</v>
      </c>
      <c r="BJ13" s="214">
        <f t="shared" si="0"/>
        <v>9.6</v>
      </c>
      <c r="BK13" s="215">
        <v>4.8</v>
      </c>
      <c r="BL13" s="214">
        <v>2</v>
      </c>
      <c r="BM13" s="216">
        <f t="shared" si="21"/>
        <v>19.2</v>
      </c>
    </row>
    <row r="14" spans="1:65" ht="16.2">
      <c r="A14" s="214">
        <v>7</v>
      </c>
      <c r="B14" s="214">
        <f t="shared" si="1"/>
        <v>251.24</v>
      </c>
      <c r="C14" s="215">
        <f t="shared" ref="C14:C21" si="22">21.1+I14</f>
        <v>125.62</v>
      </c>
      <c r="D14" s="214">
        <v>4</v>
      </c>
      <c r="E14" s="216">
        <f t="shared" si="5"/>
        <v>1004.96</v>
      </c>
      <c r="G14" s="214">
        <v>7</v>
      </c>
      <c r="H14" s="214">
        <f t="shared" si="2"/>
        <v>209.04000000000002</v>
      </c>
      <c r="I14" s="215">
        <f>12.36+O14</f>
        <v>104.52000000000001</v>
      </c>
      <c r="J14" s="214">
        <v>4</v>
      </c>
      <c r="K14" s="216">
        <f t="shared" si="6"/>
        <v>836.16000000000008</v>
      </c>
      <c r="L14" s="217"/>
      <c r="M14" s="214">
        <v>7</v>
      </c>
      <c r="N14" s="214">
        <f t="shared" si="3"/>
        <v>184.32000000000002</v>
      </c>
      <c r="O14" s="215">
        <f>11.73+U14</f>
        <v>92.160000000000011</v>
      </c>
      <c r="P14" s="214">
        <v>4</v>
      </c>
      <c r="Q14" s="216">
        <f t="shared" si="13"/>
        <v>737.28000000000009</v>
      </c>
      <c r="R14" s="217"/>
      <c r="S14" s="214">
        <v>7</v>
      </c>
      <c r="T14" s="214">
        <f t="shared" si="4"/>
        <v>160.86000000000001</v>
      </c>
      <c r="U14" s="215">
        <f>11.71+AA14</f>
        <v>80.430000000000007</v>
      </c>
      <c r="V14" s="214">
        <v>4</v>
      </c>
      <c r="W14" s="216">
        <f t="shared" si="14"/>
        <v>643.44000000000005</v>
      </c>
      <c r="X14" s="217"/>
      <c r="Y14" s="214">
        <v>7</v>
      </c>
      <c r="Z14" s="214">
        <f t="shared" si="7"/>
        <v>137.44</v>
      </c>
      <c r="AA14" s="215">
        <f>11.7+AG14</f>
        <v>68.72</v>
      </c>
      <c r="AB14" s="214">
        <v>4</v>
      </c>
      <c r="AC14" s="216">
        <f t="shared" si="15"/>
        <v>549.76</v>
      </c>
      <c r="AD14" s="217"/>
      <c r="AE14" s="214">
        <v>7</v>
      </c>
      <c r="AF14" s="214">
        <f t="shared" si="8"/>
        <v>114.03999999999999</v>
      </c>
      <c r="AG14" s="218">
        <f>11.69+AM14</f>
        <v>57.019999999999996</v>
      </c>
      <c r="AH14" s="214">
        <v>4</v>
      </c>
      <c r="AI14" s="216">
        <f t="shared" si="16"/>
        <v>456.15999999999997</v>
      </c>
      <c r="AJ14" s="217"/>
      <c r="AK14" s="214">
        <v>7</v>
      </c>
      <c r="AL14" s="214">
        <f t="shared" si="9"/>
        <v>90.66</v>
      </c>
      <c r="AM14" s="218">
        <f>11.67+AS14</f>
        <v>45.33</v>
      </c>
      <c r="AN14" s="214">
        <v>4</v>
      </c>
      <c r="AO14" s="216">
        <f t="shared" si="17"/>
        <v>362.64</v>
      </c>
      <c r="AP14" s="217"/>
      <c r="AQ14" s="214">
        <v>7</v>
      </c>
      <c r="AR14" s="214">
        <f t="shared" si="10"/>
        <v>67.319999999999993</v>
      </c>
      <c r="AS14" s="218">
        <f>11.64+AY14</f>
        <v>33.659999999999997</v>
      </c>
      <c r="AT14" s="214">
        <v>4</v>
      </c>
      <c r="AU14" s="216">
        <f t="shared" si="18"/>
        <v>269.27999999999997</v>
      </c>
      <c r="AV14" s="217"/>
      <c r="AW14" s="214">
        <v>7</v>
      </c>
      <c r="AX14" s="214">
        <f t="shared" si="11"/>
        <v>44.04</v>
      </c>
      <c r="AY14" s="218">
        <f>11.44+BE14</f>
        <v>22.02</v>
      </c>
      <c r="AZ14" s="214">
        <v>4</v>
      </c>
      <c r="BA14" s="216">
        <f t="shared" si="19"/>
        <v>176.16</v>
      </c>
      <c r="BB14" s="217"/>
      <c r="BC14" s="214">
        <v>7</v>
      </c>
      <c r="BD14" s="214">
        <f t="shared" si="12"/>
        <v>21.16</v>
      </c>
      <c r="BE14" s="218">
        <f>5.49+BK14</f>
        <v>10.58</v>
      </c>
      <c r="BF14" s="214">
        <v>4</v>
      </c>
      <c r="BG14" s="216">
        <f t="shared" si="20"/>
        <v>84.64</v>
      </c>
      <c r="BH14" s="217"/>
      <c r="BI14" s="214">
        <v>7</v>
      </c>
      <c r="BJ14" s="214">
        <f t="shared" si="0"/>
        <v>10.18</v>
      </c>
      <c r="BK14" s="215">
        <v>5.09</v>
      </c>
      <c r="BL14" s="214">
        <v>4</v>
      </c>
      <c r="BM14" s="216">
        <f t="shared" si="21"/>
        <v>40.72</v>
      </c>
    </row>
    <row r="15" spans="1:65" ht="16.2">
      <c r="A15" s="214">
        <v>8</v>
      </c>
      <c r="B15" s="214">
        <f t="shared" si="1"/>
        <v>252.95999999999998</v>
      </c>
      <c r="C15" s="215">
        <f t="shared" si="22"/>
        <v>126.47999999999999</v>
      </c>
      <c r="D15" s="214">
        <v>2</v>
      </c>
      <c r="E15" s="216">
        <f t="shared" si="5"/>
        <v>505.91999999999996</v>
      </c>
      <c r="G15" s="214">
        <v>8</v>
      </c>
      <c r="H15" s="214">
        <f t="shared" si="2"/>
        <v>210.76</v>
      </c>
      <c r="I15" s="215">
        <f>12.4+O15</f>
        <v>105.38</v>
      </c>
      <c r="J15" s="214">
        <v>2</v>
      </c>
      <c r="K15" s="216">
        <f t="shared" si="6"/>
        <v>421.52</v>
      </c>
      <c r="L15" s="217"/>
      <c r="M15" s="214">
        <v>8</v>
      </c>
      <c r="N15" s="214">
        <f t="shared" si="3"/>
        <v>185.95999999999998</v>
      </c>
      <c r="O15" s="215">
        <f>11.77+U15</f>
        <v>92.97999999999999</v>
      </c>
      <c r="P15" s="214">
        <v>2</v>
      </c>
      <c r="Q15" s="216">
        <f t="shared" si="13"/>
        <v>371.91999999999996</v>
      </c>
      <c r="R15" s="217"/>
      <c r="S15" s="214">
        <v>8</v>
      </c>
      <c r="T15" s="214">
        <f t="shared" si="4"/>
        <v>162.41999999999999</v>
      </c>
      <c r="U15" s="215">
        <f>11.77+AA15</f>
        <v>81.209999999999994</v>
      </c>
      <c r="V15" s="214">
        <v>2</v>
      </c>
      <c r="W15" s="216">
        <f t="shared" si="14"/>
        <v>324.83999999999997</v>
      </c>
      <c r="X15" s="217"/>
      <c r="Y15" s="214">
        <v>8</v>
      </c>
      <c r="Z15" s="214">
        <f t="shared" si="7"/>
        <v>138.88</v>
      </c>
      <c r="AA15" s="215">
        <f>11.77+AG15</f>
        <v>69.44</v>
      </c>
      <c r="AB15" s="214">
        <v>2</v>
      </c>
      <c r="AC15" s="216">
        <f t="shared" si="15"/>
        <v>277.76</v>
      </c>
      <c r="AD15" s="217"/>
      <c r="AE15" s="214">
        <v>8</v>
      </c>
      <c r="AF15" s="214">
        <f t="shared" si="8"/>
        <v>115.34</v>
      </c>
      <c r="AG15" s="218">
        <f>11.77+AM15</f>
        <v>57.67</v>
      </c>
      <c r="AH15" s="214">
        <v>2</v>
      </c>
      <c r="AI15" s="216">
        <f t="shared" si="16"/>
        <v>230.68</v>
      </c>
      <c r="AJ15" s="217"/>
      <c r="AK15" s="214">
        <v>8</v>
      </c>
      <c r="AL15" s="214">
        <f t="shared" si="9"/>
        <v>91.800000000000011</v>
      </c>
      <c r="AM15" s="218">
        <f>11.77+AS15</f>
        <v>45.900000000000006</v>
      </c>
      <c r="AN15" s="214">
        <v>2</v>
      </c>
      <c r="AO15" s="216">
        <f t="shared" si="17"/>
        <v>183.60000000000002</v>
      </c>
      <c r="AP15" s="217"/>
      <c r="AQ15" s="214">
        <v>8</v>
      </c>
      <c r="AR15" s="214">
        <f t="shared" si="10"/>
        <v>68.260000000000005</v>
      </c>
      <c r="AS15" s="218">
        <f>11.76+AY15</f>
        <v>34.130000000000003</v>
      </c>
      <c r="AT15" s="214">
        <v>2</v>
      </c>
      <c r="AU15" s="216">
        <f t="shared" si="18"/>
        <v>136.52000000000001</v>
      </c>
      <c r="AV15" s="217"/>
      <c r="AW15" s="214">
        <v>8</v>
      </c>
      <c r="AX15" s="214">
        <f t="shared" si="11"/>
        <v>44.74</v>
      </c>
      <c r="AY15" s="218">
        <f>11.59+BE15</f>
        <v>22.37</v>
      </c>
      <c r="AZ15" s="214">
        <v>2</v>
      </c>
      <c r="BA15" s="216">
        <f t="shared" si="19"/>
        <v>89.48</v>
      </c>
      <c r="BB15" s="217"/>
      <c r="BC15" s="214">
        <v>8</v>
      </c>
      <c r="BD15" s="214">
        <f t="shared" si="12"/>
        <v>21.560000000000002</v>
      </c>
      <c r="BE15" s="218">
        <f>5.57+BK15</f>
        <v>10.780000000000001</v>
      </c>
      <c r="BF15" s="214">
        <v>2</v>
      </c>
      <c r="BG15" s="216">
        <f t="shared" si="20"/>
        <v>43.120000000000005</v>
      </c>
      <c r="BH15" s="217"/>
      <c r="BI15" s="214">
        <v>8</v>
      </c>
      <c r="BJ15" s="214">
        <f t="shared" si="0"/>
        <v>10.42</v>
      </c>
      <c r="BK15" s="215">
        <v>5.21</v>
      </c>
      <c r="BL15" s="214">
        <v>2</v>
      </c>
      <c r="BM15" s="216">
        <f t="shared" si="21"/>
        <v>20.84</v>
      </c>
    </row>
    <row r="16" spans="1:65" ht="16.2">
      <c r="A16" s="214">
        <v>9</v>
      </c>
      <c r="B16" s="214">
        <f t="shared" si="1"/>
        <v>252.95999999999998</v>
      </c>
      <c r="C16" s="215">
        <f t="shared" si="22"/>
        <v>126.47999999999999</v>
      </c>
      <c r="D16" s="214">
        <v>4</v>
      </c>
      <c r="E16" s="216">
        <f t="shared" si="5"/>
        <v>1011.8399999999999</v>
      </c>
      <c r="G16" s="214">
        <v>9</v>
      </c>
      <c r="H16" s="214">
        <f t="shared" si="2"/>
        <v>210.76</v>
      </c>
      <c r="I16" s="215">
        <f t="shared" ref="I16:I22" si="23">12.4+O16</f>
        <v>105.38</v>
      </c>
      <c r="J16" s="214">
        <v>4</v>
      </c>
      <c r="K16" s="216">
        <f t="shared" si="6"/>
        <v>843.04</v>
      </c>
      <c r="L16" s="217"/>
      <c r="M16" s="214">
        <v>9</v>
      </c>
      <c r="N16" s="214">
        <f t="shared" si="3"/>
        <v>185.95999999999998</v>
      </c>
      <c r="O16" s="215">
        <f t="shared" ref="O16:O22" si="24">11.77+U16</f>
        <v>92.97999999999999</v>
      </c>
      <c r="P16" s="214">
        <v>4</v>
      </c>
      <c r="Q16" s="216">
        <f t="shared" si="13"/>
        <v>743.83999999999992</v>
      </c>
      <c r="R16" s="217"/>
      <c r="S16" s="214">
        <v>9</v>
      </c>
      <c r="T16" s="214">
        <f t="shared" si="4"/>
        <v>162.41999999999999</v>
      </c>
      <c r="U16" s="215">
        <f t="shared" ref="U16:U22" si="25">11.77+AA16</f>
        <v>81.209999999999994</v>
      </c>
      <c r="V16" s="214">
        <v>4</v>
      </c>
      <c r="W16" s="216">
        <f t="shared" si="14"/>
        <v>649.67999999999995</v>
      </c>
      <c r="X16" s="217"/>
      <c r="Y16" s="214">
        <v>9</v>
      </c>
      <c r="Z16" s="214">
        <f t="shared" si="7"/>
        <v>138.88</v>
      </c>
      <c r="AA16" s="215">
        <f t="shared" ref="AA16:AA22" si="26">11.77+AG16</f>
        <v>69.44</v>
      </c>
      <c r="AB16" s="214">
        <v>4</v>
      </c>
      <c r="AC16" s="216">
        <f t="shared" si="15"/>
        <v>555.52</v>
      </c>
      <c r="AD16" s="217"/>
      <c r="AE16" s="214">
        <v>9</v>
      </c>
      <c r="AF16" s="214">
        <f t="shared" si="8"/>
        <v>115.34</v>
      </c>
      <c r="AG16" s="218">
        <f t="shared" ref="AG16:AG22" si="27">11.77+AM16</f>
        <v>57.67</v>
      </c>
      <c r="AH16" s="214">
        <v>4</v>
      </c>
      <c r="AI16" s="216">
        <f t="shared" si="16"/>
        <v>461.36</v>
      </c>
      <c r="AJ16" s="217"/>
      <c r="AK16" s="214">
        <v>9</v>
      </c>
      <c r="AL16" s="214">
        <f t="shared" si="9"/>
        <v>91.800000000000011</v>
      </c>
      <c r="AM16" s="218">
        <f t="shared" ref="AM16:AM22" si="28">11.77+AS16</f>
        <v>45.900000000000006</v>
      </c>
      <c r="AN16" s="214">
        <v>4</v>
      </c>
      <c r="AO16" s="216">
        <f t="shared" si="17"/>
        <v>367.20000000000005</v>
      </c>
      <c r="AP16" s="217"/>
      <c r="AQ16" s="214">
        <v>9</v>
      </c>
      <c r="AR16" s="214">
        <f t="shared" si="10"/>
        <v>68.260000000000005</v>
      </c>
      <c r="AS16" s="218">
        <f t="shared" ref="AS16:AS22" si="29">11.76+AY16</f>
        <v>34.130000000000003</v>
      </c>
      <c r="AT16" s="214">
        <v>4</v>
      </c>
      <c r="AU16" s="216">
        <f t="shared" si="18"/>
        <v>273.04000000000002</v>
      </c>
      <c r="AV16" s="217"/>
      <c r="AW16" s="214">
        <v>9</v>
      </c>
      <c r="AX16" s="214">
        <f t="shared" si="11"/>
        <v>44.74</v>
      </c>
      <c r="AY16" s="218">
        <f t="shared" ref="AY16:AY22" si="30">11.59+BE16</f>
        <v>22.37</v>
      </c>
      <c r="AZ16" s="214">
        <v>4</v>
      </c>
      <c r="BA16" s="216">
        <f t="shared" si="19"/>
        <v>178.96</v>
      </c>
      <c r="BB16" s="217"/>
      <c r="BC16" s="214">
        <v>9</v>
      </c>
      <c r="BD16" s="214">
        <f t="shared" si="12"/>
        <v>21.560000000000002</v>
      </c>
      <c r="BE16" s="218">
        <f t="shared" ref="BE16:BE22" si="31">5.57+BK16</f>
        <v>10.780000000000001</v>
      </c>
      <c r="BF16" s="214">
        <v>4</v>
      </c>
      <c r="BG16" s="216">
        <f t="shared" si="20"/>
        <v>86.240000000000009</v>
      </c>
      <c r="BH16" s="217"/>
      <c r="BI16" s="214">
        <v>9</v>
      </c>
      <c r="BJ16" s="214">
        <f t="shared" si="0"/>
        <v>10.42</v>
      </c>
      <c r="BK16" s="215">
        <v>5.21</v>
      </c>
      <c r="BL16" s="214">
        <v>4</v>
      </c>
      <c r="BM16" s="216">
        <f t="shared" si="21"/>
        <v>41.68</v>
      </c>
    </row>
    <row r="17" spans="1:65" ht="16.2">
      <c r="A17" s="214">
        <v>10</v>
      </c>
      <c r="B17" s="214">
        <f t="shared" si="1"/>
        <v>252.95999999999998</v>
      </c>
      <c r="C17" s="215">
        <f t="shared" si="22"/>
        <v>126.47999999999999</v>
      </c>
      <c r="D17" s="214">
        <v>2</v>
      </c>
      <c r="E17" s="216">
        <f t="shared" si="5"/>
        <v>505.91999999999996</v>
      </c>
      <c r="G17" s="214">
        <v>10</v>
      </c>
      <c r="H17" s="214">
        <f t="shared" si="2"/>
        <v>210.76</v>
      </c>
      <c r="I17" s="215">
        <f t="shared" si="23"/>
        <v>105.38</v>
      </c>
      <c r="J17" s="214">
        <v>2</v>
      </c>
      <c r="K17" s="216">
        <f t="shared" si="6"/>
        <v>421.52</v>
      </c>
      <c r="L17" s="217"/>
      <c r="M17" s="214">
        <v>10</v>
      </c>
      <c r="N17" s="214">
        <f t="shared" si="3"/>
        <v>185.95999999999998</v>
      </c>
      <c r="O17" s="215">
        <f t="shared" si="24"/>
        <v>92.97999999999999</v>
      </c>
      <c r="P17" s="214">
        <v>2</v>
      </c>
      <c r="Q17" s="216">
        <f t="shared" si="13"/>
        <v>371.91999999999996</v>
      </c>
      <c r="R17" s="217"/>
      <c r="S17" s="214">
        <v>10</v>
      </c>
      <c r="T17" s="214">
        <f t="shared" si="4"/>
        <v>162.41999999999999</v>
      </c>
      <c r="U17" s="215">
        <f t="shared" si="25"/>
        <v>81.209999999999994</v>
      </c>
      <c r="V17" s="214">
        <v>2</v>
      </c>
      <c r="W17" s="216">
        <f t="shared" si="14"/>
        <v>324.83999999999997</v>
      </c>
      <c r="X17" s="217"/>
      <c r="Y17" s="214">
        <v>10</v>
      </c>
      <c r="Z17" s="214">
        <f t="shared" si="7"/>
        <v>138.88</v>
      </c>
      <c r="AA17" s="215">
        <f t="shared" si="26"/>
        <v>69.44</v>
      </c>
      <c r="AB17" s="214">
        <v>2</v>
      </c>
      <c r="AC17" s="216">
        <f t="shared" si="15"/>
        <v>277.76</v>
      </c>
      <c r="AD17" s="217"/>
      <c r="AE17" s="214">
        <v>10</v>
      </c>
      <c r="AF17" s="214">
        <f t="shared" si="8"/>
        <v>115.34</v>
      </c>
      <c r="AG17" s="218">
        <f t="shared" si="27"/>
        <v>57.67</v>
      </c>
      <c r="AH17" s="214">
        <v>2</v>
      </c>
      <c r="AI17" s="216">
        <f t="shared" si="16"/>
        <v>230.68</v>
      </c>
      <c r="AJ17" s="217"/>
      <c r="AK17" s="214">
        <v>10</v>
      </c>
      <c r="AL17" s="214">
        <f t="shared" si="9"/>
        <v>91.800000000000011</v>
      </c>
      <c r="AM17" s="218">
        <f t="shared" si="28"/>
        <v>45.900000000000006</v>
      </c>
      <c r="AN17" s="214">
        <v>2</v>
      </c>
      <c r="AO17" s="216">
        <f t="shared" si="17"/>
        <v>183.60000000000002</v>
      </c>
      <c r="AP17" s="217"/>
      <c r="AQ17" s="214">
        <v>10</v>
      </c>
      <c r="AR17" s="214">
        <f t="shared" si="10"/>
        <v>68.260000000000005</v>
      </c>
      <c r="AS17" s="218">
        <f t="shared" si="29"/>
        <v>34.130000000000003</v>
      </c>
      <c r="AT17" s="214">
        <v>2</v>
      </c>
      <c r="AU17" s="216">
        <f t="shared" si="18"/>
        <v>136.52000000000001</v>
      </c>
      <c r="AV17" s="217"/>
      <c r="AW17" s="214">
        <v>10</v>
      </c>
      <c r="AX17" s="214">
        <f t="shared" si="11"/>
        <v>44.74</v>
      </c>
      <c r="AY17" s="218">
        <f t="shared" si="30"/>
        <v>22.37</v>
      </c>
      <c r="AZ17" s="214">
        <v>2</v>
      </c>
      <c r="BA17" s="216">
        <f t="shared" si="19"/>
        <v>89.48</v>
      </c>
      <c r="BB17" s="217"/>
      <c r="BC17" s="214">
        <v>10</v>
      </c>
      <c r="BD17" s="214">
        <f t="shared" si="12"/>
        <v>21.560000000000002</v>
      </c>
      <c r="BE17" s="218">
        <f t="shared" si="31"/>
        <v>10.780000000000001</v>
      </c>
      <c r="BF17" s="214">
        <v>2</v>
      </c>
      <c r="BG17" s="216">
        <f t="shared" si="20"/>
        <v>43.120000000000005</v>
      </c>
      <c r="BH17" s="217"/>
      <c r="BI17" s="214">
        <v>10</v>
      </c>
      <c r="BJ17" s="214">
        <f t="shared" si="0"/>
        <v>10.42</v>
      </c>
      <c r="BK17" s="215">
        <v>5.21</v>
      </c>
      <c r="BL17" s="214">
        <v>2</v>
      </c>
      <c r="BM17" s="216">
        <f t="shared" si="21"/>
        <v>20.84</v>
      </c>
    </row>
    <row r="18" spans="1:65" ht="16.2">
      <c r="A18" s="214">
        <v>11</v>
      </c>
      <c r="B18" s="214">
        <f t="shared" si="1"/>
        <v>252.95999999999998</v>
      </c>
      <c r="C18" s="215">
        <f t="shared" si="22"/>
        <v>126.47999999999999</v>
      </c>
      <c r="D18" s="214">
        <v>4</v>
      </c>
      <c r="E18" s="216">
        <f t="shared" si="5"/>
        <v>1011.8399999999999</v>
      </c>
      <c r="G18" s="214">
        <v>11</v>
      </c>
      <c r="H18" s="214">
        <f t="shared" si="2"/>
        <v>210.76</v>
      </c>
      <c r="I18" s="215">
        <f t="shared" si="23"/>
        <v>105.38</v>
      </c>
      <c r="J18" s="214">
        <v>4</v>
      </c>
      <c r="K18" s="216">
        <f t="shared" si="6"/>
        <v>843.04</v>
      </c>
      <c r="L18" s="217"/>
      <c r="M18" s="214">
        <v>11</v>
      </c>
      <c r="N18" s="214">
        <f t="shared" si="3"/>
        <v>185.95999999999998</v>
      </c>
      <c r="O18" s="215">
        <f t="shared" si="24"/>
        <v>92.97999999999999</v>
      </c>
      <c r="P18" s="214">
        <v>4</v>
      </c>
      <c r="Q18" s="216">
        <f t="shared" si="13"/>
        <v>743.83999999999992</v>
      </c>
      <c r="R18" s="217"/>
      <c r="S18" s="214">
        <v>11</v>
      </c>
      <c r="T18" s="214">
        <f t="shared" si="4"/>
        <v>162.41999999999999</v>
      </c>
      <c r="U18" s="215">
        <f t="shared" si="25"/>
        <v>81.209999999999994</v>
      </c>
      <c r="V18" s="214">
        <v>4</v>
      </c>
      <c r="W18" s="216">
        <f t="shared" si="14"/>
        <v>649.67999999999995</v>
      </c>
      <c r="X18" s="217"/>
      <c r="Y18" s="214">
        <v>11</v>
      </c>
      <c r="Z18" s="214">
        <f t="shared" si="7"/>
        <v>138.88</v>
      </c>
      <c r="AA18" s="215">
        <f t="shared" si="26"/>
        <v>69.44</v>
      </c>
      <c r="AB18" s="214">
        <v>4</v>
      </c>
      <c r="AC18" s="216">
        <f t="shared" si="15"/>
        <v>555.52</v>
      </c>
      <c r="AD18" s="217"/>
      <c r="AE18" s="214">
        <v>11</v>
      </c>
      <c r="AF18" s="214">
        <f t="shared" si="8"/>
        <v>115.34</v>
      </c>
      <c r="AG18" s="218">
        <f t="shared" si="27"/>
        <v>57.67</v>
      </c>
      <c r="AH18" s="214">
        <v>4</v>
      </c>
      <c r="AI18" s="216">
        <f t="shared" si="16"/>
        <v>461.36</v>
      </c>
      <c r="AJ18" s="217"/>
      <c r="AK18" s="214">
        <v>11</v>
      </c>
      <c r="AL18" s="214">
        <f t="shared" si="9"/>
        <v>91.800000000000011</v>
      </c>
      <c r="AM18" s="218">
        <f t="shared" si="28"/>
        <v>45.900000000000006</v>
      </c>
      <c r="AN18" s="214">
        <v>4</v>
      </c>
      <c r="AO18" s="216">
        <f t="shared" si="17"/>
        <v>367.20000000000005</v>
      </c>
      <c r="AP18" s="217"/>
      <c r="AQ18" s="214">
        <v>11</v>
      </c>
      <c r="AR18" s="214">
        <f t="shared" si="10"/>
        <v>68.260000000000005</v>
      </c>
      <c r="AS18" s="218">
        <f t="shared" si="29"/>
        <v>34.130000000000003</v>
      </c>
      <c r="AT18" s="214">
        <v>4</v>
      </c>
      <c r="AU18" s="216">
        <f t="shared" si="18"/>
        <v>273.04000000000002</v>
      </c>
      <c r="AV18" s="217"/>
      <c r="AW18" s="214">
        <v>11</v>
      </c>
      <c r="AX18" s="214">
        <f t="shared" si="11"/>
        <v>44.74</v>
      </c>
      <c r="AY18" s="218">
        <f t="shared" si="30"/>
        <v>22.37</v>
      </c>
      <c r="AZ18" s="214">
        <v>4</v>
      </c>
      <c r="BA18" s="216">
        <f t="shared" si="19"/>
        <v>178.96</v>
      </c>
      <c r="BB18" s="217"/>
      <c r="BC18" s="214">
        <v>11</v>
      </c>
      <c r="BD18" s="214">
        <f t="shared" si="12"/>
        <v>21.560000000000002</v>
      </c>
      <c r="BE18" s="218">
        <f t="shared" si="31"/>
        <v>10.780000000000001</v>
      </c>
      <c r="BF18" s="214">
        <v>4</v>
      </c>
      <c r="BG18" s="216">
        <f t="shared" si="20"/>
        <v>86.240000000000009</v>
      </c>
      <c r="BH18" s="217"/>
      <c r="BI18" s="214">
        <v>11</v>
      </c>
      <c r="BJ18" s="214">
        <f t="shared" si="0"/>
        <v>10.42</v>
      </c>
      <c r="BK18" s="215">
        <v>5.21</v>
      </c>
      <c r="BL18" s="214">
        <v>4</v>
      </c>
      <c r="BM18" s="216">
        <f t="shared" si="21"/>
        <v>41.68</v>
      </c>
    </row>
    <row r="19" spans="1:65" ht="16.2">
      <c r="A19" s="214">
        <v>12</v>
      </c>
      <c r="B19" s="214">
        <f t="shared" si="1"/>
        <v>252.95999999999998</v>
      </c>
      <c r="C19" s="215">
        <f t="shared" si="22"/>
        <v>126.47999999999999</v>
      </c>
      <c r="D19" s="214">
        <v>2</v>
      </c>
      <c r="E19" s="216">
        <f t="shared" si="5"/>
        <v>505.91999999999996</v>
      </c>
      <c r="G19" s="214">
        <v>12</v>
      </c>
      <c r="H19" s="214">
        <f t="shared" si="2"/>
        <v>210.76</v>
      </c>
      <c r="I19" s="215">
        <f t="shared" si="23"/>
        <v>105.38</v>
      </c>
      <c r="J19" s="214">
        <v>2</v>
      </c>
      <c r="K19" s="216">
        <f t="shared" si="6"/>
        <v>421.52</v>
      </c>
      <c r="L19" s="217"/>
      <c r="M19" s="214">
        <v>12</v>
      </c>
      <c r="N19" s="214">
        <f t="shared" si="3"/>
        <v>185.95999999999998</v>
      </c>
      <c r="O19" s="215">
        <f t="shared" si="24"/>
        <v>92.97999999999999</v>
      </c>
      <c r="P19" s="214">
        <v>2</v>
      </c>
      <c r="Q19" s="216">
        <f t="shared" si="13"/>
        <v>371.91999999999996</v>
      </c>
      <c r="R19" s="217"/>
      <c r="S19" s="214">
        <v>12</v>
      </c>
      <c r="T19" s="214">
        <f t="shared" si="4"/>
        <v>162.41999999999999</v>
      </c>
      <c r="U19" s="215">
        <f t="shared" si="25"/>
        <v>81.209999999999994</v>
      </c>
      <c r="V19" s="214">
        <v>2</v>
      </c>
      <c r="W19" s="216">
        <f t="shared" si="14"/>
        <v>324.83999999999997</v>
      </c>
      <c r="X19" s="217"/>
      <c r="Y19" s="214">
        <v>12</v>
      </c>
      <c r="Z19" s="214">
        <f t="shared" si="7"/>
        <v>138.88</v>
      </c>
      <c r="AA19" s="215">
        <f t="shared" si="26"/>
        <v>69.44</v>
      </c>
      <c r="AB19" s="214">
        <v>2</v>
      </c>
      <c r="AC19" s="216">
        <f t="shared" si="15"/>
        <v>277.76</v>
      </c>
      <c r="AD19" s="217"/>
      <c r="AE19" s="214">
        <v>12</v>
      </c>
      <c r="AF19" s="214">
        <f t="shared" si="8"/>
        <v>115.34</v>
      </c>
      <c r="AG19" s="218">
        <f t="shared" si="27"/>
        <v>57.67</v>
      </c>
      <c r="AH19" s="214">
        <v>2</v>
      </c>
      <c r="AI19" s="216">
        <f t="shared" si="16"/>
        <v>230.68</v>
      </c>
      <c r="AJ19" s="217"/>
      <c r="AK19" s="214">
        <v>12</v>
      </c>
      <c r="AL19" s="214">
        <f t="shared" si="9"/>
        <v>91.800000000000011</v>
      </c>
      <c r="AM19" s="218">
        <f t="shared" si="28"/>
        <v>45.900000000000006</v>
      </c>
      <c r="AN19" s="214">
        <v>2</v>
      </c>
      <c r="AO19" s="216">
        <f t="shared" si="17"/>
        <v>183.60000000000002</v>
      </c>
      <c r="AP19" s="217"/>
      <c r="AQ19" s="214">
        <v>12</v>
      </c>
      <c r="AR19" s="214">
        <f t="shared" si="10"/>
        <v>68.260000000000005</v>
      </c>
      <c r="AS19" s="218">
        <f t="shared" si="29"/>
        <v>34.130000000000003</v>
      </c>
      <c r="AT19" s="214">
        <v>2</v>
      </c>
      <c r="AU19" s="216">
        <f t="shared" si="18"/>
        <v>136.52000000000001</v>
      </c>
      <c r="AV19" s="217"/>
      <c r="AW19" s="214">
        <v>12</v>
      </c>
      <c r="AX19" s="214">
        <f t="shared" si="11"/>
        <v>44.74</v>
      </c>
      <c r="AY19" s="218">
        <f t="shared" si="30"/>
        <v>22.37</v>
      </c>
      <c r="AZ19" s="214">
        <v>2</v>
      </c>
      <c r="BA19" s="216">
        <f t="shared" si="19"/>
        <v>89.48</v>
      </c>
      <c r="BB19" s="217"/>
      <c r="BC19" s="214">
        <v>12</v>
      </c>
      <c r="BD19" s="214">
        <f t="shared" si="12"/>
        <v>21.560000000000002</v>
      </c>
      <c r="BE19" s="218">
        <f t="shared" si="31"/>
        <v>10.780000000000001</v>
      </c>
      <c r="BF19" s="214">
        <v>2</v>
      </c>
      <c r="BG19" s="216">
        <f t="shared" si="20"/>
        <v>43.120000000000005</v>
      </c>
      <c r="BH19" s="217"/>
      <c r="BI19" s="214">
        <v>12</v>
      </c>
      <c r="BJ19" s="214">
        <f t="shared" si="0"/>
        <v>10.42</v>
      </c>
      <c r="BK19" s="215">
        <v>5.21</v>
      </c>
      <c r="BL19" s="214">
        <v>2</v>
      </c>
      <c r="BM19" s="216">
        <f t="shared" si="21"/>
        <v>20.84</v>
      </c>
    </row>
    <row r="20" spans="1:65" ht="16.2">
      <c r="A20" s="214">
        <v>13</v>
      </c>
      <c r="B20" s="214">
        <f t="shared" si="1"/>
        <v>252.95999999999998</v>
      </c>
      <c r="C20" s="215">
        <f t="shared" si="22"/>
        <v>126.47999999999999</v>
      </c>
      <c r="D20" s="214">
        <v>4</v>
      </c>
      <c r="E20" s="216">
        <f t="shared" si="5"/>
        <v>1011.8399999999999</v>
      </c>
      <c r="G20" s="214">
        <v>13</v>
      </c>
      <c r="H20" s="214">
        <f t="shared" si="2"/>
        <v>210.76</v>
      </c>
      <c r="I20" s="215">
        <f t="shared" si="23"/>
        <v>105.38</v>
      </c>
      <c r="J20" s="214">
        <v>4</v>
      </c>
      <c r="K20" s="216">
        <f t="shared" si="6"/>
        <v>843.04</v>
      </c>
      <c r="L20" s="217"/>
      <c r="M20" s="214">
        <v>13</v>
      </c>
      <c r="N20" s="214">
        <f t="shared" si="3"/>
        <v>185.95999999999998</v>
      </c>
      <c r="O20" s="215">
        <f t="shared" si="24"/>
        <v>92.97999999999999</v>
      </c>
      <c r="P20" s="214">
        <v>4</v>
      </c>
      <c r="Q20" s="216">
        <f t="shared" si="13"/>
        <v>743.83999999999992</v>
      </c>
      <c r="R20" s="217"/>
      <c r="S20" s="214">
        <v>13</v>
      </c>
      <c r="T20" s="214">
        <f t="shared" si="4"/>
        <v>162.41999999999999</v>
      </c>
      <c r="U20" s="215">
        <f t="shared" si="25"/>
        <v>81.209999999999994</v>
      </c>
      <c r="V20" s="214">
        <v>4</v>
      </c>
      <c r="W20" s="216">
        <f t="shared" si="14"/>
        <v>649.67999999999995</v>
      </c>
      <c r="X20" s="217"/>
      <c r="Y20" s="214">
        <v>13</v>
      </c>
      <c r="Z20" s="214">
        <f t="shared" si="7"/>
        <v>138.88</v>
      </c>
      <c r="AA20" s="215">
        <f t="shared" si="26"/>
        <v>69.44</v>
      </c>
      <c r="AB20" s="214">
        <v>4</v>
      </c>
      <c r="AC20" s="216">
        <f t="shared" si="15"/>
        <v>555.52</v>
      </c>
      <c r="AD20" s="217"/>
      <c r="AE20" s="214">
        <v>13</v>
      </c>
      <c r="AF20" s="214">
        <f t="shared" si="8"/>
        <v>115.34</v>
      </c>
      <c r="AG20" s="218">
        <f t="shared" si="27"/>
        <v>57.67</v>
      </c>
      <c r="AH20" s="214">
        <v>4</v>
      </c>
      <c r="AI20" s="216">
        <f t="shared" si="16"/>
        <v>461.36</v>
      </c>
      <c r="AJ20" s="217"/>
      <c r="AK20" s="214">
        <v>13</v>
      </c>
      <c r="AL20" s="214">
        <f t="shared" si="9"/>
        <v>91.800000000000011</v>
      </c>
      <c r="AM20" s="218">
        <f t="shared" si="28"/>
        <v>45.900000000000006</v>
      </c>
      <c r="AN20" s="214">
        <v>4</v>
      </c>
      <c r="AO20" s="216">
        <f t="shared" si="17"/>
        <v>367.20000000000005</v>
      </c>
      <c r="AP20" s="217"/>
      <c r="AQ20" s="214">
        <v>13</v>
      </c>
      <c r="AR20" s="214">
        <f t="shared" si="10"/>
        <v>68.260000000000005</v>
      </c>
      <c r="AS20" s="218">
        <f t="shared" si="29"/>
        <v>34.130000000000003</v>
      </c>
      <c r="AT20" s="214">
        <v>4</v>
      </c>
      <c r="AU20" s="216">
        <f t="shared" si="18"/>
        <v>273.04000000000002</v>
      </c>
      <c r="AV20" s="217"/>
      <c r="AW20" s="214">
        <v>13</v>
      </c>
      <c r="AX20" s="214">
        <f t="shared" si="11"/>
        <v>44.74</v>
      </c>
      <c r="AY20" s="218">
        <f t="shared" si="30"/>
        <v>22.37</v>
      </c>
      <c r="AZ20" s="214">
        <v>4</v>
      </c>
      <c r="BA20" s="216">
        <f t="shared" si="19"/>
        <v>178.96</v>
      </c>
      <c r="BB20" s="217"/>
      <c r="BC20" s="214">
        <v>13</v>
      </c>
      <c r="BD20" s="214">
        <f t="shared" si="12"/>
        <v>21.560000000000002</v>
      </c>
      <c r="BE20" s="218">
        <f t="shared" si="31"/>
        <v>10.780000000000001</v>
      </c>
      <c r="BF20" s="214">
        <v>4</v>
      </c>
      <c r="BG20" s="216">
        <f t="shared" si="20"/>
        <v>86.240000000000009</v>
      </c>
      <c r="BH20" s="217"/>
      <c r="BI20" s="214">
        <v>13</v>
      </c>
      <c r="BJ20" s="214">
        <f t="shared" si="0"/>
        <v>10.42</v>
      </c>
      <c r="BK20" s="215">
        <v>5.21</v>
      </c>
      <c r="BL20" s="214">
        <v>4</v>
      </c>
      <c r="BM20" s="216">
        <f t="shared" si="21"/>
        <v>41.68</v>
      </c>
    </row>
    <row r="21" spans="1:65" ht="16.2">
      <c r="A21" s="214">
        <v>14</v>
      </c>
      <c r="B21" s="214">
        <f t="shared" si="1"/>
        <v>252.95999999999998</v>
      </c>
      <c r="C21" s="215">
        <f t="shared" si="22"/>
        <v>126.47999999999999</v>
      </c>
      <c r="D21" s="214">
        <v>2</v>
      </c>
      <c r="E21" s="216">
        <f t="shared" si="5"/>
        <v>505.91999999999996</v>
      </c>
      <c r="G21" s="214">
        <v>14</v>
      </c>
      <c r="H21" s="214">
        <f t="shared" si="2"/>
        <v>210.76</v>
      </c>
      <c r="I21" s="215">
        <f t="shared" si="23"/>
        <v>105.38</v>
      </c>
      <c r="J21" s="214">
        <v>2</v>
      </c>
      <c r="K21" s="216">
        <f t="shared" si="6"/>
        <v>421.52</v>
      </c>
      <c r="L21" s="217"/>
      <c r="M21" s="214">
        <v>14</v>
      </c>
      <c r="N21" s="214">
        <f t="shared" si="3"/>
        <v>185.95999999999998</v>
      </c>
      <c r="O21" s="215">
        <f t="shared" si="24"/>
        <v>92.97999999999999</v>
      </c>
      <c r="P21" s="214">
        <v>2</v>
      </c>
      <c r="Q21" s="216">
        <f t="shared" si="13"/>
        <v>371.91999999999996</v>
      </c>
      <c r="R21" s="217"/>
      <c r="S21" s="214">
        <v>14</v>
      </c>
      <c r="T21" s="214">
        <f t="shared" si="4"/>
        <v>162.41999999999999</v>
      </c>
      <c r="U21" s="215">
        <f t="shared" si="25"/>
        <v>81.209999999999994</v>
      </c>
      <c r="V21" s="214">
        <v>2</v>
      </c>
      <c r="W21" s="216">
        <f t="shared" si="14"/>
        <v>324.83999999999997</v>
      </c>
      <c r="X21" s="217"/>
      <c r="Y21" s="214">
        <v>14</v>
      </c>
      <c r="Z21" s="214">
        <f t="shared" si="7"/>
        <v>138.88</v>
      </c>
      <c r="AA21" s="215">
        <f t="shared" si="26"/>
        <v>69.44</v>
      </c>
      <c r="AB21" s="214">
        <v>2</v>
      </c>
      <c r="AC21" s="216">
        <f t="shared" si="15"/>
        <v>277.76</v>
      </c>
      <c r="AD21" s="217"/>
      <c r="AE21" s="214">
        <v>14</v>
      </c>
      <c r="AF21" s="214">
        <f t="shared" si="8"/>
        <v>115.34</v>
      </c>
      <c r="AG21" s="218">
        <f t="shared" si="27"/>
        <v>57.67</v>
      </c>
      <c r="AH21" s="214">
        <v>2</v>
      </c>
      <c r="AI21" s="216">
        <f t="shared" si="16"/>
        <v>230.68</v>
      </c>
      <c r="AJ21" s="217"/>
      <c r="AK21" s="214">
        <v>14</v>
      </c>
      <c r="AL21" s="214">
        <f t="shared" si="9"/>
        <v>91.800000000000011</v>
      </c>
      <c r="AM21" s="218">
        <f t="shared" si="28"/>
        <v>45.900000000000006</v>
      </c>
      <c r="AN21" s="214">
        <v>2</v>
      </c>
      <c r="AO21" s="216">
        <f t="shared" si="17"/>
        <v>183.60000000000002</v>
      </c>
      <c r="AP21" s="217"/>
      <c r="AQ21" s="214">
        <v>14</v>
      </c>
      <c r="AR21" s="214">
        <f t="shared" si="10"/>
        <v>68.260000000000005</v>
      </c>
      <c r="AS21" s="218">
        <f t="shared" si="29"/>
        <v>34.130000000000003</v>
      </c>
      <c r="AT21" s="214">
        <v>2</v>
      </c>
      <c r="AU21" s="216">
        <f t="shared" si="18"/>
        <v>136.52000000000001</v>
      </c>
      <c r="AV21" s="217"/>
      <c r="AW21" s="214">
        <v>14</v>
      </c>
      <c r="AX21" s="214">
        <f t="shared" si="11"/>
        <v>44.74</v>
      </c>
      <c r="AY21" s="218">
        <f t="shared" si="30"/>
        <v>22.37</v>
      </c>
      <c r="AZ21" s="214">
        <v>2</v>
      </c>
      <c r="BA21" s="216">
        <f t="shared" si="19"/>
        <v>89.48</v>
      </c>
      <c r="BB21" s="217"/>
      <c r="BC21" s="214">
        <v>14</v>
      </c>
      <c r="BD21" s="214">
        <f t="shared" si="12"/>
        <v>21.560000000000002</v>
      </c>
      <c r="BE21" s="218">
        <f t="shared" si="31"/>
        <v>10.780000000000001</v>
      </c>
      <c r="BF21" s="214">
        <v>2</v>
      </c>
      <c r="BG21" s="216">
        <f t="shared" si="20"/>
        <v>43.120000000000005</v>
      </c>
      <c r="BH21" s="217"/>
      <c r="BI21" s="214">
        <v>14</v>
      </c>
      <c r="BJ21" s="214">
        <f t="shared" si="0"/>
        <v>10.42</v>
      </c>
      <c r="BK21" s="215">
        <v>5.21</v>
      </c>
      <c r="BL21" s="214">
        <v>2</v>
      </c>
      <c r="BM21" s="216">
        <f t="shared" si="21"/>
        <v>20.84</v>
      </c>
    </row>
    <row r="22" spans="1:65" ht="16.2">
      <c r="A22" s="214">
        <v>15</v>
      </c>
      <c r="B22" s="214">
        <f t="shared" si="1"/>
        <v>253.04</v>
      </c>
      <c r="C22" s="215">
        <f>21.14+I22</f>
        <v>126.52</v>
      </c>
      <c r="D22" s="214">
        <v>4</v>
      </c>
      <c r="E22" s="216">
        <f t="shared" si="5"/>
        <v>1012.16</v>
      </c>
      <c r="G22" s="214">
        <v>15</v>
      </c>
      <c r="H22" s="214">
        <f t="shared" si="2"/>
        <v>210.76</v>
      </c>
      <c r="I22" s="215">
        <f t="shared" si="23"/>
        <v>105.38</v>
      </c>
      <c r="J22" s="214">
        <v>4</v>
      </c>
      <c r="K22" s="216">
        <f t="shared" si="6"/>
        <v>843.04</v>
      </c>
      <c r="L22" s="217"/>
      <c r="M22" s="214">
        <v>15</v>
      </c>
      <c r="N22" s="214">
        <f t="shared" si="3"/>
        <v>185.95999999999998</v>
      </c>
      <c r="O22" s="215">
        <f t="shared" si="24"/>
        <v>92.97999999999999</v>
      </c>
      <c r="P22" s="214">
        <v>4</v>
      </c>
      <c r="Q22" s="216">
        <f t="shared" si="13"/>
        <v>743.83999999999992</v>
      </c>
      <c r="R22" s="217"/>
      <c r="S22" s="214">
        <v>15</v>
      </c>
      <c r="T22" s="214">
        <f t="shared" si="4"/>
        <v>162.41999999999999</v>
      </c>
      <c r="U22" s="215">
        <f t="shared" si="25"/>
        <v>81.209999999999994</v>
      </c>
      <c r="V22" s="214">
        <v>4</v>
      </c>
      <c r="W22" s="216">
        <f t="shared" si="14"/>
        <v>649.67999999999995</v>
      </c>
      <c r="X22" s="217"/>
      <c r="Y22" s="214">
        <v>15</v>
      </c>
      <c r="Z22" s="214">
        <f t="shared" si="7"/>
        <v>138.88</v>
      </c>
      <c r="AA22" s="215">
        <f t="shared" si="26"/>
        <v>69.44</v>
      </c>
      <c r="AB22" s="214">
        <v>4</v>
      </c>
      <c r="AC22" s="216">
        <f t="shared" si="15"/>
        <v>555.52</v>
      </c>
      <c r="AD22" s="217"/>
      <c r="AE22" s="214">
        <v>15</v>
      </c>
      <c r="AF22" s="214">
        <f t="shared" si="8"/>
        <v>115.34</v>
      </c>
      <c r="AG22" s="218">
        <f t="shared" si="27"/>
        <v>57.67</v>
      </c>
      <c r="AH22" s="214">
        <v>4</v>
      </c>
      <c r="AI22" s="216">
        <f t="shared" si="16"/>
        <v>461.36</v>
      </c>
      <c r="AJ22" s="217"/>
      <c r="AK22" s="214">
        <v>15</v>
      </c>
      <c r="AL22" s="214">
        <f t="shared" si="9"/>
        <v>91.800000000000011</v>
      </c>
      <c r="AM22" s="218">
        <f t="shared" si="28"/>
        <v>45.900000000000006</v>
      </c>
      <c r="AN22" s="214">
        <v>4</v>
      </c>
      <c r="AO22" s="216">
        <f t="shared" si="17"/>
        <v>367.20000000000005</v>
      </c>
      <c r="AP22" s="217"/>
      <c r="AQ22" s="214">
        <v>15</v>
      </c>
      <c r="AR22" s="214">
        <f t="shared" si="10"/>
        <v>68.260000000000005</v>
      </c>
      <c r="AS22" s="218">
        <f t="shared" si="29"/>
        <v>34.130000000000003</v>
      </c>
      <c r="AT22" s="214">
        <v>4</v>
      </c>
      <c r="AU22" s="216">
        <f t="shared" si="18"/>
        <v>273.04000000000002</v>
      </c>
      <c r="AV22" s="217"/>
      <c r="AW22" s="214">
        <v>15</v>
      </c>
      <c r="AX22" s="214">
        <f t="shared" si="11"/>
        <v>44.74</v>
      </c>
      <c r="AY22" s="218">
        <f t="shared" si="30"/>
        <v>22.37</v>
      </c>
      <c r="AZ22" s="214">
        <v>4</v>
      </c>
      <c r="BA22" s="216">
        <f t="shared" si="19"/>
        <v>178.96</v>
      </c>
      <c r="BB22" s="217"/>
      <c r="BC22" s="214">
        <v>15</v>
      </c>
      <c r="BD22" s="214">
        <f t="shared" si="12"/>
        <v>21.560000000000002</v>
      </c>
      <c r="BE22" s="218">
        <f t="shared" si="31"/>
        <v>10.780000000000001</v>
      </c>
      <c r="BF22" s="214">
        <v>4</v>
      </c>
      <c r="BG22" s="216">
        <f t="shared" si="20"/>
        <v>86.240000000000009</v>
      </c>
      <c r="BH22" s="217"/>
      <c r="BI22" s="214">
        <v>15</v>
      </c>
      <c r="BJ22" s="214">
        <f t="shared" si="0"/>
        <v>10.42</v>
      </c>
      <c r="BK22" s="215">
        <v>5.21</v>
      </c>
      <c r="BL22" s="214">
        <v>4</v>
      </c>
      <c r="BM22" s="216">
        <f t="shared" si="21"/>
        <v>41.68</v>
      </c>
    </row>
    <row r="23" spans="1:65" ht="16.2">
      <c r="A23" s="214">
        <v>16</v>
      </c>
      <c r="B23" s="214">
        <f t="shared" si="1"/>
        <v>240.95999999999998</v>
      </c>
      <c r="C23" s="215">
        <f>20.57+I23</f>
        <v>120.47999999999999</v>
      </c>
      <c r="D23" s="214">
        <v>2</v>
      </c>
      <c r="E23" s="216">
        <f t="shared" si="5"/>
        <v>481.91999999999996</v>
      </c>
      <c r="G23" s="214">
        <v>16</v>
      </c>
      <c r="H23" s="214">
        <f t="shared" si="2"/>
        <v>199.82</v>
      </c>
      <c r="I23" s="215">
        <f>11.94+O23</f>
        <v>99.91</v>
      </c>
      <c r="J23" s="214">
        <v>2</v>
      </c>
      <c r="K23" s="216">
        <f t="shared" si="6"/>
        <v>399.64</v>
      </c>
      <c r="L23" s="217"/>
      <c r="M23" s="214">
        <v>16</v>
      </c>
      <c r="N23" s="214">
        <f t="shared" si="3"/>
        <v>175.94</v>
      </c>
      <c r="O23" s="215">
        <f>11.25+U23</f>
        <v>87.97</v>
      </c>
      <c r="P23" s="214">
        <v>2</v>
      </c>
      <c r="Q23" s="216">
        <f t="shared" si="13"/>
        <v>351.88</v>
      </c>
      <c r="R23" s="217"/>
      <c r="S23" s="214">
        <v>16</v>
      </c>
      <c r="T23" s="214">
        <f t="shared" si="4"/>
        <v>153.44</v>
      </c>
      <c r="U23" s="215">
        <f>11.19+AA23</f>
        <v>76.72</v>
      </c>
      <c r="V23" s="214">
        <v>2</v>
      </c>
      <c r="W23" s="216">
        <f t="shared" si="14"/>
        <v>306.88</v>
      </c>
      <c r="X23" s="217"/>
      <c r="Y23" s="214">
        <v>16</v>
      </c>
      <c r="Z23" s="214">
        <f t="shared" si="7"/>
        <v>131.06</v>
      </c>
      <c r="AA23" s="215">
        <f>11.16+AG23</f>
        <v>65.53</v>
      </c>
      <c r="AB23" s="214">
        <v>2</v>
      </c>
      <c r="AC23" s="216">
        <f t="shared" si="15"/>
        <v>262.12</v>
      </c>
      <c r="AD23" s="217"/>
      <c r="AE23" s="214">
        <v>16</v>
      </c>
      <c r="AF23" s="214">
        <f t="shared" si="8"/>
        <v>108.74</v>
      </c>
      <c r="AG23" s="218">
        <f>11.12+AM23</f>
        <v>54.37</v>
      </c>
      <c r="AH23" s="214">
        <v>2</v>
      </c>
      <c r="AI23" s="216">
        <f t="shared" si="16"/>
        <v>217.48</v>
      </c>
      <c r="AJ23" s="217"/>
      <c r="AK23" s="214">
        <v>16</v>
      </c>
      <c r="AL23" s="214">
        <f t="shared" si="9"/>
        <v>86.5</v>
      </c>
      <c r="AM23" s="218">
        <f>11.09+AS23</f>
        <v>43.25</v>
      </c>
      <c r="AN23" s="214">
        <v>2</v>
      </c>
      <c r="AO23" s="216">
        <f t="shared" si="17"/>
        <v>173</v>
      </c>
      <c r="AP23" s="217"/>
      <c r="AQ23" s="214">
        <v>16</v>
      </c>
      <c r="AR23" s="214">
        <f t="shared" si="10"/>
        <v>64.319999999999993</v>
      </c>
      <c r="AS23" s="218">
        <f>11.05+AY23</f>
        <v>32.159999999999997</v>
      </c>
      <c r="AT23" s="214">
        <v>2</v>
      </c>
      <c r="AU23" s="216">
        <f t="shared" si="18"/>
        <v>128.63999999999999</v>
      </c>
      <c r="AV23" s="217"/>
      <c r="AW23" s="214">
        <v>16</v>
      </c>
      <c r="AX23" s="214">
        <f t="shared" si="11"/>
        <v>42.22</v>
      </c>
      <c r="AY23" s="218">
        <f>10.89+BE23</f>
        <v>21.11</v>
      </c>
      <c r="AZ23" s="214">
        <v>2</v>
      </c>
      <c r="BA23" s="216">
        <f t="shared" si="19"/>
        <v>84.44</v>
      </c>
      <c r="BB23" s="217"/>
      <c r="BC23" s="214">
        <v>16</v>
      </c>
      <c r="BD23" s="214">
        <f t="shared" si="12"/>
        <v>20.439999999999998</v>
      </c>
      <c r="BE23" s="218">
        <f>5.27+BK23</f>
        <v>10.219999999999999</v>
      </c>
      <c r="BF23" s="214">
        <v>2</v>
      </c>
      <c r="BG23" s="216">
        <f t="shared" si="20"/>
        <v>40.879999999999995</v>
      </c>
      <c r="BH23" s="217"/>
      <c r="BI23" s="214">
        <v>16</v>
      </c>
      <c r="BJ23" s="214">
        <f t="shared" si="0"/>
        <v>9.9</v>
      </c>
      <c r="BK23" s="215">
        <v>4.95</v>
      </c>
      <c r="BL23" s="214">
        <v>2</v>
      </c>
      <c r="BM23" s="216">
        <f t="shared" si="21"/>
        <v>19.8</v>
      </c>
    </row>
    <row r="24" spans="1:65" ht="16.2">
      <c r="A24" s="214">
        <v>17</v>
      </c>
      <c r="B24" s="214">
        <f t="shared" si="1"/>
        <v>213.82</v>
      </c>
      <c r="C24" s="215">
        <f>18.58+I24</f>
        <v>106.91</v>
      </c>
      <c r="D24" s="214">
        <v>4</v>
      </c>
      <c r="E24" s="216">
        <f t="shared" si="5"/>
        <v>855.28</v>
      </c>
      <c r="G24" s="214">
        <v>17</v>
      </c>
      <c r="H24" s="214">
        <f t="shared" si="2"/>
        <v>176.66</v>
      </c>
      <c r="I24" s="215">
        <f>10.66+O24</f>
        <v>88.33</v>
      </c>
      <c r="J24" s="214">
        <v>4</v>
      </c>
      <c r="K24" s="216">
        <f t="shared" si="6"/>
        <v>706.64</v>
      </c>
      <c r="L24" s="217"/>
      <c r="M24" s="214">
        <v>17</v>
      </c>
      <c r="N24" s="214">
        <f t="shared" si="3"/>
        <v>155.34</v>
      </c>
      <c r="O24" s="215">
        <f>9.97+U24</f>
        <v>77.67</v>
      </c>
      <c r="P24" s="214">
        <v>4</v>
      </c>
      <c r="Q24" s="216">
        <f t="shared" si="13"/>
        <v>621.36</v>
      </c>
      <c r="R24" s="217"/>
      <c r="S24" s="214">
        <v>17</v>
      </c>
      <c r="T24" s="214">
        <f t="shared" si="4"/>
        <v>135.4</v>
      </c>
      <c r="U24" s="215">
        <f>9.87+AA24</f>
        <v>67.7</v>
      </c>
      <c r="V24" s="214">
        <v>4</v>
      </c>
      <c r="W24" s="216">
        <f t="shared" si="14"/>
        <v>541.6</v>
      </c>
      <c r="X24" s="217"/>
      <c r="Y24" s="214">
        <v>17</v>
      </c>
      <c r="Z24" s="214">
        <f t="shared" si="7"/>
        <v>115.66000000000001</v>
      </c>
      <c r="AA24" s="215">
        <f>9.81+AG24</f>
        <v>57.830000000000005</v>
      </c>
      <c r="AB24" s="214">
        <v>4</v>
      </c>
      <c r="AC24" s="216">
        <f t="shared" si="15"/>
        <v>462.64000000000004</v>
      </c>
      <c r="AD24" s="217"/>
      <c r="AE24" s="214">
        <v>17</v>
      </c>
      <c r="AF24" s="214">
        <f t="shared" si="8"/>
        <v>96.04</v>
      </c>
      <c r="AG24" s="218">
        <f>9.78+AM24</f>
        <v>48.02</v>
      </c>
      <c r="AH24" s="214">
        <v>4</v>
      </c>
      <c r="AI24" s="216">
        <f t="shared" si="16"/>
        <v>384.16</v>
      </c>
      <c r="AJ24" s="217"/>
      <c r="AK24" s="214">
        <v>17</v>
      </c>
      <c r="AL24" s="214">
        <f t="shared" si="9"/>
        <v>76.48</v>
      </c>
      <c r="AM24" s="218">
        <f>9.76+AS24</f>
        <v>38.24</v>
      </c>
      <c r="AN24" s="214">
        <v>4</v>
      </c>
      <c r="AO24" s="216">
        <f t="shared" si="17"/>
        <v>305.92</v>
      </c>
      <c r="AP24" s="217"/>
      <c r="AQ24" s="214">
        <v>17</v>
      </c>
      <c r="AR24" s="214">
        <f t="shared" si="10"/>
        <v>56.96</v>
      </c>
      <c r="AS24" s="218">
        <f>9.73+AY24</f>
        <v>28.48</v>
      </c>
      <c r="AT24" s="214">
        <v>4</v>
      </c>
      <c r="AU24" s="216">
        <f t="shared" si="18"/>
        <v>227.84</v>
      </c>
      <c r="AV24" s="217"/>
      <c r="AW24" s="214">
        <v>17</v>
      </c>
      <c r="AX24" s="214">
        <f t="shared" si="11"/>
        <v>37.5</v>
      </c>
      <c r="AY24" s="218">
        <f>9.62+BE24</f>
        <v>18.75</v>
      </c>
      <c r="AZ24" s="214">
        <v>4</v>
      </c>
      <c r="BA24" s="216">
        <f t="shared" si="19"/>
        <v>150</v>
      </c>
      <c r="BB24" s="217"/>
      <c r="BC24" s="214">
        <v>17</v>
      </c>
      <c r="BD24" s="214">
        <f t="shared" si="12"/>
        <v>18.259999999999998</v>
      </c>
      <c r="BE24" s="218">
        <f>4.71+BK24</f>
        <v>9.129999999999999</v>
      </c>
      <c r="BF24" s="214">
        <v>4</v>
      </c>
      <c r="BG24" s="216">
        <f t="shared" si="20"/>
        <v>73.039999999999992</v>
      </c>
      <c r="BH24" s="217"/>
      <c r="BI24" s="214">
        <v>17</v>
      </c>
      <c r="BJ24" s="214">
        <f t="shared" si="0"/>
        <v>8.84</v>
      </c>
      <c r="BK24" s="215">
        <v>4.42</v>
      </c>
      <c r="BL24" s="214">
        <v>4</v>
      </c>
      <c r="BM24" s="216">
        <f t="shared" si="21"/>
        <v>35.36</v>
      </c>
    </row>
    <row r="25" spans="1:65" ht="16.2">
      <c r="A25" s="214">
        <v>18</v>
      </c>
      <c r="B25" s="214">
        <f t="shared" si="1"/>
        <v>150.76</v>
      </c>
      <c r="C25" s="215">
        <f>13.29+I25</f>
        <v>75.38</v>
      </c>
      <c r="D25" s="214">
        <v>2</v>
      </c>
      <c r="E25" s="216">
        <f t="shared" si="5"/>
        <v>301.52</v>
      </c>
      <c r="G25" s="214">
        <v>18</v>
      </c>
      <c r="H25" s="214">
        <f t="shared" si="2"/>
        <v>124.17999999999998</v>
      </c>
      <c r="I25" s="215">
        <f>7.52+O25</f>
        <v>62.089999999999989</v>
      </c>
      <c r="J25" s="214">
        <v>2</v>
      </c>
      <c r="K25" s="216">
        <f t="shared" si="6"/>
        <v>248.35999999999996</v>
      </c>
      <c r="L25" s="217"/>
      <c r="M25" s="214">
        <v>18</v>
      </c>
      <c r="N25" s="214">
        <f t="shared" si="3"/>
        <v>109.13999999999999</v>
      </c>
      <c r="O25" s="215">
        <f>7.02+U25</f>
        <v>54.569999999999993</v>
      </c>
      <c r="P25" s="214">
        <v>2</v>
      </c>
      <c r="Q25" s="216">
        <f t="shared" si="13"/>
        <v>218.27999999999997</v>
      </c>
      <c r="R25" s="217"/>
      <c r="S25" s="214">
        <v>18</v>
      </c>
      <c r="T25" s="214">
        <f t="shared" si="4"/>
        <v>95.1</v>
      </c>
      <c r="U25" s="215">
        <f>6.94+AA25</f>
        <v>47.55</v>
      </c>
      <c r="V25" s="214">
        <v>2</v>
      </c>
      <c r="W25" s="216">
        <f t="shared" si="14"/>
        <v>190.2</v>
      </c>
      <c r="X25" s="217"/>
      <c r="Y25" s="214">
        <v>18</v>
      </c>
      <c r="Z25" s="214">
        <f t="shared" si="7"/>
        <v>81.22</v>
      </c>
      <c r="AA25" s="215">
        <f>6.89+AG25</f>
        <v>40.61</v>
      </c>
      <c r="AB25" s="214">
        <v>2</v>
      </c>
      <c r="AC25" s="216">
        <f t="shared" si="15"/>
        <v>162.44</v>
      </c>
      <c r="AD25" s="217"/>
      <c r="AE25" s="214">
        <v>18</v>
      </c>
      <c r="AF25" s="214">
        <f t="shared" si="8"/>
        <v>67.44</v>
      </c>
      <c r="AG25" s="218">
        <f>6.87+AM25</f>
        <v>33.72</v>
      </c>
      <c r="AH25" s="214">
        <v>2</v>
      </c>
      <c r="AI25" s="216">
        <f t="shared" si="16"/>
        <v>134.88</v>
      </c>
      <c r="AJ25" s="217"/>
      <c r="AK25" s="214">
        <v>18</v>
      </c>
      <c r="AL25" s="214">
        <f t="shared" si="9"/>
        <v>53.7</v>
      </c>
      <c r="AM25" s="218">
        <f>6.85+AS25</f>
        <v>26.85</v>
      </c>
      <c r="AN25" s="214">
        <v>2</v>
      </c>
      <c r="AO25" s="216">
        <f t="shared" si="17"/>
        <v>107.4</v>
      </c>
      <c r="AP25" s="217"/>
      <c r="AQ25" s="214">
        <v>18</v>
      </c>
      <c r="AR25" s="214">
        <f t="shared" si="10"/>
        <v>40</v>
      </c>
      <c r="AS25" s="218">
        <f>6.83+AY25</f>
        <v>20</v>
      </c>
      <c r="AT25" s="214">
        <v>2</v>
      </c>
      <c r="AU25" s="216">
        <f t="shared" si="18"/>
        <v>80</v>
      </c>
      <c r="AV25" s="217"/>
      <c r="AW25" s="214">
        <v>18</v>
      </c>
      <c r="AX25" s="214">
        <f t="shared" si="11"/>
        <v>26.34</v>
      </c>
      <c r="AY25" s="218">
        <f>6.77+BE25</f>
        <v>13.17</v>
      </c>
      <c r="AZ25" s="214">
        <v>2</v>
      </c>
      <c r="BA25" s="216">
        <f t="shared" si="19"/>
        <v>52.68</v>
      </c>
      <c r="BB25" s="217"/>
      <c r="BC25" s="214">
        <v>18</v>
      </c>
      <c r="BD25" s="214">
        <f t="shared" si="12"/>
        <v>12.8</v>
      </c>
      <c r="BE25" s="218">
        <f>3.32+BK25</f>
        <v>6.4</v>
      </c>
      <c r="BF25" s="214">
        <v>2</v>
      </c>
      <c r="BG25" s="216">
        <f t="shared" si="20"/>
        <v>25.6</v>
      </c>
      <c r="BH25" s="217"/>
      <c r="BI25" s="214">
        <v>18</v>
      </c>
      <c r="BJ25" s="214">
        <f t="shared" si="0"/>
        <v>6.16</v>
      </c>
      <c r="BK25" s="215">
        <v>3.08</v>
      </c>
      <c r="BL25" s="214">
        <v>2</v>
      </c>
      <c r="BM25" s="216">
        <f t="shared" si="21"/>
        <v>12.32</v>
      </c>
    </row>
    <row r="26" spans="1:65" ht="16.2">
      <c r="A26" s="214">
        <v>19</v>
      </c>
      <c r="B26" s="214">
        <f t="shared" si="1"/>
        <v>66.599999999999994</v>
      </c>
      <c r="C26" s="215">
        <f>7.62+I26</f>
        <v>33.299999999999997</v>
      </c>
      <c r="D26" s="214">
        <v>4</v>
      </c>
      <c r="E26" s="216">
        <f t="shared" si="5"/>
        <v>266.39999999999998</v>
      </c>
      <c r="G26" s="214">
        <v>19</v>
      </c>
      <c r="H26" s="214">
        <f t="shared" si="2"/>
        <v>51.36</v>
      </c>
      <c r="I26" s="215">
        <f>3.8+O26</f>
        <v>25.68</v>
      </c>
      <c r="J26" s="214">
        <v>4</v>
      </c>
      <c r="K26" s="216">
        <f t="shared" si="6"/>
        <v>205.44</v>
      </c>
      <c r="L26" s="217"/>
      <c r="M26" s="214">
        <v>19</v>
      </c>
      <c r="N26" s="214">
        <f t="shared" si="3"/>
        <v>43.76</v>
      </c>
      <c r="O26" s="215">
        <f>3.28+U26</f>
        <v>21.88</v>
      </c>
      <c r="P26" s="214">
        <v>4</v>
      </c>
      <c r="Q26" s="216">
        <f t="shared" si="13"/>
        <v>175.04</v>
      </c>
      <c r="R26" s="217"/>
      <c r="S26" s="214">
        <v>19</v>
      </c>
      <c r="T26" s="214">
        <f t="shared" si="4"/>
        <v>37.199999999999996</v>
      </c>
      <c r="U26" s="215">
        <f>3.07+AA26</f>
        <v>18.599999999999998</v>
      </c>
      <c r="V26" s="214">
        <v>4</v>
      </c>
      <c r="W26" s="216">
        <f t="shared" si="14"/>
        <v>148.79999999999998</v>
      </c>
      <c r="X26" s="217"/>
      <c r="Y26" s="214">
        <v>19</v>
      </c>
      <c r="Z26" s="214">
        <f t="shared" si="7"/>
        <v>31.06</v>
      </c>
      <c r="AA26" s="215">
        <f>2.93+AG26</f>
        <v>15.53</v>
      </c>
      <c r="AB26" s="214">
        <v>4</v>
      </c>
      <c r="AC26" s="216">
        <f t="shared" si="15"/>
        <v>124.24</v>
      </c>
      <c r="AD26" s="217"/>
      <c r="AE26" s="214">
        <v>19</v>
      </c>
      <c r="AF26" s="214">
        <f t="shared" si="8"/>
        <v>25.2</v>
      </c>
      <c r="AG26" s="218">
        <f>2.85+AM26</f>
        <v>12.6</v>
      </c>
      <c r="AH26" s="214">
        <v>4</v>
      </c>
      <c r="AI26" s="216">
        <f t="shared" si="16"/>
        <v>100.8</v>
      </c>
      <c r="AJ26" s="217"/>
      <c r="AK26" s="214">
        <v>19</v>
      </c>
      <c r="AL26" s="214">
        <f t="shared" si="9"/>
        <v>19.5</v>
      </c>
      <c r="AM26" s="218">
        <f>2.81+AS26</f>
        <v>9.75</v>
      </c>
      <c r="AN26" s="214">
        <v>4</v>
      </c>
      <c r="AO26" s="216">
        <f t="shared" si="17"/>
        <v>78</v>
      </c>
      <c r="AP26" s="217"/>
      <c r="AQ26" s="214">
        <v>19</v>
      </c>
      <c r="AR26" s="214">
        <f t="shared" si="10"/>
        <v>13.879999999999999</v>
      </c>
      <c r="AS26" s="218">
        <f>2.73+AY26</f>
        <v>6.9399999999999995</v>
      </c>
      <c r="AT26" s="214">
        <v>4</v>
      </c>
      <c r="AU26" s="216">
        <f t="shared" si="18"/>
        <v>55.519999999999996</v>
      </c>
      <c r="AV26" s="217"/>
      <c r="AW26" s="214">
        <v>19</v>
      </c>
      <c r="AX26" s="214">
        <f t="shared" si="11"/>
        <v>8.42</v>
      </c>
      <c r="AY26" s="218">
        <f>2.48+BE26</f>
        <v>4.21</v>
      </c>
      <c r="AZ26" s="214">
        <v>4</v>
      </c>
      <c r="BA26" s="216">
        <f t="shared" si="19"/>
        <v>33.68</v>
      </c>
      <c r="BB26" s="217"/>
      <c r="BC26" s="214">
        <v>19</v>
      </c>
      <c r="BD26" s="214">
        <f t="shared" si="12"/>
        <v>3.46</v>
      </c>
      <c r="BE26" s="218">
        <f>1.03+BK26</f>
        <v>1.73</v>
      </c>
      <c r="BF26" s="214">
        <v>4</v>
      </c>
      <c r="BG26" s="216">
        <f t="shared" si="20"/>
        <v>13.84</v>
      </c>
      <c r="BH26" s="217"/>
      <c r="BI26" s="214">
        <v>19</v>
      </c>
      <c r="BJ26" s="214">
        <f t="shared" si="0"/>
        <v>1.4</v>
      </c>
      <c r="BK26" s="215">
        <v>0.7</v>
      </c>
      <c r="BL26" s="214">
        <v>4</v>
      </c>
      <c r="BM26" s="216">
        <f t="shared" si="21"/>
        <v>5.6</v>
      </c>
    </row>
    <row r="27" spans="1:65" ht="16.2">
      <c r="A27" s="214" t="s">
        <v>458</v>
      </c>
      <c r="B27" s="214">
        <f t="shared" si="1"/>
        <v>0</v>
      </c>
      <c r="C27" s="215">
        <v>0</v>
      </c>
      <c r="D27" s="214">
        <v>1</v>
      </c>
      <c r="E27" s="216">
        <f t="shared" si="5"/>
        <v>0</v>
      </c>
      <c r="G27" s="214" t="s">
        <v>458</v>
      </c>
      <c r="H27" s="214">
        <f t="shared" si="2"/>
        <v>0</v>
      </c>
      <c r="I27" s="215">
        <v>0</v>
      </c>
      <c r="J27" s="214">
        <v>1</v>
      </c>
      <c r="K27" s="216">
        <f t="shared" si="6"/>
        <v>0</v>
      </c>
      <c r="L27" s="217"/>
      <c r="M27" s="214" t="s">
        <v>458</v>
      </c>
      <c r="N27" s="214">
        <f t="shared" si="3"/>
        <v>0</v>
      </c>
      <c r="O27" s="215">
        <v>0</v>
      </c>
      <c r="P27" s="214">
        <v>1</v>
      </c>
      <c r="Q27" s="216">
        <f t="shared" si="13"/>
        <v>0</v>
      </c>
      <c r="R27" s="217"/>
      <c r="S27" s="214" t="s">
        <v>458</v>
      </c>
      <c r="T27" s="214">
        <f t="shared" si="4"/>
        <v>0</v>
      </c>
      <c r="U27" s="215">
        <v>0</v>
      </c>
      <c r="V27" s="214">
        <v>1</v>
      </c>
      <c r="W27" s="216">
        <f t="shared" si="14"/>
        <v>0</v>
      </c>
      <c r="X27" s="217"/>
      <c r="Y27" s="214" t="s">
        <v>458</v>
      </c>
      <c r="Z27" s="214">
        <f t="shared" si="7"/>
        <v>0</v>
      </c>
      <c r="AA27" s="215">
        <v>0</v>
      </c>
      <c r="AB27" s="214">
        <v>1</v>
      </c>
      <c r="AC27" s="216">
        <f t="shared" si="15"/>
        <v>0</v>
      </c>
      <c r="AD27" s="217"/>
      <c r="AE27" s="214" t="s">
        <v>458</v>
      </c>
      <c r="AF27" s="214">
        <f t="shared" si="8"/>
        <v>0</v>
      </c>
      <c r="AG27" s="218">
        <v>0</v>
      </c>
      <c r="AH27" s="214">
        <v>1</v>
      </c>
      <c r="AI27" s="216">
        <f t="shared" si="16"/>
        <v>0</v>
      </c>
      <c r="AJ27" s="217"/>
      <c r="AK27" s="214" t="s">
        <v>458</v>
      </c>
      <c r="AL27" s="214">
        <f t="shared" si="9"/>
        <v>0</v>
      </c>
      <c r="AM27" s="218">
        <v>0</v>
      </c>
      <c r="AN27" s="214">
        <v>1</v>
      </c>
      <c r="AO27" s="216">
        <f t="shared" si="17"/>
        <v>0</v>
      </c>
      <c r="AP27" s="217"/>
      <c r="AQ27" s="214" t="s">
        <v>458</v>
      </c>
      <c r="AR27" s="214">
        <f t="shared" si="10"/>
        <v>0</v>
      </c>
      <c r="AS27" s="218">
        <v>0</v>
      </c>
      <c r="AT27" s="214">
        <v>1</v>
      </c>
      <c r="AU27" s="216">
        <f t="shared" si="18"/>
        <v>0</v>
      </c>
      <c r="AV27" s="217"/>
      <c r="AW27" s="214" t="s">
        <v>458</v>
      </c>
      <c r="AX27" s="214">
        <f t="shared" si="11"/>
        <v>0</v>
      </c>
      <c r="AY27" s="218">
        <v>0</v>
      </c>
      <c r="AZ27" s="214">
        <v>1</v>
      </c>
      <c r="BA27" s="216">
        <f t="shared" si="19"/>
        <v>0</v>
      </c>
      <c r="BB27" s="217"/>
      <c r="BC27" s="214" t="s">
        <v>458</v>
      </c>
      <c r="BD27" s="214">
        <f t="shared" si="12"/>
        <v>0</v>
      </c>
      <c r="BE27" s="218">
        <f>0+BK27</f>
        <v>0</v>
      </c>
      <c r="BF27" s="214">
        <v>1</v>
      </c>
      <c r="BG27" s="216">
        <f t="shared" si="20"/>
        <v>0</v>
      </c>
      <c r="BH27" s="217"/>
      <c r="BI27" s="214" t="s">
        <v>458</v>
      </c>
      <c r="BJ27" s="214">
        <f t="shared" si="0"/>
        <v>0</v>
      </c>
      <c r="BK27" s="215">
        <v>0</v>
      </c>
      <c r="BL27" s="214">
        <v>1</v>
      </c>
      <c r="BM27" s="216">
        <f t="shared" si="21"/>
        <v>0</v>
      </c>
    </row>
    <row r="28" spans="1:65" ht="16.2">
      <c r="A28" s="792" t="s">
        <v>459</v>
      </c>
      <c r="B28" s="792"/>
      <c r="C28" s="792"/>
      <c r="D28" s="791">
        <f>SUM(E5:E27)</f>
        <v>12296.976000000001</v>
      </c>
      <c r="E28" s="791"/>
      <c r="G28" s="792" t="s">
        <v>459</v>
      </c>
      <c r="H28" s="792"/>
      <c r="I28" s="792"/>
      <c r="J28" s="791">
        <f>SUM(K5:K27)</f>
        <v>10081.823999999999</v>
      </c>
      <c r="K28" s="791"/>
      <c r="L28" s="217"/>
      <c r="M28" s="792" t="s">
        <v>459</v>
      </c>
      <c r="N28" s="792"/>
      <c r="O28" s="792"/>
      <c r="P28" s="791">
        <f>SUM(Q5:Q27)</f>
        <v>8810.0350000000035</v>
      </c>
      <c r="Q28" s="791"/>
      <c r="R28" s="217"/>
      <c r="S28" s="792" t="s">
        <v>459</v>
      </c>
      <c r="T28" s="792"/>
      <c r="U28" s="792"/>
      <c r="V28" s="791">
        <f>SUM(W5:W27)</f>
        <v>7637.2220000000016</v>
      </c>
      <c r="W28" s="791"/>
      <c r="X28" s="217"/>
      <c r="Y28" s="792" t="s">
        <v>459</v>
      </c>
      <c r="Z28" s="792"/>
      <c r="AA28" s="792"/>
      <c r="AB28" s="791">
        <f>SUM(AC5:AC27)</f>
        <v>6490.1799999999994</v>
      </c>
      <c r="AC28" s="791"/>
      <c r="AD28" s="217"/>
      <c r="AE28" s="792" t="s">
        <v>459</v>
      </c>
      <c r="AF28" s="792"/>
      <c r="AG28" s="792"/>
      <c r="AH28" s="791">
        <f>SUM(AI5:AI27)</f>
        <v>5361.2199999999993</v>
      </c>
      <c r="AI28" s="791"/>
      <c r="AJ28" s="217"/>
      <c r="AK28" s="792" t="s">
        <v>459</v>
      </c>
      <c r="AL28" s="792"/>
      <c r="AM28" s="792"/>
      <c r="AN28" s="791">
        <f>SUM(AO5:AO27)</f>
        <v>4244.5</v>
      </c>
      <c r="AO28" s="791"/>
      <c r="AP28" s="217"/>
      <c r="AQ28" s="792" t="s">
        <v>459</v>
      </c>
      <c r="AR28" s="792"/>
      <c r="AS28" s="792"/>
      <c r="AT28" s="791">
        <f>SUM(AU7:AU27)</f>
        <v>3137.2</v>
      </c>
      <c r="AU28" s="793"/>
      <c r="AV28" s="205"/>
      <c r="AW28" s="792" t="s">
        <v>459</v>
      </c>
      <c r="AX28" s="792"/>
      <c r="AY28" s="792"/>
      <c r="AZ28" s="791">
        <f>SUM(BA7:BA27)</f>
        <v>2041.0000000000002</v>
      </c>
      <c r="BA28" s="793"/>
      <c r="BB28" s="205"/>
      <c r="BC28" s="792" t="s">
        <v>459</v>
      </c>
      <c r="BD28" s="792"/>
      <c r="BE28" s="792"/>
      <c r="BF28" s="791">
        <f>SUM(BG7:BG27)</f>
        <v>972.00000000000011</v>
      </c>
      <c r="BG28" s="793"/>
      <c r="BH28" s="205"/>
      <c r="BI28" s="792" t="s">
        <v>459</v>
      </c>
      <c r="BJ28" s="792"/>
      <c r="BK28" s="792"/>
      <c r="BL28" s="791">
        <f>SUM(BM7:BM27)</f>
        <v>463.24</v>
      </c>
      <c r="BM28" s="793"/>
    </row>
    <row r="29" spans="1:65" ht="16.2">
      <c r="A29" s="792" t="s">
        <v>460</v>
      </c>
      <c r="B29" s="792"/>
      <c r="C29" s="792"/>
      <c r="D29" s="791">
        <f>1/3*D28*N33</f>
        <v>28662.201560000001</v>
      </c>
      <c r="E29" s="791"/>
      <c r="G29" s="792" t="s">
        <v>460</v>
      </c>
      <c r="H29" s="792"/>
      <c r="I29" s="792"/>
      <c r="J29" s="791">
        <f>1/3*J28*N33</f>
        <v>23499.051439999996</v>
      </c>
      <c r="K29" s="791"/>
      <c r="L29" s="217"/>
      <c r="M29" s="792" t="s">
        <v>460</v>
      </c>
      <c r="N29" s="792"/>
      <c r="O29" s="792"/>
      <c r="P29" s="791">
        <f>1/3*P28*N33</f>
        <v>20534.723245833338</v>
      </c>
      <c r="Q29" s="791"/>
      <c r="R29" s="217"/>
      <c r="S29" s="792" t="s">
        <v>460</v>
      </c>
      <c r="T29" s="792"/>
      <c r="U29" s="792"/>
      <c r="V29" s="791">
        <f>1/3*V28*N33</f>
        <v>17801.09161166667</v>
      </c>
      <c r="W29" s="791"/>
      <c r="X29" s="217"/>
      <c r="Y29" s="792" t="s">
        <v>460</v>
      </c>
      <c r="Z29" s="792"/>
      <c r="AA29" s="792"/>
      <c r="AB29" s="791">
        <f>1/3*AB28*N33</f>
        <v>15127.52788333333</v>
      </c>
      <c r="AC29" s="791"/>
      <c r="AD29" s="217"/>
      <c r="AE29" s="792" t="s">
        <v>460</v>
      </c>
      <c r="AF29" s="792"/>
      <c r="AG29" s="792"/>
      <c r="AH29" s="791">
        <f>1/3*AH28*N33</f>
        <v>12496.110283333332</v>
      </c>
      <c r="AI29" s="791"/>
      <c r="AJ29" s="217"/>
      <c r="AK29" s="792" t="s">
        <v>460</v>
      </c>
      <c r="AL29" s="792"/>
      <c r="AM29" s="792"/>
      <c r="AN29" s="791">
        <f>1/3*AN28*N33</f>
        <v>9893.2220833333322</v>
      </c>
      <c r="AO29" s="791"/>
      <c r="AP29" s="217"/>
      <c r="AQ29" s="792" t="s">
        <v>460</v>
      </c>
      <c r="AR29" s="792"/>
      <c r="AS29" s="792"/>
      <c r="AT29" s="793">
        <f>1/3*AT28*N33</f>
        <v>7312.2903333333315</v>
      </c>
      <c r="AU29" s="793"/>
      <c r="AV29" s="205"/>
      <c r="AW29" s="792" t="s">
        <v>460</v>
      </c>
      <c r="AX29" s="792"/>
      <c r="AY29" s="792"/>
      <c r="AZ29" s="793">
        <f>1/3*AZ28*N33</f>
        <v>4757.2308333333331</v>
      </c>
      <c r="BA29" s="793"/>
      <c r="BB29" s="205"/>
      <c r="BC29" s="792" t="s">
        <v>460</v>
      </c>
      <c r="BD29" s="792"/>
      <c r="BE29" s="792"/>
      <c r="BF29" s="793">
        <f>1/3*BF28*N33</f>
        <v>2265.5699999999997</v>
      </c>
      <c r="BG29" s="793"/>
      <c r="BH29" s="205"/>
      <c r="BI29" s="792" t="s">
        <v>460</v>
      </c>
      <c r="BJ29" s="792"/>
      <c r="BK29" s="792"/>
      <c r="BL29" s="793">
        <f>1/3*BL28*N33</f>
        <v>1079.7352333333333</v>
      </c>
      <c r="BM29" s="793"/>
    </row>
    <row r="30" spans="1:65" ht="16.2">
      <c r="A30" s="792" t="s">
        <v>461</v>
      </c>
      <c r="B30" s="792"/>
      <c r="C30" s="792"/>
      <c r="D30" s="791">
        <f>D29*N34</f>
        <v>29378.756599</v>
      </c>
      <c r="E30" s="791"/>
      <c r="G30" s="792" t="s">
        <v>461</v>
      </c>
      <c r="H30" s="792"/>
      <c r="I30" s="792"/>
      <c r="J30" s="791">
        <f>J29*N34</f>
        <v>24086.527725999993</v>
      </c>
      <c r="K30" s="791"/>
      <c r="L30" s="217"/>
      <c r="M30" s="792" t="s">
        <v>461</v>
      </c>
      <c r="N30" s="792"/>
      <c r="O30" s="792"/>
      <c r="P30" s="791">
        <f>P29*N34</f>
        <v>21048.091326979171</v>
      </c>
      <c r="Q30" s="791"/>
      <c r="R30" s="217"/>
      <c r="S30" s="792" t="s">
        <v>461</v>
      </c>
      <c r="T30" s="792"/>
      <c r="U30" s="792"/>
      <c r="V30" s="793">
        <f>V29*N34</f>
        <v>18246.118901958336</v>
      </c>
      <c r="W30" s="793"/>
      <c r="X30" s="205"/>
      <c r="Y30" s="792" t="s">
        <v>461</v>
      </c>
      <c r="Z30" s="792"/>
      <c r="AA30" s="792"/>
      <c r="AB30" s="793">
        <f>AB29*N34</f>
        <v>15505.716080416661</v>
      </c>
      <c r="AC30" s="793"/>
      <c r="AD30" s="205"/>
      <c r="AE30" s="792" t="s">
        <v>461</v>
      </c>
      <c r="AF30" s="792"/>
      <c r="AG30" s="792"/>
      <c r="AH30" s="793">
        <f>AH29*N34</f>
        <v>12808.513040416663</v>
      </c>
      <c r="AI30" s="793"/>
      <c r="AJ30" s="205"/>
      <c r="AK30" s="792" t="s">
        <v>461</v>
      </c>
      <c r="AL30" s="792"/>
      <c r="AM30" s="792"/>
      <c r="AN30" s="793">
        <f>AN29*N34</f>
        <v>10140.552635416665</v>
      </c>
      <c r="AO30" s="793"/>
      <c r="AP30" s="205"/>
      <c r="AQ30" s="792" t="s">
        <v>461</v>
      </c>
      <c r="AR30" s="792"/>
      <c r="AS30" s="792"/>
      <c r="AT30" s="793">
        <f>AT29*N34</f>
        <v>7495.0975916666639</v>
      </c>
      <c r="AU30" s="793"/>
      <c r="AV30" s="205"/>
      <c r="AW30" s="792" t="s">
        <v>461</v>
      </c>
      <c r="AX30" s="792"/>
      <c r="AY30" s="792"/>
      <c r="AZ30" s="793">
        <f>AZ29*N34</f>
        <v>4876.1616041666657</v>
      </c>
      <c r="BA30" s="793"/>
      <c r="BB30" s="205"/>
      <c r="BC30" s="792" t="s">
        <v>461</v>
      </c>
      <c r="BD30" s="792"/>
      <c r="BE30" s="792"/>
      <c r="BF30" s="793">
        <f>BF29*N34</f>
        <v>2322.2092499999994</v>
      </c>
      <c r="BG30" s="793"/>
      <c r="BH30" s="205"/>
      <c r="BI30" s="792" t="s">
        <v>461</v>
      </c>
      <c r="BJ30" s="792"/>
      <c r="BK30" s="792"/>
      <c r="BL30" s="793">
        <f>BL29*N34</f>
        <v>1106.7286141666666</v>
      </c>
      <c r="BM30" s="793"/>
    </row>
    <row r="31" spans="1:65">
      <c r="G31" s="221"/>
      <c r="H31" s="221"/>
      <c r="I31" s="221"/>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row>
    <row r="32" spans="1:65" ht="15.6">
      <c r="G32" s="221"/>
      <c r="H32" s="221"/>
      <c r="I32" s="221"/>
      <c r="J32" s="208"/>
      <c r="K32" s="208"/>
      <c r="L32" s="208"/>
      <c r="M32" s="222" t="s">
        <v>462</v>
      </c>
      <c r="N32" s="223">
        <v>139.85</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row>
    <row r="33" spans="1:60" ht="16.2">
      <c r="A33" s="792" t="s">
        <v>564</v>
      </c>
      <c r="B33" s="792"/>
      <c r="C33" s="792"/>
      <c r="D33" s="792"/>
      <c r="E33" s="792"/>
      <c r="G33" s="221"/>
      <c r="H33" s="221"/>
      <c r="I33" s="221"/>
      <c r="J33" s="208"/>
      <c r="K33" s="208"/>
      <c r="L33" s="208"/>
      <c r="M33" s="224" t="s">
        <v>463</v>
      </c>
      <c r="N33" s="225">
        <f>N32/20</f>
        <v>6.9924999999999997</v>
      </c>
      <c r="O33" s="208"/>
      <c r="R33" s="226"/>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27"/>
      <c r="AP33" s="227"/>
      <c r="AQ33" s="208"/>
      <c r="AR33" s="208"/>
      <c r="AS33" s="208"/>
      <c r="AT33" s="208"/>
      <c r="AU33" s="208"/>
      <c r="AV33" s="208"/>
      <c r="AW33" s="208"/>
      <c r="AX33" s="208"/>
      <c r="AY33" s="208"/>
      <c r="AZ33" s="208"/>
      <c r="BA33" s="208"/>
      <c r="BB33" s="208"/>
      <c r="BC33" s="208"/>
      <c r="BD33" s="208"/>
      <c r="BE33" s="208"/>
      <c r="BF33" s="208"/>
      <c r="BG33" s="208"/>
      <c r="BH33" s="208"/>
    </row>
    <row r="34" spans="1:60" ht="16.2">
      <c r="A34" s="207"/>
      <c r="B34" s="207"/>
      <c r="C34" s="207"/>
      <c r="D34" s="208"/>
      <c r="M34" s="228" t="s">
        <v>464</v>
      </c>
      <c r="N34" s="225">
        <v>1.0249999999999999</v>
      </c>
    </row>
    <row r="35" spans="1:60" ht="16.2">
      <c r="A35" s="213" t="s">
        <v>452</v>
      </c>
      <c r="B35" s="213" t="s">
        <v>453</v>
      </c>
      <c r="C35" s="213" t="s">
        <v>454</v>
      </c>
      <c r="D35" s="213" t="s">
        <v>455</v>
      </c>
      <c r="E35" s="213" t="s">
        <v>456</v>
      </c>
      <c r="N35" s="206">
        <v>2</v>
      </c>
    </row>
    <row r="36" spans="1:60" ht="16.2">
      <c r="A36" s="214">
        <v>-2</v>
      </c>
      <c r="B36" s="214">
        <v>0</v>
      </c>
      <c r="C36" s="214">
        <v>0</v>
      </c>
      <c r="D36" s="214">
        <v>0.3</v>
      </c>
      <c r="E36" s="214">
        <f>C36*D36</f>
        <v>0</v>
      </c>
    </row>
    <row r="37" spans="1:60" ht="16.2">
      <c r="A37" s="214">
        <v>-1</v>
      </c>
      <c r="B37" s="214">
        <f t="shared" ref="B37:B58" si="32">C37*$N$35</f>
        <v>5.3</v>
      </c>
      <c r="C37" s="214">
        <f>2.65+I37</f>
        <v>2.65</v>
      </c>
      <c r="D37" s="214">
        <v>1.2</v>
      </c>
      <c r="E37" s="214">
        <f>C37*D37</f>
        <v>3.1799999999999997</v>
      </c>
    </row>
    <row r="38" spans="1:60" ht="16.2">
      <c r="A38" s="214" t="s">
        <v>457</v>
      </c>
      <c r="B38" s="214">
        <f t="shared" si="32"/>
        <v>8.1</v>
      </c>
      <c r="C38" s="215">
        <f>4.05+I38</f>
        <v>4.05</v>
      </c>
      <c r="D38" s="214">
        <v>1.3</v>
      </c>
      <c r="E38" s="216">
        <f>B38*D38</f>
        <v>10.53</v>
      </c>
    </row>
    <row r="39" spans="1:60" ht="16.2">
      <c r="A39" s="214">
        <v>1</v>
      </c>
      <c r="B39" s="214">
        <f t="shared" si="32"/>
        <v>13.2</v>
      </c>
      <c r="C39" s="215">
        <f>6.6+I39</f>
        <v>6.6</v>
      </c>
      <c r="D39" s="214">
        <v>4</v>
      </c>
      <c r="E39" s="216">
        <f t="shared" ref="E39:E58" si="33">B39*D39</f>
        <v>52.8</v>
      </c>
    </row>
    <row r="40" spans="1:60" ht="16.2">
      <c r="A40" s="214">
        <v>2</v>
      </c>
      <c r="B40" s="214">
        <f t="shared" si="32"/>
        <v>17.82</v>
      </c>
      <c r="C40" s="215">
        <f>8.91+I40</f>
        <v>8.91</v>
      </c>
      <c r="D40" s="214">
        <v>2</v>
      </c>
      <c r="E40" s="216">
        <f t="shared" si="33"/>
        <v>35.64</v>
      </c>
    </row>
    <row r="41" spans="1:60" ht="16.2">
      <c r="A41" s="214">
        <v>3</v>
      </c>
      <c r="B41" s="214">
        <f t="shared" si="32"/>
        <v>21.22</v>
      </c>
      <c r="C41" s="215">
        <f>10.61+I41</f>
        <v>10.61</v>
      </c>
      <c r="D41" s="214">
        <v>4</v>
      </c>
      <c r="E41" s="216">
        <f t="shared" si="33"/>
        <v>84.88</v>
      </c>
    </row>
    <row r="42" spans="1:60" ht="16.2">
      <c r="A42" s="214">
        <v>4</v>
      </c>
      <c r="B42" s="214">
        <f t="shared" si="32"/>
        <v>23.42</v>
      </c>
      <c r="C42" s="215">
        <f>11.71+I42</f>
        <v>11.71</v>
      </c>
      <c r="D42" s="214">
        <v>2</v>
      </c>
      <c r="E42" s="216">
        <f t="shared" si="33"/>
        <v>46.84</v>
      </c>
    </row>
    <row r="43" spans="1:60" ht="16.2">
      <c r="A43" s="214">
        <v>5</v>
      </c>
      <c r="B43" s="214">
        <f t="shared" si="32"/>
        <v>24.28</v>
      </c>
      <c r="C43" s="215">
        <f>12.14+I43</f>
        <v>12.14</v>
      </c>
      <c r="D43" s="214">
        <v>4</v>
      </c>
      <c r="E43" s="216">
        <f t="shared" si="33"/>
        <v>97.12</v>
      </c>
    </row>
    <row r="44" spans="1:60" ht="16.2">
      <c r="A44" s="214">
        <v>6</v>
      </c>
      <c r="B44" s="214">
        <f t="shared" si="32"/>
        <v>24.5</v>
      </c>
      <c r="C44" s="215">
        <f>12.25+I44</f>
        <v>12.25</v>
      </c>
      <c r="D44" s="214">
        <v>2</v>
      </c>
      <c r="E44" s="216">
        <f t="shared" si="33"/>
        <v>49</v>
      </c>
    </row>
    <row r="45" spans="1:60" ht="16.2">
      <c r="A45" s="214">
        <v>7</v>
      </c>
      <c r="B45" s="214">
        <f t="shared" si="32"/>
        <v>24.72</v>
      </c>
      <c r="C45" s="215">
        <f>12.36+I45</f>
        <v>12.36</v>
      </c>
      <c r="D45" s="214">
        <v>4</v>
      </c>
      <c r="E45" s="216">
        <f t="shared" si="33"/>
        <v>98.88</v>
      </c>
    </row>
    <row r="46" spans="1:60" ht="16.2">
      <c r="A46" s="214">
        <v>8</v>
      </c>
      <c r="B46" s="214">
        <f t="shared" si="32"/>
        <v>24.8</v>
      </c>
      <c r="C46" s="215">
        <f>12.4+I46</f>
        <v>12.4</v>
      </c>
      <c r="D46" s="214">
        <v>2</v>
      </c>
      <c r="E46" s="216">
        <f t="shared" si="33"/>
        <v>49.6</v>
      </c>
    </row>
    <row r="47" spans="1:60" ht="16.2">
      <c r="A47" s="214">
        <v>9</v>
      </c>
      <c r="B47" s="214">
        <f t="shared" si="32"/>
        <v>24.8</v>
      </c>
      <c r="C47" s="215">
        <f t="shared" ref="C47:C53" si="34">12.4+I47</f>
        <v>12.4</v>
      </c>
      <c r="D47" s="214">
        <v>4</v>
      </c>
      <c r="E47" s="216">
        <f t="shared" si="33"/>
        <v>99.2</v>
      </c>
    </row>
    <row r="48" spans="1:60" ht="16.2">
      <c r="A48" s="214">
        <v>10</v>
      </c>
      <c r="B48" s="214">
        <f t="shared" si="32"/>
        <v>24.8</v>
      </c>
      <c r="C48" s="215">
        <f t="shared" si="34"/>
        <v>12.4</v>
      </c>
      <c r="D48" s="214">
        <v>2</v>
      </c>
      <c r="E48" s="216">
        <f t="shared" si="33"/>
        <v>49.6</v>
      </c>
    </row>
    <row r="49" spans="1:5" ht="16.2">
      <c r="A49" s="214">
        <v>11</v>
      </c>
      <c r="B49" s="214">
        <f t="shared" si="32"/>
        <v>24.8</v>
      </c>
      <c r="C49" s="215">
        <f t="shared" si="34"/>
        <v>12.4</v>
      </c>
      <c r="D49" s="214">
        <v>4</v>
      </c>
      <c r="E49" s="216">
        <f t="shared" si="33"/>
        <v>99.2</v>
      </c>
    </row>
    <row r="50" spans="1:5" ht="16.2">
      <c r="A50" s="214">
        <v>12</v>
      </c>
      <c r="B50" s="214">
        <f t="shared" si="32"/>
        <v>24.8</v>
      </c>
      <c r="C50" s="215">
        <f t="shared" si="34"/>
        <v>12.4</v>
      </c>
      <c r="D50" s="214">
        <v>2</v>
      </c>
      <c r="E50" s="216">
        <f t="shared" si="33"/>
        <v>49.6</v>
      </c>
    </row>
    <row r="51" spans="1:5" ht="16.2">
      <c r="A51" s="214">
        <v>13</v>
      </c>
      <c r="B51" s="214">
        <f t="shared" si="32"/>
        <v>24.8</v>
      </c>
      <c r="C51" s="215">
        <f t="shared" si="34"/>
        <v>12.4</v>
      </c>
      <c r="D51" s="214">
        <v>4</v>
      </c>
      <c r="E51" s="216">
        <f t="shared" si="33"/>
        <v>99.2</v>
      </c>
    </row>
    <row r="52" spans="1:5" ht="16.2">
      <c r="A52" s="214">
        <v>14</v>
      </c>
      <c r="B52" s="214">
        <f t="shared" si="32"/>
        <v>24.8</v>
      </c>
      <c r="C52" s="215">
        <f t="shared" si="34"/>
        <v>12.4</v>
      </c>
      <c r="D52" s="214">
        <v>2</v>
      </c>
      <c r="E52" s="216">
        <f t="shared" si="33"/>
        <v>49.6</v>
      </c>
    </row>
    <row r="53" spans="1:5" ht="16.2">
      <c r="A53" s="214">
        <v>15</v>
      </c>
      <c r="B53" s="214">
        <f t="shared" si="32"/>
        <v>24.8</v>
      </c>
      <c r="C53" s="215">
        <f t="shared" si="34"/>
        <v>12.4</v>
      </c>
      <c r="D53" s="214">
        <v>4</v>
      </c>
      <c r="E53" s="216">
        <f t="shared" si="33"/>
        <v>99.2</v>
      </c>
    </row>
    <row r="54" spans="1:5" ht="16.2">
      <c r="A54" s="214">
        <v>16</v>
      </c>
      <c r="B54" s="214">
        <f t="shared" si="32"/>
        <v>23.88</v>
      </c>
      <c r="C54" s="215">
        <f>11.94+I54</f>
        <v>11.94</v>
      </c>
      <c r="D54" s="214">
        <v>2</v>
      </c>
      <c r="E54" s="216">
        <f t="shared" si="33"/>
        <v>47.76</v>
      </c>
    </row>
    <row r="55" spans="1:5" ht="16.2">
      <c r="A55" s="214">
        <v>17</v>
      </c>
      <c r="B55" s="214">
        <f t="shared" si="32"/>
        <v>21.32</v>
      </c>
      <c r="C55" s="215">
        <f>10.66+I55</f>
        <v>10.66</v>
      </c>
      <c r="D55" s="214">
        <v>4</v>
      </c>
      <c r="E55" s="216">
        <f t="shared" si="33"/>
        <v>85.28</v>
      </c>
    </row>
    <row r="56" spans="1:5" ht="16.2">
      <c r="A56" s="214">
        <v>18</v>
      </c>
      <c r="B56" s="214">
        <f t="shared" si="32"/>
        <v>15.04</v>
      </c>
      <c r="C56" s="215">
        <f>7.52+I56</f>
        <v>7.52</v>
      </c>
      <c r="D56" s="214">
        <v>2</v>
      </c>
      <c r="E56" s="216">
        <f t="shared" si="33"/>
        <v>30.08</v>
      </c>
    </row>
    <row r="57" spans="1:5" ht="16.2">
      <c r="A57" s="214">
        <v>19</v>
      </c>
      <c r="B57" s="214">
        <f t="shared" si="32"/>
        <v>7.6</v>
      </c>
      <c r="C57" s="215">
        <f>3.8+I57</f>
        <v>3.8</v>
      </c>
      <c r="D57" s="214">
        <v>4</v>
      </c>
      <c r="E57" s="216">
        <f t="shared" si="33"/>
        <v>30.4</v>
      </c>
    </row>
    <row r="58" spans="1:5" ht="16.2">
      <c r="A58" s="214" t="s">
        <v>458</v>
      </c>
      <c r="B58" s="214">
        <f t="shared" si="32"/>
        <v>0</v>
      </c>
      <c r="C58" s="215">
        <v>0</v>
      </c>
      <c r="D58" s="214">
        <v>1</v>
      </c>
      <c r="E58" s="216">
        <f t="shared" si="33"/>
        <v>0</v>
      </c>
    </row>
    <row r="59" spans="1:5" ht="16.2">
      <c r="A59" s="792" t="s">
        <v>459</v>
      </c>
      <c r="B59" s="792"/>
      <c r="C59" s="792"/>
      <c r="D59" s="791">
        <f>SUM(E36:E58)</f>
        <v>1267.5900000000001</v>
      </c>
      <c r="E59" s="791"/>
    </row>
    <row r="60" spans="1:5" ht="16.2">
      <c r="A60" s="792" t="s">
        <v>460</v>
      </c>
      <c r="B60" s="792"/>
      <c r="C60" s="792"/>
      <c r="D60" s="791">
        <f>1/3*D59*N33</f>
        <v>2954.541025</v>
      </c>
      <c r="E60" s="791"/>
    </row>
    <row r="61" spans="1:5" ht="16.2">
      <c r="A61" s="792" t="s">
        <v>461</v>
      </c>
      <c r="B61" s="792"/>
      <c r="C61" s="792"/>
      <c r="D61" s="791">
        <f>D60*N34</f>
        <v>3028.4045506249995</v>
      </c>
      <c r="E61" s="791"/>
    </row>
  </sheetData>
  <mergeCells count="84">
    <mergeCell ref="A60:C60"/>
    <mergeCell ref="D60:E60"/>
    <mergeCell ref="A61:C61"/>
    <mergeCell ref="D61:E61"/>
    <mergeCell ref="A30:C30"/>
    <mergeCell ref="D30:E30"/>
    <mergeCell ref="A33:E33"/>
    <mergeCell ref="A59:C59"/>
    <mergeCell ref="D59:E59"/>
    <mergeCell ref="A2:E2"/>
    <mergeCell ref="A28:C28"/>
    <mergeCell ref="D28:E28"/>
    <mergeCell ref="A29:C29"/>
    <mergeCell ref="D29:E29"/>
    <mergeCell ref="BI30:BK30"/>
    <mergeCell ref="BL30:BM30"/>
    <mergeCell ref="AQ30:AS30"/>
    <mergeCell ref="AT30:AU30"/>
    <mergeCell ref="AW30:AY30"/>
    <mergeCell ref="AZ30:BA30"/>
    <mergeCell ref="BC30:BE30"/>
    <mergeCell ref="BF30:BG30"/>
    <mergeCell ref="AN30:AO30"/>
    <mergeCell ref="G30:I30"/>
    <mergeCell ref="J30:K30"/>
    <mergeCell ref="M30:O30"/>
    <mergeCell ref="P30:Q30"/>
    <mergeCell ref="S30:U30"/>
    <mergeCell ref="V30:W30"/>
    <mergeCell ref="Y30:AA30"/>
    <mergeCell ref="AB30:AC30"/>
    <mergeCell ref="AE30:AG30"/>
    <mergeCell ref="AH30:AI30"/>
    <mergeCell ref="AK30:AM30"/>
    <mergeCell ref="BL29:BM29"/>
    <mergeCell ref="AE29:AG29"/>
    <mergeCell ref="AH29:AI29"/>
    <mergeCell ref="AK29:AM29"/>
    <mergeCell ref="AN29:AO29"/>
    <mergeCell ref="AQ29:AS29"/>
    <mergeCell ref="AT29:AU29"/>
    <mergeCell ref="AW29:AY29"/>
    <mergeCell ref="AZ29:BA29"/>
    <mergeCell ref="BC29:BE29"/>
    <mergeCell ref="BF29:BG29"/>
    <mergeCell ref="BI29:BK29"/>
    <mergeCell ref="V29:W29"/>
    <mergeCell ref="Y29:AA29"/>
    <mergeCell ref="AB29:AC29"/>
    <mergeCell ref="AQ28:AS28"/>
    <mergeCell ref="AT28:AU28"/>
    <mergeCell ref="G29:I29"/>
    <mergeCell ref="J29:K29"/>
    <mergeCell ref="M29:O29"/>
    <mergeCell ref="P29:Q29"/>
    <mergeCell ref="S29:U29"/>
    <mergeCell ref="AQ2:AU2"/>
    <mergeCell ref="AW2:BA2"/>
    <mergeCell ref="BC2:BG2"/>
    <mergeCell ref="BI2:BM2"/>
    <mergeCell ref="Y28:AA28"/>
    <mergeCell ref="AB28:AC28"/>
    <mergeCell ref="AE28:AG28"/>
    <mergeCell ref="AH28:AI28"/>
    <mergeCell ref="AK28:AM28"/>
    <mergeCell ref="BI28:BK28"/>
    <mergeCell ref="BL28:BM28"/>
    <mergeCell ref="AW28:AY28"/>
    <mergeCell ref="AZ28:BA28"/>
    <mergeCell ref="BC28:BE28"/>
    <mergeCell ref="BF28:BG28"/>
    <mergeCell ref="AE2:AI2"/>
    <mergeCell ref="AK2:AO2"/>
    <mergeCell ref="V28:W28"/>
    <mergeCell ref="G2:K2"/>
    <mergeCell ref="M2:Q2"/>
    <mergeCell ref="S2:W2"/>
    <mergeCell ref="Y2:AC2"/>
    <mergeCell ref="G28:I28"/>
    <mergeCell ref="J28:K28"/>
    <mergeCell ref="M28:O28"/>
    <mergeCell ref="P28:Q28"/>
    <mergeCell ref="S28:U28"/>
    <mergeCell ref="AN28:AO28"/>
  </mergeCells>
  <pageMargins left="0.7" right="0.7" top="0.75" bottom="0.75" header="0.3" footer="0.3"/>
  <pageSetup scale="96" orientation="portrait" horizontalDpi="4294967293" verticalDpi="300" r:id="rId1"/>
  <colBreaks count="1" manualBreakCount="1">
    <brk id="12"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C25E-0025-4F53-98C0-905ED2858707}">
  <dimension ref="F5:S16"/>
  <sheetViews>
    <sheetView workbookViewId="0">
      <selection activeCell="I6" sqref="I6:L6"/>
    </sheetView>
  </sheetViews>
  <sheetFormatPr defaultRowHeight="14.4"/>
  <sheetData>
    <row r="5" spans="6:19">
      <c r="I5" s="794">
        <v>247.18</v>
      </c>
      <c r="J5" s="795"/>
      <c r="K5" s="795"/>
      <c r="L5" s="796"/>
    </row>
    <row r="6" spans="6:19">
      <c r="I6" s="797">
        <v>264.04000000000002</v>
      </c>
      <c r="J6" s="798"/>
      <c r="K6" s="798"/>
      <c r="L6" s="799"/>
    </row>
    <row r="14" spans="6:19">
      <c r="H14">
        <v>2954.541025</v>
      </c>
      <c r="P14" s="800">
        <v>42.98</v>
      </c>
      <c r="Q14" s="800"/>
      <c r="R14" s="800"/>
      <c r="S14" s="800"/>
    </row>
    <row r="15" spans="6:19">
      <c r="P15" s="801">
        <v>66.8</v>
      </c>
      <c r="Q15" s="802"/>
      <c r="R15" s="802"/>
      <c r="S15" s="802"/>
    </row>
    <row r="16" spans="6:19">
      <c r="F16">
        <v>23499.051439999996</v>
      </c>
    </row>
  </sheetData>
  <mergeCells count="4">
    <mergeCell ref="I5:L5"/>
    <mergeCell ref="I6:L6"/>
    <mergeCell ref="P14:S14"/>
    <mergeCell ref="P15:S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55E3-FA40-4222-AE7A-2E188D37484E}">
  <sheetPr>
    <pageSetUpPr fitToPage="1"/>
  </sheetPr>
  <dimension ref="A1:N424"/>
  <sheetViews>
    <sheetView view="pageLayout" topLeftCell="A496" zoomScale="85" zoomScaleNormal="87" zoomScalePageLayoutView="85" workbookViewId="0">
      <selection activeCell="A35" sqref="A35:F35"/>
    </sheetView>
  </sheetViews>
  <sheetFormatPr defaultColWidth="12.5546875" defaultRowHeight="15.6"/>
  <cols>
    <col min="1" max="1" width="21.109375" style="1" customWidth="1"/>
    <col min="2" max="2" width="15.44140625" style="1" bestFit="1" customWidth="1"/>
    <col min="3" max="3" width="12.5546875" style="1"/>
    <col min="4" max="4" width="14.33203125" style="1" customWidth="1"/>
    <col min="5" max="5" width="15.6640625" style="1" customWidth="1"/>
    <col min="6" max="6" width="12.5546875" style="1"/>
    <col min="7" max="7" width="17.109375" style="1" customWidth="1"/>
    <col min="8" max="8" width="18" style="1" customWidth="1"/>
    <col min="9" max="10" width="13.33203125" style="1" bestFit="1" customWidth="1"/>
    <col min="11" max="11" width="14.109375" style="1" customWidth="1"/>
    <col min="12" max="13" width="12.5546875" style="1"/>
    <col min="14" max="14" width="12.5546875" style="2" customWidth="1"/>
    <col min="15" max="16384" width="12.5546875" style="1"/>
  </cols>
  <sheetData>
    <row r="1" spans="1:14" ht="15.75" customHeight="1">
      <c r="A1" s="805" t="s">
        <v>555</v>
      </c>
      <c r="B1" s="805"/>
      <c r="C1" s="805"/>
      <c r="D1" s="805"/>
      <c r="E1" s="805"/>
      <c r="F1" s="805"/>
      <c r="G1" s="805"/>
      <c r="H1" s="805"/>
    </row>
    <row r="2" spans="1:14" ht="15.6" customHeight="1"/>
    <row r="3" spans="1:14">
      <c r="A3" s="804" t="s">
        <v>1</v>
      </c>
      <c r="B3" s="804"/>
      <c r="C3" s="804"/>
      <c r="D3" s="804"/>
      <c r="E3" s="804"/>
      <c r="F3" s="804"/>
      <c r="G3" s="3" t="s">
        <v>2</v>
      </c>
      <c r="H3" s="4"/>
    </row>
    <row r="4" spans="1:14">
      <c r="A4" s="804" t="s">
        <v>3</v>
      </c>
      <c r="B4" s="804"/>
      <c r="C4" s="804"/>
      <c r="D4" s="804"/>
      <c r="E4" s="804"/>
      <c r="F4" s="804"/>
      <c r="G4" s="4">
        <f>HOLTROP!G4</f>
        <v>137</v>
      </c>
      <c r="H4" s="4" t="s">
        <v>4</v>
      </c>
    </row>
    <row r="5" spans="1:14">
      <c r="A5" s="804" t="s">
        <v>5</v>
      </c>
      <c r="B5" s="804"/>
      <c r="C5" s="804"/>
      <c r="D5" s="804"/>
      <c r="E5" s="804"/>
      <c r="F5" s="804"/>
      <c r="G5" s="4">
        <f>HOLTROP!G5</f>
        <v>142.47999999999999</v>
      </c>
      <c r="H5" s="4" t="s">
        <v>4</v>
      </c>
    </row>
    <row r="6" spans="1:14">
      <c r="A6" s="804" t="s">
        <v>6</v>
      </c>
      <c r="B6" s="804"/>
      <c r="C6" s="804"/>
      <c r="D6" s="804"/>
      <c r="E6" s="804"/>
      <c r="F6" s="804"/>
      <c r="G6" s="4">
        <f>HOLTROP!G6</f>
        <v>23.7</v>
      </c>
      <c r="H6" s="4" t="s">
        <v>4</v>
      </c>
    </row>
    <row r="7" spans="1:14">
      <c r="A7" s="804" t="s">
        <v>7</v>
      </c>
      <c r="B7" s="804"/>
      <c r="C7" s="804"/>
      <c r="D7" s="804"/>
      <c r="E7" s="804"/>
      <c r="F7" s="804"/>
      <c r="G7" s="4">
        <f>HOLTROP!G7</f>
        <v>13.34</v>
      </c>
      <c r="H7" s="4" t="s">
        <v>4</v>
      </c>
    </row>
    <row r="8" spans="1:14">
      <c r="A8" s="804" t="s">
        <v>8</v>
      </c>
      <c r="B8" s="804"/>
      <c r="C8" s="804"/>
      <c r="D8" s="804"/>
      <c r="E8" s="804"/>
      <c r="F8" s="804"/>
      <c r="G8" s="4">
        <f>HOLTROP!G8</f>
        <v>9.9469999999999992</v>
      </c>
      <c r="H8" s="4" t="s">
        <v>4</v>
      </c>
      <c r="J8" s="5" t="s">
        <v>9</v>
      </c>
      <c r="K8" s="5"/>
      <c r="L8" s="5"/>
      <c r="M8" s="5"/>
      <c r="N8" s="5"/>
    </row>
    <row r="9" spans="1:14">
      <c r="A9" s="804" t="s">
        <v>10</v>
      </c>
      <c r="B9" s="804"/>
      <c r="C9" s="804"/>
      <c r="D9" s="804"/>
      <c r="E9" s="804"/>
      <c r="F9" s="804"/>
      <c r="G9" s="4">
        <f>HOLTROP!G9</f>
        <v>16</v>
      </c>
      <c r="H9" s="4" t="s">
        <v>11</v>
      </c>
    </row>
    <row r="10" spans="1:14">
      <c r="A10" s="804" t="s">
        <v>12</v>
      </c>
      <c r="B10" s="804"/>
      <c r="C10" s="804"/>
      <c r="D10" s="804"/>
      <c r="E10" s="804"/>
      <c r="F10" s="804"/>
      <c r="G10" s="4">
        <f>HOLTROP!G10</f>
        <v>0.68</v>
      </c>
      <c r="H10" s="4"/>
    </row>
    <row r="11" spans="1:14">
      <c r="A11" s="804" t="s">
        <v>13</v>
      </c>
      <c r="B11" s="804"/>
      <c r="C11" s="804"/>
      <c r="D11" s="804"/>
      <c r="E11" s="804"/>
      <c r="F11" s="804"/>
      <c r="G11" s="4">
        <f>HOLTROP!G11</f>
        <v>0.98199999999999998</v>
      </c>
      <c r="H11" s="4"/>
    </row>
    <row r="12" spans="1:14">
      <c r="A12" s="804" t="s">
        <v>14</v>
      </c>
      <c r="B12" s="804"/>
      <c r="C12" s="804"/>
      <c r="D12" s="804"/>
      <c r="E12" s="804"/>
      <c r="F12" s="804"/>
      <c r="G12" s="6">
        <f>HOLTROP!G12</f>
        <v>0.69</v>
      </c>
      <c r="H12" s="4"/>
    </row>
    <row r="13" spans="1:14" ht="16.2">
      <c r="A13" s="804" t="s">
        <v>15</v>
      </c>
      <c r="B13" s="804"/>
      <c r="C13" s="804"/>
      <c r="D13" s="804"/>
      <c r="E13" s="804"/>
      <c r="F13" s="804"/>
      <c r="G13" s="4">
        <f>G27</f>
        <v>22401.13975848</v>
      </c>
      <c r="H13" s="4" t="s">
        <v>16</v>
      </c>
    </row>
    <row r="14" spans="1:14">
      <c r="K14" s="1">
        <f>G5*G6*G8*G10</f>
        <v>22840.37779296</v>
      </c>
      <c r="M14" s="1">
        <f>K14-G27</f>
        <v>439.23803448000035</v>
      </c>
    </row>
    <row r="16" spans="1:14" s="2" customFormat="1">
      <c r="A16" s="1" t="s">
        <v>18</v>
      </c>
      <c r="B16" s="1"/>
      <c r="C16" s="1"/>
      <c r="D16" s="1"/>
      <c r="E16" s="1"/>
      <c r="F16" s="1"/>
      <c r="G16" s="1"/>
      <c r="H16" s="1"/>
      <c r="I16" s="1"/>
      <c r="J16" s="1"/>
      <c r="K16" s="1"/>
      <c r="L16" s="1"/>
      <c r="M16" s="1"/>
    </row>
    <row r="18" spans="1:13" s="2" customFormat="1">
      <c r="A18" s="4" t="s">
        <v>12</v>
      </c>
      <c r="B18" s="687"/>
      <c r="C18" s="806"/>
      <c r="D18" s="806"/>
      <c r="E18" s="806"/>
      <c r="F18" s="688"/>
      <c r="G18" s="4">
        <f>G10</f>
        <v>0.68</v>
      </c>
      <c r="H18" s="4"/>
      <c r="I18" s="1"/>
      <c r="J18" s="1"/>
      <c r="K18" s="1"/>
      <c r="L18" s="1"/>
      <c r="M18" s="1"/>
    </row>
    <row r="19" spans="1:13" s="2" customFormat="1" ht="15.6" customHeight="1">
      <c r="A19" s="4" t="s">
        <v>13</v>
      </c>
      <c r="B19" s="687"/>
      <c r="C19" s="806"/>
      <c r="D19" s="806"/>
      <c r="E19" s="806"/>
      <c r="F19" s="688"/>
      <c r="G19" s="4">
        <f>G11</f>
        <v>0.98199999999999998</v>
      </c>
      <c r="H19" s="4"/>
      <c r="I19" s="1"/>
      <c r="J19" s="1"/>
      <c r="K19" s="1" t="s">
        <v>19</v>
      </c>
      <c r="L19" s="1">
        <f>G6/G8</f>
        <v>2.3826279280184983</v>
      </c>
      <c r="M19" s="1"/>
    </row>
    <row r="20" spans="1:13" s="2" customFormat="1">
      <c r="A20" s="4" t="s">
        <v>14</v>
      </c>
      <c r="B20" s="687"/>
      <c r="C20" s="806"/>
      <c r="D20" s="806"/>
      <c r="E20" s="806"/>
      <c r="F20" s="688"/>
      <c r="G20" s="4">
        <f>G12</f>
        <v>0.69</v>
      </c>
      <c r="H20" s="4"/>
      <c r="I20" s="1"/>
      <c r="J20" s="1"/>
      <c r="K20" s="1"/>
      <c r="L20" s="1"/>
      <c r="M20" s="1"/>
    </row>
    <row r="21" spans="1:13" s="2" customFormat="1">
      <c r="A21" s="4" t="s">
        <v>20</v>
      </c>
      <c r="B21" s="687"/>
      <c r="C21" s="806"/>
      <c r="D21" s="806"/>
      <c r="E21" s="806"/>
      <c r="F21" s="688"/>
      <c r="G21" s="4">
        <f>G19*G6*G8</f>
        <v>231.50050979999997</v>
      </c>
      <c r="H21" s="4"/>
      <c r="I21" s="1"/>
      <c r="J21" s="1"/>
      <c r="K21" s="1"/>
      <c r="L21" s="1"/>
      <c r="M21" s="1"/>
    </row>
    <row r="22" spans="1:13" s="2" customFormat="1">
      <c r="A22" s="803" t="s">
        <v>21</v>
      </c>
      <c r="B22" s="683"/>
      <c r="C22" s="683"/>
      <c r="D22" s="683"/>
      <c r="E22" s="683"/>
      <c r="F22" s="683"/>
      <c r="G22" s="4">
        <f>1/2*(G4+G5)</f>
        <v>139.74</v>
      </c>
      <c r="H22" s="4" t="s">
        <v>4</v>
      </c>
      <c r="I22" s="1"/>
      <c r="J22" s="1"/>
      <c r="K22" s="1">
        <v>3.28084</v>
      </c>
      <c r="L22" s="1"/>
      <c r="M22" s="1"/>
    </row>
    <row r="23" spans="1:13" s="2" customFormat="1">
      <c r="A23" s="803"/>
      <c r="B23" s="683"/>
      <c r="C23" s="683"/>
      <c r="D23" s="683"/>
      <c r="E23" s="683"/>
      <c r="F23" s="683"/>
      <c r="G23" s="7">
        <f>G22*3.28084</f>
        <v>458.46458160000003</v>
      </c>
      <c r="H23" s="4" t="s">
        <v>22</v>
      </c>
      <c r="I23" s="1"/>
      <c r="J23" s="1"/>
      <c r="K23" s="1"/>
      <c r="L23" s="1"/>
      <c r="M23" s="1"/>
    </row>
    <row r="24" spans="1:13" s="2" customFormat="1">
      <c r="A24" s="803" t="s">
        <v>23</v>
      </c>
      <c r="B24" s="807"/>
      <c r="C24" s="808"/>
      <c r="D24" s="808"/>
      <c r="E24" s="808"/>
      <c r="F24" s="809"/>
      <c r="G24" s="813">
        <f>G9/G23^(1/2)</f>
        <v>0.74725200256610036</v>
      </c>
      <c r="H24" s="683"/>
      <c r="I24" s="1"/>
      <c r="J24" s="1"/>
      <c r="K24" s="1"/>
      <c r="L24" s="1"/>
      <c r="M24" s="1"/>
    </row>
    <row r="25" spans="1:13" s="2" customFormat="1">
      <c r="A25" s="803"/>
      <c r="B25" s="810"/>
      <c r="C25" s="811"/>
      <c r="D25" s="811"/>
      <c r="E25" s="811"/>
      <c r="F25" s="812"/>
      <c r="G25" s="813"/>
      <c r="H25" s="683"/>
      <c r="I25" s="1"/>
      <c r="J25" s="1"/>
      <c r="K25" s="1"/>
      <c r="L25" s="1"/>
      <c r="M25" s="1"/>
    </row>
    <row r="26" spans="1:13" s="2" customFormat="1">
      <c r="A26" s="8" t="s">
        <v>20</v>
      </c>
      <c r="B26" s="683"/>
      <c r="C26" s="683"/>
      <c r="D26" s="683"/>
      <c r="E26" s="683"/>
      <c r="F26" s="683"/>
      <c r="G26" s="4">
        <f>G19*G6*G8</f>
        <v>231.50050979999997</v>
      </c>
      <c r="H26" s="4" t="s">
        <v>24</v>
      </c>
      <c r="I26" s="1"/>
      <c r="J26" s="1"/>
      <c r="K26" s="1"/>
      <c r="L26" s="1"/>
      <c r="M26" s="9">
        <f>K28/17500</f>
        <v>0.31206675728239996</v>
      </c>
    </row>
    <row r="27" spans="1:13" s="2" customFormat="1" ht="16.2">
      <c r="A27" s="8" t="s">
        <v>15</v>
      </c>
      <c r="B27" s="683"/>
      <c r="C27" s="683"/>
      <c r="D27" s="683"/>
      <c r="E27" s="683"/>
      <c r="F27" s="683"/>
      <c r="G27" s="4">
        <f>G18*G22*G6*G8</f>
        <v>22401.13975848</v>
      </c>
      <c r="H27" s="4" t="s">
        <v>16</v>
      </c>
      <c r="I27" s="1"/>
      <c r="J27" s="1"/>
      <c r="K27" s="1"/>
      <c r="L27" s="1"/>
      <c r="M27" s="1"/>
    </row>
    <row r="28" spans="1:13" s="2" customFormat="1">
      <c r="A28" s="8" t="s">
        <v>25</v>
      </c>
      <c r="B28" s="683"/>
      <c r="C28" s="683"/>
      <c r="D28" s="683"/>
      <c r="E28" s="683"/>
      <c r="F28" s="683"/>
      <c r="G28" s="4">
        <f>G27*1.025</f>
        <v>22961.168252441999</v>
      </c>
      <c r="H28" s="4" t="s">
        <v>26</v>
      </c>
      <c r="I28" s="1"/>
      <c r="J28" s="10" t="s">
        <v>27</v>
      </c>
      <c r="K28" s="1">
        <f>G28-17500</f>
        <v>5461.1682524419994</v>
      </c>
      <c r="L28" s="1"/>
      <c r="M28" s="1"/>
    </row>
    <row r="29" spans="1:13" s="2" customFormat="1">
      <c r="A29" s="8" t="s">
        <v>28</v>
      </c>
      <c r="B29" s="683"/>
      <c r="C29" s="683"/>
      <c r="D29" s="683"/>
      <c r="E29" s="683"/>
      <c r="F29" s="683"/>
      <c r="G29" s="4">
        <f>1.025*G4*((G10*G6)+(1.7*G8))</f>
        <v>4637.6620074999983</v>
      </c>
      <c r="H29" s="4" t="s">
        <v>24</v>
      </c>
      <c r="I29" s="1"/>
      <c r="J29" s="1"/>
      <c r="K29" s="1"/>
      <c r="L29" s="1"/>
      <c r="M29" s="1"/>
    </row>
    <row r="30" spans="1:13" s="2" customFormat="1">
      <c r="A30" s="804" t="s">
        <v>29</v>
      </c>
      <c r="B30" s="683"/>
      <c r="C30" s="683"/>
      <c r="D30" s="683"/>
      <c r="E30" s="683"/>
      <c r="F30" s="683"/>
      <c r="G30" s="813">
        <f>19*(G10*(G6/G5))^2</f>
        <v>0.24308620046085061</v>
      </c>
      <c r="H30" s="683"/>
      <c r="I30" s="1"/>
      <c r="J30" s="1"/>
      <c r="K30" s="1"/>
      <c r="L30" s="1"/>
      <c r="M30" s="1"/>
    </row>
    <row r="31" spans="1:13" s="2" customFormat="1">
      <c r="A31" s="804"/>
      <c r="B31" s="683"/>
      <c r="C31" s="683"/>
      <c r="D31" s="683"/>
      <c r="E31" s="683"/>
      <c r="F31" s="683"/>
      <c r="G31" s="813"/>
      <c r="H31" s="683"/>
      <c r="I31" s="1"/>
      <c r="J31" s="1"/>
      <c r="K31" s="1"/>
      <c r="L31" s="1"/>
      <c r="M31" s="1"/>
    </row>
    <row r="32" spans="1:13">
      <c r="A32" s="8" t="s">
        <v>30</v>
      </c>
      <c r="B32" s="687"/>
      <c r="C32" s="806"/>
      <c r="D32" s="806"/>
      <c r="E32" s="806"/>
      <c r="F32" s="688"/>
      <c r="G32" s="11">
        <v>5.0000000000000001E-3</v>
      </c>
      <c r="H32" s="4"/>
    </row>
    <row r="33" spans="1:8">
      <c r="A33" s="815" t="s">
        <v>31</v>
      </c>
      <c r="B33" s="815"/>
      <c r="C33" s="815"/>
      <c r="D33" s="815"/>
      <c r="E33" s="815"/>
      <c r="F33" s="815"/>
      <c r="G33" s="815"/>
      <c r="H33" s="815"/>
    </row>
    <row r="35" spans="1:8" ht="15.6" customHeight="1">
      <c r="A35" s="816" t="s">
        <v>32</v>
      </c>
      <c r="B35" s="816"/>
      <c r="C35" s="816"/>
      <c r="D35" s="816"/>
      <c r="E35" s="816"/>
      <c r="F35" s="816"/>
      <c r="G35" s="4">
        <v>25</v>
      </c>
      <c r="H35" s="4" t="s">
        <v>33</v>
      </c>
    </row>
    <row r="36" spans="1:8">
      <c r="A36" s="816" t="s">
        <v>34</v>
      </c>
      <c r="B36" s="816"/>
      <c r="C36" s="816"/>
      <c r="D36" s="816"/>
      <c r="E36" s="816"/>
      <c r="F36" s="816"/>
      <c r="G36" s="12">
        <v>8.9299999999999996E-7</v>
      </c>
      <c r="H36" s="4"/>
    </row>
    <row r="37" spans="1:8" ht="16.2" customHeight="1">
      <c r="A37" s="816" t="s">
        <v>35</v>
      </c>
      <c r="B37" s="816"/>
      <c r="C37" s="816"/>
      <c r="D37" s="816"/>
      <c r="E37" s="816"/>
      <c r="F37" s="816"/>
      <c r="G37" s="4">
        <v>1.0249999999999999</v>
      </c>
      <c r="H37" s="4" t="s">
        <v>36</v>
      </c>
    </row>
    <row r="39" spans="1:8" hidden="1"/>
    <row r="40" spans="1:8" hidden="1">
      <c r="G40" s="13"/>
    </row>
    <row r="41" spans="1:8" hidden="1"/>
    <row r="42" spans="1:8" hidden="1"/>
    <row r="43" spans="1:8" hidden="1"/>
    <row r="44" spans="1:8" hidden="1"/>
    <row r="45" spans="1:8" hidden="1"/>
    <row r="47" spans="1:8">
      <c r="A47" s="1" t="s">
        <v>554</v>
      </c>
    </row>
    <row r="52" spans="1:4">
      <c r="A52" s="1" t="s">
        <v>37</v>
      </c>
    </row>
    <row r="53" spans="1:4">
      <c r="A53" s="10" t="s">
        <v>38</v>
      </c>
      <c r="B53" s="1">
        <v>1</v>
      </c>
    </row>
    <row r="54" spans="1:4">
      <c r="A54" s="10" t="s">
        <v>39</v>
      </c>
      <c r="B54" s="1">
        <v>0.78500000000000003</v>
      </c>
    </row>
    <row r="55" spans="1:4">
      <c r="A55" s="10" t="s">
        <v>19</v>
      </c>
      <c r="B55" s="1">
        <f>G6/G8</f>
        <v>2.3826279280184983</v>
      </c>
    </row>
    <row r="56" spans="1:4">
      <c r="A56" s="10" t="s">
        <v>40</v>
      </c>
      <c r="B56" s="1">
        <f>G5/G6</f>
        <v>6.0118143459915609</v>
      </c>
    </row>
    <row r="58" spans="1:4">
      <c r="A58" s="1" t="s">
        <v>41</v>
      </c>
    </row>
    <row r="61" spans="1:4">
      <c r="A61" s="814" t="s">
        <v>42</v>
      </c>
      <c r="B61" s="814"/>
      <c r="C61" s="814"/>
      <c r="D61" s="814"/>
    </row>
    <row r="62" spans="1:4">
      <c r="A62" s="1" t="s">
        <v>43</v>
      </c>
    </row>
    <row r="63" spans="1:4" ht="31.2">
      <c r="A63" s="14" t="s">
        <v>44</v>
      </c>
      <c r="B63" s="15" t="s">
        <v>10</v>
      </c>
      <c r="C63" s="16"/>
      <c r="D63" s="17" t="s">
        <v>41</v>
      </c>
    </row>
    <row r="64" spans="1:4">
      <c r="A64" s="18"/>
      <c r="B64" s="19" t="s">
        <v>11</v>
      </c>
      <c r="C64" s="19" t="s">
        <v>45</v>
      </c>
      <c r="D64" s="20"/>
    </row>
    <row r="65" spans="1:4">
      <c r="A65" s="19" t="s">
        <v>46</v>
      </c>
      <c r="B65" s="19">
        <f>$G$9+1</f>
        <v>17</v>
      </c>
      <c r="C65" s="19">
        <f>B65*0.514</f>
        <v>8.7379999999999995</v>
      </c>
      <c r="D65" s="19">
        <f t="shared" ref="D65:D71" si="0">C65/(9.8*$G$5)^(1/2)</f>
        <v>0.23384174828309998</v>
      </c>
    </row>
    <row r="66" spans="1:4">
      <c r="A66" s="21" t="s">
        <v>10</v>
      </c>
      <c r="B66" s="21">
        <f>$G$9-0</f>
        <v>16</v>
      </c>
      <c r="C66" s="21">
        <f t="shared" ref="C66:C71" si="1">B66*0.514</f>
        <v>8.2240000000000002</v>
      </c>
      <c r="D66" s="21">
        <f t="shared" si="0"/>
        <v>0.22008635132527057</v>
      </c>
    </row>
    <row r="67" spans="1:4">
      <c r="A67" s="19" t="s">
        <v>47</v>
      </c>
      <c r="B67" s="19">
        <f>$G$9-1</f>
        <v>15</v>
      </c>
      <c r="C67" s="19">
        <f t="shared" si="1"/>
        <v>7.71</v>
      </c>
      <c r="D67" s="19">
        <f t="shared" si="0"/>
        <v>0.20633095436744117</v>
      </c>
    </row>
    <row r="68" spans="1:4">
      <c r="A68" s="19" t="s">
        <v>48</v>
      </c>
      <c r="B68" s="19">
        <f>$G$9-2</f>
        <v>14</v>
      </c>
      <c r="C68" s="19">
        <f t="shared" si="1"/>
        <v>7.1959999999999997</v>
      </c>
      <c r="D68" s="19">
        <f t="shared" si="0"/>
        <v>0.19257555740961174</v>
      </c>
    </row>
    <row r="69" spans="1:4">
      <c r="A69" s="19" t="s">
        <v>49</v>
      </c>
      <c r="B69" s="19">
        <f>$G$9-3</f>
        <v>13</v>
      </c>
      <c r="C69" s="19">
        <f t="shared" si="1"/>
        <v>6.6820000000000004</v>
      </c>
      <c r="D69" s="19">
        <f t="shared" si="0"/>
        <v>0.17882016045178237</v>
      </c>
    </row>
    <row r="70" spans="1:4">
      <c r="A70" s="19" t="s">
        <v>50</v>
      </c>
      <c r="B70" s="19">
        <f>$G$9-4</f>
        <v>12</v>
      </c>
      <c r="C70" s="19">
        <f t="shared" si="1"/>
        <v>6.1680000000000001</v>
      </c>
      <c r="D70" s="19">
        <f t="shared" si="0"/>
        <v>0.16506476349395294</v>
      </c>
    </row>
    <row r="71" spans="1:4">
      <c r="A71" s="19" t="s">
        <v>51</v>
      </c>
      <c r="B71" s="19">
        <f>$G$9-5</f>
        <v>11</v>
      </c>
      <c r="C71" s="19">
        <f t="shared" si="1"/>
        <v>5.6539999999999999</v>
      </c>
      <c r="D71" s="19">
        <f t="shared" si="0"/>
        <v>0.15130936653612354</v>
      </c>
    </row>
    <row r="74" spans="1:4">
      <c r="A74" s="1" t="s">
        <v>52</v>
      </c>
    </row>
    <row r="75" spans="1:4">
      <c r="A75" s="22" t="s">
        <v>53</v>
      </c>
      <c r="B75" s="23"/>
      <c r="C75" s="24"/>
    </row>
    <row r="76" spans="1:4">
      <c r="A76" s="25"/>
    </row>
    <row r="78" spans="1:4">
      <c r="A78" s="25" t="s">
        <v>54</v>
      </c>
    </row>
    <row r="79" spans="1:4" ht="31.5" customHeight="1">
      <c r="A79" s="740" t="s">
        <v>44</v>
      </c>
      <c r="B79" s="727" t="s">
        <v>10</v>
      </c>
      <c r="C79" s="729"/>
      <c r="D79" s="818" t="s">
        <v>55</v>
      </c>
    </row>
    <row r="80" spans="1:4">
      <c r="A80" s="817"/>
      <c r="B80" s="19" t="s">
        <v>11</v>
      </c>
      <c r="C80" s="19" t="s">
        <v>45</v>
      </c>
      <c r="D80" s="819"/>
    </row>
    <row r="81" spans="1:8">
      <c r="A81" s="19" t="s">
        <v>46</v>
      </c>
      <c r="B81" s="19">
        <f>$G$9+1</f>
        <v>17</v>
      </c>
      <c r="C81" s="19">
        <f>B81*0.514</f>
        <v>8.7379999999999995</v>
      </c>
      <c r="D81" s="19">
        <f t="shared" ref="D81:D87" si="2">C81*$G$5/$G$36</f>
        <v>1394166002.2396417</v>
      </c>
    </row>
    <row r="82" spans="1:8">
      <c r="A82" s="19" t="s">
        <v>10</v>
      </c>
      <c r="B82" s="19">
        <f>$G$9-0</f>
        <v>16</v>
      </c>
      <c r="C82" s="19">
        <f t="shared" ref="C82:C87" si="3">B82*0.514</f>
        <v>8.2240000000000002</v>
      </c>
      <c r="D82" s="19">
        <f t="shared" si="2"/>
        <v>1312156237.4020157</v>
      </c>
    </row>
    <row r="83" spans="1:8">
      <c r="A83" s="19" t="s">
        <v>47</v>
      </c>
      <c r="B83" s="19">
        <f>$G$9-1</f>
        <v>15</v>
      </c>
      <c r="C83" s="19">
        <f t="shared" si="3"/>
        <v>7.71</v>
      </c>
      <c r="D83" s="19">
        <f t="shared" si="2"/>
        <v>1230146472.5643897</v>
      </c>
    </row>
    <row r="84" spans="1:8">
      <c r="A84" s="19" t="s">
        <v>48</v>
      </c>
      <c r="B84" s="19">
        <f>$G$9-2</f>
        <v>14</v>
      </c>
      <c r="C84" s="19">
        <f t="shared" si="3"/>
        <v>7.1959999999999997</v>
      </c>
      <c r="D84" s="19">
        <f t="shared" si="2"/>
        <v>1148136707.7267635</v>
      </c>
    </row>
    <row r="85" spans="1:8">
      <c r="A85" s="19" t="s">
        <v>49</v>
      </c>
      <c r="B85" s="19">
        <f>$G$9-3</f>
        <v>13</v>
      </c>
      <c r="C85" s="19">
        <f t="shared" si="3"/>
        <v>6.6820000000000004</v>
      </c>
      <c r="D85" s="19">
        <f t="shared" si="2"/>
        <v>1066126942.8891377</v>
      </c>
    </row>
    <row r="86" spans="1:8">
      <c r="A86" s="19" t="s">
        <v>50</v>
      </c>
      <c r="B86" s="19">
        <f>$G$9-4</f>
        <v>12</v>
      </c>
      <c r="C86" s="19">
        <f t="shared" si="3"/>
        <v>6.1680000000000001</v>
      </c>
      <c r="D86" s="19">
        <f t="shared" si="2"/>
        <v>984117178.05151176</v>
      </c>
    </row>
    <row r="87" spans="1:8">
      <c r="A87" s="19" t="s">
        <v>51</v>
      </c>
      <c r="B87" s="19">
        <f>$G$9-5</f>
        <v>11</v>
      </c>
      <c r="C87" s="19">
        <f t="shared" si="3"/>
        <v>5.6539999999999999</v>
      </c>
      <c r="D87" s="19">
        <f t="shared" si="2"/>
        <v>902107413.21388578</v>
      </c>
    </row>
    <row r="91" spans="1:8">
      <c r="A91" s="662" t="s">
        <v>56</v>
      </c>
      <c r="B91" s="662"/>
      <c r="C91" s="662"/>
      <c r="D91" s="662"/>
      <c r="E91" s="662"/>
      <c r="F91" s="662"/>
      <c r="G91" s="662"/>
      <c r="H91" s="662"/>
    </row>
    <row r="96" spans="1:8">
      <c r="A96" s="1" t="s">
        <v>57</v>
      </c>
    </row>
    <row r="100" spans="1:2">
      <c r="A100" s="10" t="s">
        <v>58</v>
      </c>
      <c r="B100" s="1">
        <f>G5*(1-G12+(0.06*G12*G32)/(4*G12-1))</f>
        <v>44.185557590909099</v>
      </c>
    </row>
    <row r="102" spans="1:2">
      <c r="A102" s="1" t="s">
        <v>59</v>
      </c>
    </row>
    <row r="103" spans="1:2">
      <c r="A103" s="10" t="s">
        <v>60</v>
      </c>
      <c r="B103" s="1">
        <v>-8</v>
      </c>
    </row>
    <row r="104" spans="1:2">
      <c r="A104" s="10"/>
    </row>
    <row r="105" spans="1:2">
      <c r="A105" s="10" t="s">
        <v>61</v>
      </c>
      <c r="B105" s="1" t="s">
        <v>62</v>
      </c>
    </row>
    <row r="106" spans="1:2">
      <c r="A106" s="10" t="s">
        <v>63</v>
      </c>
      <c r="B106" s="1">
        <f>1+(0.011*B103)</f>
        <v>0.91200000000000003</v>
      </c>
    </row>
    <row r="108" spans="1:2">
      <c r="A108" s="1" t="s">
        <v>64</v>
      </c>
    </row>
    <row r="113" spans="1:8">
      <c r="A113" s="10" t="s">
        <v>65</v>
      </c>
      <c r="B113" s="26">
        <f>0.93+(0.487118*B106*(G6/G5)^(1.06806)*(G8/G5)^(0.46106)*(G5/B100)^(0.121563)*(G5^3/G13)^(0.36486)/(1-G12)^0.604247)</f>
        <v>1.1942175301070963</v>
      </c>
    </row>
    <row r="114" spans="1:8" ht="16.2" customHeight="1"/>
    <row r="115" spans="1:8" ht="16.2" customHeight="1">
      <c r="A115" s="662" t="s">
        <v>66</v>
      </c>
      <c r="B115" s="662"/>
      <c r="C115" s="662"/>
      <c r="D115" s="662"/>
      <c r="E115" s="662"/>
      <c r="F115" s="662"/>
      <c r="G115" s="662"/>
      <c r="H115" s="662"/>
    </row>
    <row r="117" spans="1:8">
      <c r="A117" s="10" t="s">
        <v>67</v>
      </c>
      <c r="B117" s="1" t="s">
        <v>68</v>
      </c>
    </row>
    <row r="118" spans="1:8">
      <c r="A118" s="10" t="s">
        <v>63</v>
      </c>
      <c r="B118" s="1">
        <f>(G4*G10)/G5</f>
        <v>0.65384615384615397</v>
      </c>
    </row>
    <row r="120" spans="1:8" ht="15.6" customHeight="1">
      <c r="A120" s="10" t="s">
        <v>69</v>
      </c>
      <c r="B120" s="1" t="s">
        <v>70</v>
      </c>
      <c r="D120" s="1">
        <f>G21/G5/G6</f>
        <v>6.855666760247052E-2</v>
      </c>
    </row>
    <row r="121" spans="1:8">
      <c r="A121" s="10" t="s">
        <v>63</v>
      </c>
      <c r="B121" s="1">
        <f>0.248+(0.778*B118)</f>
        <v>0.75669230769230778</v>
      </c>
    </row>
    <row r="122" spans="1:8">
      <c r="G122" s="820" t="s">
        <v>71</v>
      </c>
      <c r="H122" s="820"/>
    </row>
    <row r="123" spans="1:8">
      <c r="G123" s="820"/>
      <c r="H123" s="820"/>
    </row>
    <row r="124" spans="1:8">
      <c r="A124" s="10" t="s">
        <v>72</v>
      </c>
      <c r="B124" s="1">
        <f>G5*(2*G8+G6)*(G11^0.5)*(0.453+0.4425*G10-0.2862*G11-0.003467*G6/G8+0.3696*B121)+2.38*(0/G10)</f>
        <v>4581.0357197290095</v>
      </c>
      <c r="G124" s="820"/>
      <c r="H124" s="820"/>
    </row>
    <row r="126" spans="1:8">
      <c r="A126" s="662" t="s">
        <v>73</v>
      </c>
      <c r="B126" s="662"/>
      <c r="C126" s="662"/>
      <c r="D126" s="662"/>
      <c r="E126" s="662"/>
      <c r="F126" s="662"/>
      <c r="G126" s="662"/>
      <c r="H126" s="662"/>
    </row>
    <row r="128" spans="1:8">
      <c r="A128" s="1" t="s">
        <v>74</v>
      </c>
    </row>
    <row r="131" spans="1:5">
      <c r="A131" s="10" t="s">
        <v>75</v>
      </c>
      <c r="B131" s="27">
        <f>(2*G5*G8/100)*(1+25*(G6/G5)^2)</f>
        <v>47.951689441156645</v>
      </c>
    </row>
    <row r="133" spans="1:5" ht="16.2">
      <c r="A133" s="1" t="s">
        <v>76</v>
      </c>
    </row>
    <row r="134" spans="1:5">
      <c r="A134" s="1" t="s">
        <v>77</v>
      </c>
      <c r="C134" s="28">
        <v>1.5</v>
      </c>
    </row>
    <row r="136" spans="1:5">
      <c r="A136" s="1" t="s">
        <v>78</v>
      </c>
    </row>
    <row r="139" spans="1:5">
      <c r="A139" s="740" t="s">
        <v>44</v>
      </c>
      <c r="B139" s="687" t="s">
        <v>79</v>
      </c>
      <c r="C139" s="688"/>
      <c r="D139" s="703" t="s">
        <v>80</v>
      </c>
      <c r="E139" s="821" t="s">
        <v>81</v>
      </c>
    </row>
    <row r="140" spans="1:5">
      <c r="A140" s="817"/>
      <c r="B140" s="19" t="s">
        <v>11</v>
      </c>
      <c r="C140" s="19" t="s">
        <v>45</v>
      </c>
      <c r="D140" s="703"/>
      <c r="E140" s="821"/>
    </row>
    <row r="141" spans="1:5">
      <c r="A141" s="19" t="s">
        <v>46</v>
      </c>
      <c r="B141" s="19">
        <f>$G$9+1</f>
        <v>17</v>
      </c>
      <c r="C141" s="19">
        <f>B141*0.514</f>
        <v>8.7379999999999995</v>
      </c>
      <c r="D141" s="29">
        <f t="shared" ref="D141:D147" si="4">0.075/(LOG10(D81)-2)^2</f>
        <v>1.4694003402913943E-3</v>
      </c>
      <c r="E141" s="30">
        <f>0.5*1.025*(C141^2)*$B$131*($C$134)*D141</f>
        <v>4.1357402876169944</v>
      </c>
    </row>
    <row r="142" spans="1:5">
      <c r="A142" s="21" t="s">
        <v>10</v>
      </c>
      <c r="B142" s="21">
        <f>$G$9-0</f>
        <v>16</v>
      </c>
      <c r="C142" s="21">
        <f t="shared" ref="C142:C147" si="5">B142*0.514</f>
        <v>8.2240000000000002</v>
      </c>
      <c r="D142" s="31">
        <f t="shared" si="4"/>
        <v>1.4802908662457982E-3</v>
      </c>
      <c r="E142" s="32">
        <f t="shared" ref="E142:E147" si="6">0.5*1.025*C142^2*$B$131*($C$134)*D142</f>
        <v>3.6906452689419931</v>
      </c>
    </row>
    <row r="143" spans="1:5">
      <c r="A143" s="19" t="s">
        <v>47</v>
      </c>
      <c r="B143" s="19">
        <f>$G$9-1</f>
        <v>15</v>
      </c>
      <c r="C143" s="19">
        <f t="shared" si="5"/>
        <v>7.71</v>
      </c>
      <c r="D143" s="29">
        <f t="shared" si="4"/>
        <v>1.4920180677147508E-3</v>
      </c>
      <c r="E143" s="4">
        <f t="shared" si="6"/>
        <v>3.2694287708778829</v>
      </c>
    </row>
    <row r="144" spans="1:5">
      <c r="A144" s="19" t="s">
        <v>48</v>
      </c>
      <c r="B144" s="19">
        <f>$G$9-2</f>
        <v>14</v>
      </c>
      <c r="C144" s="19">
        <f t="shared" si="5"/>
        <v>7.1959999999999997</v>
      </c>
      <c r="D144" s="29">
        <f t="shared" si="4"/>
        <v>1.5047094497573712E-3</v>
      </c>
      <c r="E144" s="4">
        <f t="shared" si="6"/>
        <v>2.8722616487381152</v>
      </c>
    </row>
    <row r="145" spans="1:8">
      <c r="A145" s="19" t="s">
        <v>49</v>
      </c>
      <c r="B145" s="19">
        <f>$G$9-3</f>
        <v>13</v>
      </c>
      <c r="C145" s="19">
        <f t="shared" si="5"/>
        <v>6.6820000000000004</v>
      </c>
      <c r="D145" s="29">
        <f t="shared" si="4"/>
        <v>1.5185229981948237E-3</v>
      </c>
      <c r="E145" s="4">
        <f t="shared" si="6"/>
        <v>2.4993285951199793</v>
      </c>
    </row>
    <row r="146" spans="1:8">
      <c r="A146" s="19" t="s">
        <v>50</v>
      </c>
      <c r="B146" s="19">
        <f>$G$9-4</f>
        <v>12</v>
      </c>
      <c r="C146" s="19">
        <f t="shared" si="5"/>
        <v>6.1680000000000001</v>
      </c>
      <c r="D146" s="29">
        <f t="shared" si="4"/>
        <v>1.5336575340351055E-3</v>
      </c>
      <c r="E146" s="4">
        <f t="shared" si="6"/>
        <v>2.1508303900380397</v>
      </c>
    </row>
    <row r="147" spans="1:8">
      <c r="A147" s="19" t="s">
        <v>51</v>
      </c>
      <c r="B147" s="19">
        <f>$G$9-5</f>
        <v>11</v>
      </c>
      <c r="C147" s="19">
        <f t="shared" si="5"/>
        <v>5.6539999999999999</v>
      </c>
      <c r="D147" s="29">
        <f t="shared" si="4"/>
        <v>1.5503678115420048E-3</v>
      </c>
      <c r="E147" s="4">
        <f t="shared" si="6"/>
        <v>1.8269867304629435</v>
      </c>
    </row>
    <row r="149" spans="1:8">
      <c r="A149" s="662" t="s">
        <v>82</v>
      </c>
      <c r="B149" s="662"/>
      <c r="C149" s="662"/>
      <c r="D149" s="662"/>
      <c r="E149" s="662"/>
      <c r="F149" s="662"/>
      <c r="G149" s="662"/>
      <c r="H149" s="662"/>
    </row>
    <row r="151" spans="1:8">
      <c r="A151" s="1" t="s">
        <v>83</v>
      </c>
    </row>
    <row r="152" spans="1:8">
      <c r="A152" s="10" t="s">
        <v>84</v>
      </c>
      <c r="B152" s="1" t="s">
        <v>85</v>
      </c>
    </row>
    <row r="153" spans="1:8">
      <c r="A153" s="10" t="s">
        <v>63</v>
      </c>
      <c r="B153" s="1">
        <f>G6/G5</f>
        <v>0.16633913531723751</v>
      </c>
    </row>
    <row r="155" spans="1:8">
      <c r="A155" s="1" t="s">
        <v>86</v>
      </c>
    </row>
    <row r="157" spans="1:8">
      <c r="D157" s="1" t="s">
        <v>87</v>
      </c>
      <c r="E157" s="1">
        <v>25.525099999999998</v>
      </c>
    </row>
    <row r="166" spans="1:2">
      <c r="A166" s="10" t="s">
        <v>88</v>
      </c>
      <c r="B166" s="1">
        <f>0.5*E157</f>
        <v>12.762549999999999</v>
      </c>
    </row>
    <row r="169" spans="1:2">
      <c r="A169" s="1" t="s">
        <v>89</v>
      </c>
    </row>
    <row r="172" spans="1:2">
      <c r="A172" s="10" t="s">
        <v>90</v>
      </c>
      <c r="B172" s="1">
        <f>2223105*(B153^3.78613)*((G8/G6)^1.07961)*((90-B166)^-1.37565)</f>
        <v>2.4744546033973673</v>
      </c>
    </row>
    <row r="174" spans="1:2">
      <c r="A174" s="1" t="s">
        <v>91</v>
      </c>
    </row>
    <row r="175" spans="1:2">
      <c r="A175" s="33" t="s">
        <v>92</v>
      </c>
    </row>
    <row r="176" spans="1:2">
      <c r="A176" s="10" t="s">
        <v>93</v>
      </c>
      <c r="B176" s="33">
        <v>0</v>
      </c>
    </row>
    <row r="177" spans="1:2">
      <c r="A177" s="33"/>
    </row>
    <row r="178" spans="1:2">
      <c r="A178" s="1" t="s">
        <v>94</v>
      </c>
    </row>
    <row r="180" spans="1:2">
      <c r="A180" s="10" t="s">
        <v>95</v>
      </c>
      <c r="B180" s="33">
        <f>EXP(-1.89*(0^0.5))</f>
        <v>1</v>
      </c>
    </row>
    <row r="182" spans="1:2">
      <c r="A182" s="1" t="s">
        <v>96</v>
      </c>
    </row>
    <row r="184" spans="1:2">
      <c r="A184" s="1" t="s">
        <v>97</v>
      </c>
    </row>
    <row r="185" spans="1:2">
      <c r="A185" s="10" t="s">
        <v>98</v>
      </c>
      <c r="B185" s="33">
        <f>1-0.8*0*(G6*G8*G11)</f>
        <v>1</v>
      </c>
    </row>
    <row r="187" spans="1:2">
      <c r="A187" s="1" t="s">
        <v>99</v>
      </c>
    </row>
    <row r="189" spans="1:2">
      <c r="A189" s="10" t="s">
        <v>100</v>
      </c>
      <c r="B189" s="1">
        <f>(8.07981*G12)-(13.8673*(G12^2))+(6.984388*(G12^3))</f>
        <v>1.2672816874920008</v>
      </c>
    </row>
    <row r="191" spans="1:2">
      <c r="A191" s="1" t="s">
        <v>101</v>
      </c>
    </row>
    <row r="193" spans="1:7">
      <c r="F193" s="10" t="s">
        <v>102</v>
      </c>
      <c r="G193" s="1">
        <f>(0.0140407*G5/G8)-(1.75254*(G13^(1/3))/G5)-(4.79323*G6/G5)-B189</f>
        <v>-2.2102057038835747</v>
      </c>
    </row>
    <row r="196" spans="1:7">
      <c r="A196" s="1" t="s">
        <v>103</v>
      </c>
    </row>
    <row r="197" spans="1:7">
      <c r="B197" s="1">
        <f>(G5^3)/G13</f>
        <v>129.11943107256704</v>
      </c>
    </row>
    <row r="198" spans="1:7" ht="16.2" customHeight="1"/>
    <row r="199" spans="1:7">
      <c r="A199" s="10" t="s">
        <v>104</v>
      </c>
      <c r="B199" s="33">
        <v>-1.6938500000000001</v>
      </c>
    </row>
    <row r="200" spans="1:7">
      <c r="A200" s="34" t="s">
        <v>105</v>
      </c>
      <c r="B200" s="35"/>
      <c r="C200" s="34"/>
    </row>
    <row r="202" spans="1:7">
      <c r="A202" s="1" t="s">
        <v>106</v>
      </c>
    </row>
    <row r="205" spans="1:7" ht="21" customHeight="1">
      <c r="A205" s="740" t="s">
        <v>44</v>
      </c>
      <c r="B205" s="727" t="s">
        <v>10</v>
      </c>
      <c r="C205" s="729"/>
      <c r="D205" s="818" t="s">
        <v>41</v>
      </c>
      <c r="E205" s="818" t="s">
        <v>107</v>
      </c>
    </row>
    <row r="206" spans="1:7">
      <c r="A206" s="817"/>
      <c r="B206" s="19" t="s">
        <v>11</v>
      </c>
      <c r="C206" s="19" t="s">
        <v>45</v>
      </c>
      <c r="D206" s="819"/>
      <c r="E206" s="819"/>
    </row>
    <row r="207" spans="1:7">
      <c r="A207" s="19" t="s">
        <v>46</v>
      </c>
      <c r="B207" s="19">
        <f>$G$9+1</f>
        <v>17</v>
      </c>
      <c r="C207" s="19">
        <f>B207*0.514</f>
        <v>8.7379999999999995</v>
      </c>
      <c r="D207" s="19">
        <f>C207/(9.8*$G$5)^(1/2)</f>
        <v>0.23384174828309998</v>
      </c>
      <c r="E207" s="4">
        <f t="shared" ref="E207:E213" si="7">$B$199*($G$12^2)*EXP(-0.1*(D207^-2))</f>
        <v>-0.12952519033770354</v>
      </c>
    </row>
    <row r="208" spans="1:7">
      <c r="A208" s="19" t="s">
        <v>10</v>
      </c>
      <c r="B208" s="19">
        <f>$G$9-0</f>
        <v>16</v>
      </c>
      <c r="C208" s="19">
        <f t="shared" ref="C208:C213" si="8">B208*0.514</f>
        <v>8.2240000000000002</v>
      </c>
      <c r="D208" s="19">
        <f t="shared" ref="D208:D213" si="9">C208/(9.8*$G$5)^(1/2)</f>
        <v>0.22008635132527057</v>
      </c>
      <c r="E208" s="4">
        <f t="shared" si="7"/>
        <v>-0.10232328168411089</v>
      </c>
    </row>
    <row r="209" spans="1:6">
      <c r="A209" s="19" t="s">
        <v>47</v>
      </c>
      <c r="B209" s="19">
        <f>$G$9-1</f>
        <v>15</v>
      </c>
      <c r="C209" s="19">
        <f t="shared" si="8"/>
        <v>7.71</v>
      </c>
      <c r="D209" s="19">
        <f t="shared" si="9"/>
        <v>0.20633095436744117</v>
      </c>
      <c r="E209" s="4">
        <f t="shared" si="7"/>
        <v>-7.6991554437865456E-2</v>
      </c>
    </row>
    <row r="210" spans="1:6">
      <c r="A210" s="19" t="s">
        <v>48</v>
      </c>
      <c r="B210" s="19">
        <f>$G$9-2</f>
        <v>14</v>
      </c>
      <c r="C210" s="19">
        <f t="shared" si="8"/>
        <v>7.1959999999999997</v>
      </c>
      <c r="D210" s="19">
        <f t="shared" si="9"/>
        <v>0.19257555740961174</v>
      </c>
      <c r="E210" s="4">
        <f t="shared" si="7"/>
        <v>-5.4388299417664702E-2</v>
      </c>
    </row>
    <row r="211" spans="1:6">
      <c r="A211" s="19" t="s">
        <v>49</v>
      </c>
      <c r="B211" s="19">
        <f>$G$9-3</f>
        <v>13</v>
      </c>
      <c r="C211" s="19">
        <f t="shared" si="8"/>
        <v>6.6820000000000004</v>
      </c>
      <c r="D211" s="19">
        <f t="shared" si="9"/>
        <v>0.17882016045178237</v>
      </c>
      <c r="E211" s="4">
        <f t="shared" si="7"/>
        <v>-3.535182441417576E-2</v>
      </c>
    </row>
    <row r="212" spans="1:6">
      <c r="A212" s="19" t="s">
        <v>50</v>
      </c>
      <c r="B212" s="19">
        <f>$G$9-4</f>
        <v>12</v>
      </c>
      <c r="C212" s="19">
        <f t="shared" si="8"/>
        <v>6.1680000000000001</v>
      </c>
      <c r="D212" s="19">
        <f t="shared" si="9"/>
        <v>0.16506476349395294</v>
      </c>
      <c r="E212" s="4">
        <f t="shared" si="7"/>
        <v>-2.0540922282203611E-2</v>
      </c>
    </row>
    <row r="213" spans="1:6">
      <c r="A213" s="19" t="s">
        <v>51</v>
      </c>
      <c r="B213" s="19">
        <f>$G$9-5</f>
        <v>11</v>
      </c>
      <c r="C213" s="19">
        <f t="shared" si="8"/>
        <v>5.6539999999999999</v>
      </c>
      <c r="D213" s="19">
        <f t="shared" si="9"/>
        <v>0.15130936653612354</v>
      </c>
      <c r="E213" s="4">
        <f t="shared" si="7"/>
        <v>-1.0224382811208353E-2</v>
      </c>
    </row>
    <row r="215" spans="1:6">
      <c r="A215" s="1" t="s">
        <v>108</v>
      </c>
    </row>
    <row r="218" spans="1:6">
      <c r="A218" s="10" t="s">
        <v>109</v>
      </c>
      <c r="B218" s="1">
        <f>1.446*G12-(0.03*G5/G6)</f>
        <v>0.81738556962025299</v>
      </c>
    </row>
    <row r="219" spans="1:6">
      <c r="A219" s="10"/>
    </row>
    <row r="220" spans="1:6">
      <c r="A220" s="1" t="s">
        <v>110</v>
      </c>
    </row>
    <row r="221" spans="1:6">
      <c r="F221" s="1" t="s">
        <v>111</v>
      </c>
    </row>
    <row r="223" spans="1:6">
      <c r="A223" s="740" t="s">
        <v>44</v>
      </c>
      <c r="B223" s="727" t="s">
        <v>10</v>
      </c>
      <c r="C223" s="729"/>
      <c r="D223" s="818" t="s">
        <v>112</v>
      </c>
    </row>
    <row r="224" spans="1:6">
      <c r="A224" s="817"/>
      <c r="B224" s="19" t="s">
        <v>11</v>
      </c>
      <c r="C224" s="19" t="s">
        <v>45</v>
      </c>
      <c r="D224" s="819"/>
    </row>
    <row r="225" spans="1:8">
      <c r="A225" s="19" t="s">
        <v>46</v>
      </c>
      <c r="B225" s="19">
        <f>$G$9+1</f>
        <v>17</v>
      </c>
      <c r="C225" s="19">
        <f>B225*0.514</f>
        <v>8.7379999999999995</v>
      </c>
      <c r="D225" s="4">
        <f t="shared" ref="D225:D231" si="10">$B$172*$B$180*$B$185*$G$13*1.025*9.8*EXP(($G$193*(D207^(-0.9))+(E207*COS($B$218*D207^(-2)))))</f>
        <v>172.50865529612051</v>
      </c>
    </row>
    <row r="226" spans="1:8">
      <c r="A226" s="21" t="s">
        <v>10</v>
      </c>
      <c r="B226" s="21">
        <f>$G$9-0</f>
        <v>16</v>
      </c>
      <c r="C226" s="21">
        <f t="shared" ref="C226:C231" si="11">B226*0.514</f>
        <v>8.2240000000000002</v>
      </c>
      <c r="D226" s="32">
        <f t="shared" si="10"/>
        <v>103.38118602542848</v>
      </c>
    </row>
    <row r="227" spans="1:8">
      <c r="A227" s="19" t="s">
        <v>47</v>
      </c>
      <c r="B227" s="19">
        <f>$G$9-1</f>
        <v>15</v>
      </c>
      <c r="C227" s="19">
        <f t="shared" si="11"/>
        <v>7.71</v>
      </c>
      <c r="D227" s="4">
        <f t="shared" si="10"/>
        <v>55.129018025528239</v>
      </c>
    </row>
    <row r="228" spans="1:8">
      <c r="A228" s="19" t="s">
        <v>48</v>
      </c>
      <c r="B228" s="19">
        <f>$G$9-2</f>
        <v>14</v>
      </c>
      <c r="C228" s="19">
        <f t="shared" si="11"/>
        <v>7.1959999999999997</v>
      </c>
      <c r="D228" s="4">
        <f t="shared" si="10"/>
        <v>34.822958869769508</v>
      </c>
    </row>
    <row r="229" spans="1:8">
      <c r="A229" s="19" t="s">
        <v>49</v>
      </c>
      <c r="B229" s="19">
        <f>$G$9-3</f>
        <v>13</v>
      </c>
      <c r="C229" s="19">
        <f t="shared" si="11"/>
        <v>6.6820000000000004</v>
      </c>
      <c r="D229" s="4">
        <f t="shared" si="10"/>
        <v>16.320775435330258</v>
      </c>
    </row>
    <row r="230" spans="1:8">
      <c r="A230" s="19" t="s">
        <v>50</v>
      </c>
      <c r="B230" s="19">
        <f>$G$9-4</f>
        <v>12</v>
      </c>
      <c r="C230" s="19">
        <f t="shared" si="11"/>
        <v>6.1680000000000001</v>
      </c>
      <c r="D230" s="4">
        <f t="shared" si="10"/>
        <v>7.7227690459622202</v>
      </c>
    </row>
    <row r="231" spans="1:8">
      <c r="A231" s="19" t="s">
        <v>51</v>
      </c>
      <c r="B231" s="19">
        <f>$G$9-5</f>
        <v>11</v>
      </c>
      <c r="C231" s="19">
        <f t="shared" si="11"/>
        <v>5.6539999999999999</v>
      </c>
      <c r="D231" s="4">
        <f t="shared" si="10"/>
        <v>3.1287934678546669</v>
      </c>
    </row>
    <row r="233" spans="1:8">
      <c r="A233" s="664" t="s">
        <v>113</v>
      </c>
      <c r="B233" s="664"/>
      <c r="C233" s="664"/>
      <c r="D233" s="664"/>
      <c r="E233" s="664"/>
      <c r="F233" s="664"/>
      <c r="G233" s="664"/>
      <c r="H233" s="664"/>
    </row>
    <row r="235" spans="1:8">
      <c r="A235" s="1" t="s">
        <v>114</v>
      </c>
    </row>
    <row r="237" spans="1:8">
      <c r="A237" s="664" t="s">
        <v>115</v>
      </c>
      <c r="B237" s="664"/>
      <c r="C237" s="664"/>
      <c r="D237" s="664"/>
      <c r="E237" s="664"/>
      <c r="F237" s="664"/>
      <c r="G237" s="664"/>
      <c r="H237" s="664"/>
    </row>
    <row r="239" spans="1:8">
      <c r="A239" s="1" t="s">
        <v>116</v>
      </c>
    </row>
    <row r="241" spans="1:8">
      <c r="A241" s="664" t="s">
        <v>117</v>
      </c>
      <c r="B241" s="664"/>
      <c r="C241" s="664"/>
      <c r="D241" s="664"/>
      <c r="E241" s="664"/>
      <c r="F241" s="664"/>
      <c r="G241" s="664"/>
      <c r="H241" s="664"/>
    </row>
    <row r="243" spans="1:8">
      <c r="A243" s="1" t="s">
        <v>118</v>
      </c>
    </row>
    <row r="244" spans="1:8">
      <c r="A244" s="10" t="s">
        <v>119</v>
      </c>
      <c r="B244" s="1">
        <f>G8/G6</f>
        <v>0.41970464135021096</v>
      </c>
    </row>
    <row r="245" spans="1:8">
      <c r="A245" s="1" t="s">
        <v>120</v>
      </c>
    </row>
    <row r="246" spans="1:8">
      <c r="A246" s="10" t="s">
        <v>121</v>
      </c>
      <c r="B246" s="33">
        <v>0.04</v>
      </c>
    </row>
    <row r="248" spans="1:8">
      <c r="A248" s="1" t="s">
        <v>122</v>
      </c>
    </row>
    <row r="251" spans="1:8">
      <c r="A251" s="10" t="s">
        <v>123</v>
      </c>
      <c r="B251" s="1">
        <f>0.006*((G5+100)^(-0.16))-0.00205+(0.003*((G5/7.5)^0.5)*(G18^4)*B180*(0.04-B246))</f>
        <v>4.4231598336030766E-4</v>
      </c>
    </row>
    <row r="253" spans="1:8">
      <c r="A253" s="1" t="s">
        <v>124</v>
      </c>
    </row>
    <row r="256" spans="1:8">
      <c r="A256" s="740" t="s">
        <v>44</v>
      </c>
      <c r="B256" s="727" t="s">
        <v>10</v>
      </c>
      <c r="C256" s="729"/>
      <c r="D256" s="818" t="s">
        <v>125</v>
      </c>
    </row>
    <row r="257" spans="1:8">
      <c r="A257" s="817"/>
      <c r="B257" s="19" t="s">
        <v>11</v>
      </c>
      <c r="C257" s="19" t="s">
        <v>45</v>
      </c>
      <c r="D257" s="819"/>
    </row>
    <row r="258" spans="1:8">
      <c r="A258" s="19" t="s">
        <v>46</v>
      </c>
      <c r="B258" s="19">
        <f>$G$9+1</f>
        <v>17</v>
      </c>
      <c r="C258" s="19">
        <f>B258*0.514</f>
        <v>8.7379999999999995</v>
      </c>
      <c r="D258" s="4">
        <f t="shared" ref="D258:D264" si="12">0.5*1.025*(C258^2)*$B$124*$B$251</f>
        <v>79.289241214534385</v>
      </c>
    </row>
    <row r="259" spans="1:8">
      <c r="A259" s="19" t="s">
        <v>10</v>
      </c>
      <c r="B259" s="19">
        <f>$G$9-0</f>
        <v>16</v>
      </c>
      <c r="C259" s="19">
        <f t="shared" ref="C259:C264" si="13">B259*0.514</f>
        <v>8.2240000000000002</v>
      </c>
      <c r="D259" s="4">
        <f t="shared" si="12"/>
        <v>70.235452425331488</v>
      </c>
    </row>
    <row r="260" spans="1:8">
      <c r="A260" s="19" t="s">
        <v>47</v>
      </c>
      <c r="B260" s="19">
        <f>$G$9-1</f>
        <v>15</v>
      </c>
      <c r="C260" s="19">
        <f t="shared" si="13"/>
        <v>7.71</v>
      </c>
      <c r="D260" s="4">
        <f t="shared" si="12"/>
        <v>61.730378108201506</v>
      </c>
    </row>
    <row r="261" spans="1:8">
      <c r="A261" s="19" t="s">
        <v>48</v>
      </c>
      <c r="B261" s="19">
        <f>$G$9-2</f>
        <v>14</v>
      </c>
      <c r="C261" s="19">
        <f t="shared" si="13"/>
        <v>7.1959999999999997</v>
      </c>
      <c r="D261" s="4">
        <f t="shared" si="12"/>
        <v>53.77401826314442</v>
      </c>
    </row>
    <row r="262" spans="1:8">
      <c r="A262" s="19" t="s">
        <v>49</v>
      </c>
      <c r="B262" s="19">
        <f>$G$9-3</f>
        <v>13</v>
      </c>
      <c r="C262" s="19">
        <f t="shared" si="13"/>
        <v>6.6820000000000004</v>
      </c>
      <c r="D262" s="4">
        <f t="shared" si="12"/>
        <v>46.366372890160243</v>
      </c>
    </row>
    <row r="263" spans="1:8">
      <c r="A263" s="19" t="s">
        <v>50</v>
      </c>
      <c r="B263" s="19">
        <f>$G$9-4</f>
        <v>12</v>
      </c>
      <c r="C263" s="19">
        <f t="shared" si="13"/>
        <v>6.1680000000000001</v>
      </c>
      <c r="D263" s="4">
        <f t="shared" si="12"/>
        <v>39.507441989248967</v>
      </c>
    </row>
    <row r="264" spans="1:8">
      <c r="A264" s="19" t="s">
        <v>51</v>
      </c>
      <c r="B264" s="19">
        <f>$G$9-5</f>
        <v>11</v>
      </c>
      <c r="C264" s="19">
        <f t="shared" si="13"/>
        <v>5.6539999999999999</v>
      </c>
      <c r="D264" s="4">
        <f t="shared" si="12"/>
        <v>33.197225560410587</v>
      </c>
    </row>
    <row r="266" spans="1:8">
      <c r="A266" s="822" t="s">
        <v>126</v>
      </c>
      <c r="B266" s="822"/>
      <c r="C266" s="822"/>
      <c r="D266" s="822"/>
      <c r="E266" s="822"/>
      <c r="F266" s="822"/>
      <c r="G266" s="822"/>
      <c r="H266" s="822"/>
    </row>
    <row r="269" spans="1:8">
      <c r="A269" s="25"/>
    </row>
    <row r="270" spans="1:8">
      <c r="E270" s="25"/>
    </row>
    <row r="271" spans="1:8">
      <c r="A271" s="740" t="s">
        <v>44</v>
      </c>
      <c r="B271" s="687" t="s">
        <v>10</v>
      </c>
      <c r="C271" s="688"/>
      <c r="D271" s="740" t="s">
        <v>80</v>
      </c>
      <c r="E271" s="740" t="s">
        <v>127</v>
      </c>
    </row>
    <row r="272" spans="1:8">
      <c r="A272" s="817"/>
      <c r="B272" s="19" t="s">
        <v>11</v>
      </c>
      <c r="C272" s="19" t="s">
        <v>45</v>
      </c>
      <c r="D272" s="817"/>
      <c r="E272" s="817"/>
    </row>
    <row r="273" spans="1:14">
      <c r="A273" s="19" t="s">
        <v>46</v>
      </c>
      <c r="B273" s="19">
        <f>$G$9+1</f>
        <v>17</v>
      </c>
      <c r="C273" s="19">
        <f>B273*0.514</f>
        <v>8.7379999999999995</v>
      </c>
      <c r="D273" s="19">
        <f t="shared" ref="D273:D279" si="14">0.075/(LOG10(D81)-2)^2</f>
        <v>1.4694003402913943E-3</v>
      </c>
      <c r="E273" s="19">
        <f>1/2*1.025*D273*$B$124*(C273^2)</f>
        <v>263.40363542137004</v>
      </c>
    </row>
    <row r="274" spans="1:14">
      <c r="A274" s="19" t="s">
        <v>10</v>
      </c>
      <c r="B274" s="19">
        <f>$G$9-0</f>
        <v>16</v>
      </c>
      <c r="C274" s="19">
        <f t="shared" ref="C274:C279" si="15">B274*0.514</f>
        <v>8.2240000000000002</v>
      </c>
      <c r="D274" s="19">
        <f t="shared" si="14"/>
        <v>1.4802908662457982E-3</v>
      </c>
      <c r="E274" s="19">
        <f t="shared" ref="E274:E279" si="16">1/2*1.025*D274*$B$124*C274^2</f>
        <v>235.05571271017604</v>
      </c>
    </row>
    <row r="275" spans="1:14">
      <c r="A275" s="19" t="s">
        <v>47</v>
      </c>
      <c r="B275" s="19">
        <f>$G$9-1</f>
        <v>15</v>
      </c>
      <c r="C275" s="19">
        <f t="shared" si="15"/>
        <v>7.71</v>
      </c>
      <c r="D275" s="19">
        <f t="shared" si="14"/>
        <v>1.4920180677147508E-3</v>
      </c>
      <c r="E275" s="19">
        <f t="shared" si="16"/>
        <v>208.22860337215849</v>
      </c>
    </row>
    <row r="276" spans="1:14">
      <c r="A276" s="19" t="s">
        <v>48</v>
      </c>
      <c r="B276" s="19">
        <f>$G$9-2</f>
        <v>14</v>
      </c>
      <c r="C276" s="19">
        <f t="shared" si="15"/>
        <v>7.1959999999999997</v>
      </c>
      <c r="D276" s="19">
        <f t="shared" si="14"/>
        <v>1.5047094497573712E-3</v>
      </c>
      <c r="E276" s="19">
        <f t="shared" si="16"/>
        <v>182.933189113509</v>
      </c>
    </row>
    <row r="277" spans="1:14">
      <c r="A277" s="19" t="s">
        <v>49</v>
      </c>
      <c r="B277" s="19">
        <f>$G$9-3</f>
        <v>13</v>
      </c>
      <c r="C277" s="19">
        <f t="shared" si="15"/>
        <v>6.6820000000000004</v>
      </c>
      <c r="D277" s="19">
        <f t="shared" si="14"/>
        <v>1.5185229981948237E-3</v>
      </c>
      <c r="E277" s="19">
        <f t="shared" si="16"/>
        <v>159.18123293146093</v>
      </c>
    </row>
    <row r="278" spans="1:14">
      <c r="A278" s="19" t="s">
        <v>50</v>
      </c>
      <c r="B278" s="19">
        <f>$G$9-4</f>
        <v>12</v>
      </c>
      <c r="C278" s="19">
        <f t="shared" si="15"/>
        <v>6.1680000000000001</v>
      </c>
      <c r="D278" s="19">
        <f t="shared" si="14"/>
        <v>1.5336575340351055E-3</v>
      </c>
      <c r="E278" s="19">
        <f t="shared" si="16"/>
        <v>136.98552242438322</v>
      </c>
    </row>
    <row r="279" spans="1:14">
      <c r="A279" s="19" t="s">
        <v>51</v>
      </c>
      <c r="B279" s="19">
        <f>$G$9-5</f>
        <v>11</v>
      </c>
      <c r="C279" s="19">
        <f t="shared" si="15"/>
        <v>5.6539999999999999</v>
      </c>
      <c r="D279" s="19">
        <f t="shared" si="14"/>
        <v>1.5503678115420048E-3</v>
      </c>
      <c r="E279" s="19">
        <f t="shared" si="16"/>
        <v>116.36005000396888</v>
      </c>
    </row>
    <row r="281" spans="1:14">
      <c r="A281" s="822" t="s">
        <v>128</v>
      </c>
      <c r="B281" s="822"/>
      <c r="C281" s="822"/>
      <c r="D281" s="822"/>
      <c r="E281" s="822"/>
      <c r="F281" s="822"/>
      <c r="G281" s="822"/>
      <c r="H281" s="822"/>
    </row>
    <row r="284" spans="1:14">
      <c r="I284" s="2"/>
      <c r="N284" s="1"/>
    </row>
    <row r="285" spans="1:14">
      <c r="A285" s="740" t="s">
        <v>44</v>
      </c>
      <c r="B285" s="687" t="s">
        <v>10</v>
      </c>
      <c r="C285" s="688"/>
      <c r="D285" s="727" t="s">
        <v>129</v>
      </c>
      <c r="E285" s="729"/>
      <c r="I285" s="2"/>
      <c r="N285" s="1"/>
    </row>
    <row r="286" spans="1:14">
      <c r="A286" s="817"/>
      <c r="B286" s="19" t="s">
        <v>11</v>
      </c>
      <c r="C286" s="19" t="s">
        <v>45</v>
      </c>
      <c r="D286" s="19" t="s">
        <v>130</v>
      </c>
      <c r="E286" s="19" t="s">
        <v>131</v>
      </c>
      <c r="I286" s="2"/>
      <c r="N286" s="1"/>
    </row>
    <row r="287" spans="1:14">
      <c r="A287" s="19" t="s">
        <v>46</v>
      </c>
      <c r="B287" s="19">
        <f>$G$9+1</f>
        <v>17</v>
      </c>
      <c r="C287" s="19">
        <f>B287*0.514</f>
        <v>8.7379999999999995</v>
      </c>
      <c r="D287" s="19">
        <f t="shared" ref="D287:D293" si="17">(E273*$B$113)+E141+D225+D258</f>
        <v>570.49487571241048</v>
      </c>
      <c r="E287" s="19">
        <f>(1+20%)*D287</f>
        <v>684.59385085489259</v>
      </c>
      <c r="I287" s="2"/>
      <c r="N287" s="1"/>
    </row>
    <row r="288" spans="1:14">
      <c r="A288" s="38" t="s">
        <v>10</v>
      </c>
      <c r="B288" s="38">
        <f>$G$9-0</f>
        <v>16</v>
      </c>
      <c r="C288" s="38">
        <f t="shared" ref="C288:C293" si="18">B288*0.514</f>
        <v>8.2240000000000002</v>
      </c>
      <c r="D288" s="38">
        <f t="shared" si="17"/>
        <v>458.0149363900116</v>
      </c>
      <c r="E288" s="38">
        <f t="shared" ref="E288:E293" si="19">(1+20%)*D288</f>
        <v>549.61792366801387</v>
      </c>
      <c r="I288" s="2"/>
      <c r="N288" s="1"/>
    </row>
    <row r="289" spans="1:14">
      <c r="A289" s="19" t="s">
        <v>47</v>
      </c>
      <c r="B289" s="19">
        <f>$G$9-1</f>
        <v>15</v>
      </c>
      <c r="C289" s="19">
        <f t="shared" si="18"/>
        <v>7.71</v>
      </c>
      <c r="D289" s="19">
        <f t="shared" si="17"/>
        <v>368.7990733213569</v>
      </c>
      <c r="E289" s="19">
        <f t="shared" si="19"/>
        <v>442.55888798562825</v>
      </c>
      <c r="I289" s="2"/>
      <c r="N289" s="1"/>
    </row>
    <row r="290" spans="1:14">
      <c r="A290" s="19" t="s">
        <v>48</v>
      </c>
      <c r="B290" s="19">
        <f>$G$9-2</f>
        <v>14</v>
      </c>
      <c r="C290" s="19">
        <f t="shared" si="18"/>
        <v>7.1959999999999997</v>
      </c>
      <c r="D290" s="19">
        <f t="shared" si="17"/>
        <v>309.9312600594011</v>
      </c>
      <c r="E290" s="19">
        <f t="shared" si="19"/>
        <v>371.91751207128129</v>
      </c>
      <c r="I290" s="2"/>
      <c r="N290" s="1"/>
    </row>
    <row r="291" spans="1:14">
      <c r="A291" s="19" t="s">
        <v>49</v>
      </c>
      <c r="B291" s="19">
        <f>$G$9-3</f>
        <v>13</v>
      </c>
      <c r="C291" s="19">
        <f t="shared" si="18"/>
        <v>6.6820000000000004</v>
      </c>
      <c r="D291" s="19">
        <f t="shared" si="17"/>
        <v>255.28349575142212</v>
      </c>
      <c r="E291" s="19">
        <f t="shared" si="19"/>
        <v>306.34019490170652</v>
      </c>
      <c r="I291" s="2"/>
      <c r="N291" s="1"/>
    </row>
    <row r="292" spans="1:14">
      <c r="A292" s="19" t="s">
        <v>50</v>
      </c>
      <c r="B292" s="19">
        <f>$G$9-4</f>
        <v>12</v>
      </c>
      <c r="C292" s="19">
        <f t="shared" si="18"/>
        <v>6.1680000000000001</v>
      </c>
      <c r="D292" s="19">
        <f t="shared" si="17"/>
        <v>212.97155367532642</v>
      </c>
      <c r="E292" s="19">
        <f t="shared" si="19"/>
        <v>255.5658644103917</v>
      </c>
      <c r="I292" s="2"/>
      <c r="N292" s="1"/>
    </row>
    <row r="293" spans="1:14">
      <c r="A293" s="19" t="s">
        <v>51</v>
      </c>
      <c r="B293" s="19">
        <f>$G$9-5</f>
        <v>11</v>
      </c>
      <c r="C293" s="19">
        <f t="shared" si="18"/>
        <v>5.6539999999999999</v>
      </c>
      <c r="D293" s="19">
        <f t="shared" si="17"/>
        <v>177.11221727760613</v>
      </c>
      <c r="E293" s="19">
        <f t="shared" si="19"/>
        <v>212.53466073312737</v>
      </c>
      <c r="I293" s="2"/>
      <c r="N293" s="1"/>
    </row>
    <row r="294" spans="1:14">
      <c r="I294" s="2"/>
      <c r="N294" s="1"/>
    </row>
    <row r="295" spans="1:14">
      <c r="I295" s="2"/>
      <c r="N295" s="1"/>
    </row>
    <row r="296" spans="1:14">
      <c r="A296" s="662" t="s">
        <v>556</v>
      </c>
      <c r="B296" s="662"/>
      <c r="C296" s="662"/>
      <c r="D296" s="662"/>
      <c r="E296" s="662"/>
      <c r="F296" s="662"/>
      <c r="G296" s="662"/>
      <c r="H296" s="662"/>
      <c r="I296" s="2"/>
      <c r="N296" s="1"/>
    </row>
    <row r="297" spans="1:14">
      <c r="I297" s="2"/>
      <c r="N297" s="1"/>
    </row>
    <row r="298" spans="1:14">
      <c r="A298" s="38" t="s">
        <v>217</v>
      </c>
      <c r="B298" s="38" t="s">
        <v>231</v>
      </c>
      <c r="C298" s="38" t="s">
        <v>232</v>
      </c>
      <c r="D298" s="38" t="s">
        <v>233</v>
      </c>
      <c r="E298" s="38" t="s">
        <v>234</v>
      </c>
      <c r="I298" s="2"/>
      <c r="N298" s="1"/>
    </row>
    <row r="299" spans="1:14">
      <c r="A299" s="19">
        <v>8</v>
      </c>
      <c r="B299" s="19">
        <v>0.109</v>
      </c>
      <c r="C299" s="19">
        <v>0.246</v>
      </c>
      <c r="D299" s="19">
        <v>106.3</v>
      </c>
      <c r="E299" s="19">
        <f>120%*D299</f>
        <v>127.55999999999999</v>
      </c>
      <c r="I299" s="2"/>
      <c r="N299" s="1"/>
    </row>
    <row r="300" spans="1:14">
      <c r="A300" s="19">
        <v>10.1</v>
      </c>
      <c r="B300" s="19">
        <v>0.13800000000000001</v>
      </c>
      <c r="C300" s="19">
        <v>0.31</v>
      </c>
      <c r="D300" s="19">
        <v>167.5</v>
      </c>
      <c r="E300" s="19">
        <f t="shared" ref="E300:E311" si="20">120%*D300</f>
        <v>201</v>
      </c>
    </row>
    <row r="301" spans="1:14">
      <c r="A301" s="19">
        <v>10.25</v>
      </c>
      <c r="B301" s="19">
        <v>0.14000000000000001</v>
      </c>
      <c r="C301" s="19">
        <v>0.315</v>
      </c>
      <c r="D301" s="19">
        <v>172.6</v>
      </c>
      <c r="E301" s="19">
        <f t="shared" si="20"/>
        <v>207.11999999999998</v>
      </c>
    </row>
    <row r="302" spans="1:14">
      <c r="A302" s="19">
        <v>10.4</v>
      </c>
      <c r="B302" s="19">
        <v>0.14199999999999999</v>
      </c>
      <c r="C302" s="19">
        <v>0.32</v>
      </c>
      <c r="D302" s="19">
        <v>177.8</v>
      </c>
      <c r="E302" s="19">
        <f t="shared" si="20"/>
        <v>213.36</v>
      </c>
    </row>
    <row r="303" spans="1:14">
      <c r="A303" s="19">
        <v>10.55</v>
      </c>
      <c r="B303" s="19">
        <v>0.14399999999999999</v>
      </c>
      <c r="C303" s="19">
        <v>0.32400000000000001</v>
      </c>
      <c r="D303" s="19">
        <v>183.2</v>
      </c>
      <c r="E303" s="19">
        <f t="shared" si="20"/>
        <v>219.83999999999997</v>
      </c>
    </row>
    <row r="304" spans="1:14">
      <c r="A304" s="19">
        <v>10.7</v>
      </c>
      <c r="B304" s="19">
        <v>0.14599999999999999</v>
      </c>
      <c r="C304" s="19">
        <v>0.32900000000000001</v>
      </c>
      <c r="D304" s="19">
        <v>188.7</v>
      </c>
      <c r="E304" s="19">
        <f t="shared" si="20"/>
        <v>226.43999999999997</v>
      </c>
    </row>
    <row r="305" spans="1:8">
      <c r="A305" s="19">
        <v>10.85</v>
      </c>
      <c r="B305" s="19">
        <v>0.14799999999999999</v>
      </c>
      <c r="C305" s="19">
        <v>0.33400000000000002</v>
      </c>
      <c r="D305" s="19">
        <v>194.4</v>
      </c>
      <c r="E305" s="19">
        <f t="shared" si="20"/>
        <v>233.28</v>
      </c>
    </row>
    <row r="306" spans="1:8">
      <c r="A306" s="19">
        <v>11</v>
      </c>
      <c r="B306" s="19">
        <v>0.15</v>
      </c>
      <c r="C306" s="19">
        <v>0.33800000000000002</v>
      </c>
      <c r="D306" s="19">
        <v>200.2</v>
      </c>
      <c r="E306" s="19">
        <f t="shared" si="20"/>
        <v>240.23999999999998</v>
      </c>
    </row>
    <row r="307" spans="1:8">
      <c r="A307" s="19">
        <v>11.9</v>
      </c>
      <c r="B307" s="19">
        <v>0.16300000000000001</v>
      </c>
      <c r="C307" s="19">
        <v>0.36599999999999999</v>
      </c>
      <c r="D307" s="19">
        <v>238.7</v>
      </c>
      <c r="E307" s="19">
        <f t="shared" si="20"/>
        <v>286.44</v>
      </c>
    </row>
    <row r="308" spans="1:8">
      <c r="A308" s="77">
        <v>12.8</v>
      </c>
      <c r="B308" s="77">
        <v>0.17499999999999999</v>
      </c>
      <c r="C308" s="77">
        <v>0.39300000000000002</v>
      </c>
      <c r="D308" s="77">
        <v>285.2</v>
      </c>
      <c r="E308" s="19">
        <f t="shared" si="20"/>
        <v>342.23999999999995</v>
      </c>
    </row>
    <row r="309" spans="1:8">
      <c r="A309" s="19">
        <v>12.95</v>
      </c>
      <c r="B309" s="19">
        <v>0.17699999999999999</v>
      </c>
      <c r="C309" s="19">
        <v>0.39800000000000002</v>
      </c>
      <c r="D309" s="19">
        <v>293.89999999999998</v>
      </c>
      <c r="E309" s="19">
        <f t="shared" si="20"/>
        <v>352.67999999999995</v>
      </c>
    </row>
    <row r="310" spans="1:8">
      <c r="A310" s="38">
        <v>13</v>
      </c>
      <c r="B310" s="38">
        <v>0.17799999999999999</v>
      </c>
      <c r="C310" s="38">
        <v>0.4</v>
      </c>
      <c r="D310" s="38">
        <v>296.89999999999998</v>
      </c>
      <c r="E310" s="38">
        <f t="shared" si="20"/>
        <v>356.28</v>
      </c>
    </row>
    <row r="311" spans="1:8">
      <c r="A311" s="19">
        <v>14</v>
      </c>
      <c r="B311" s="19">
        <v>0.191</v>
      </c>
      <c r="C311" s="19">
        <v>0.43</v>
      </c>
      <c r="D311" s="19">
        <v>364.4</v>
      </c>
      <c r="E311" s="19">
        <f t="shared" si="20"/>
        <v>437.28</v>
      </c>
    </row>
    <row r="314" spans="1:8">
      <c r="A314" s="805" t="s">
        <v>559</v>
      </c>
      <c r="B314" s="805"/>
      <c r="C314" s="805"/>
      <c r="D314" s="805"/>
      <c r="E314" s="805"/>
      <c r="F314" s="805"/>
      <c r="G314" s="805"/>
      <c r="H314" s="805"/>
    </row>
    <row r="317" spans="1:8">
      <c r="A317" s="1" t="s">
        <v>238</v>
      </c>
    </row>
    <row r="318" spans="1:8">
      <c r="A318" s="1" t="s">
        <v>242</v>
      </c>
    </row>
    <row r="319" spans="1:8">
      <c r="A319" s="1" t="s">
        <v>245</v>
      </c>
      <c r="B319" s="1">
        <v>356.28</v>
      </c>
      <c r="C319" s="1" t="s">
        <v>246</v>
      </c>
      <c r="D319" s="1" t="s">
        <v>237</v>
      </c>
    </row>
    <row r="320" spans="1:8">
      <c r="A320" s="1" t="s">
        <v>248</v>
      </c>
      <c r="B320" s="1">
        <v>13</v>
      </c>
      <c r="C320" s="1" t="s">
        <v>11</v>
      </c>
    </row>
    <row r="321" spans="1:6">
      <c r="B321" s="1">
        <v>6.6877777777777787</v>
      </c>
      <c r="C321" s="1" t="s">
        <v>45</v>
      </c>
    </row>
    <row r="323" spans="1:6">
      <c r="B323" s="1" t="s">
        <v>256</v>
      </c>
      <c r="C323" s="1" t="s">
        <v>257</v>
      </c>
    </row>
    <row r="324" spans="1:6">
      <c r="B324" s="1" t="s">
        <v>256</v>
      </c>
      <c r="C324" s="1">
        <v>2382.7214666666669</v>
      </c>
      <c r="D324" s="1" t="s">
        <v>258</v>
      </c>
    </row>
    <row r="325" spans="1:6">
      <c r="B325" s="1" t="s">
        <v>256</v>
      </c>
      <c r="C325" s="1">
        <v>3193.9904716373335</v>
      </c>
      <c r="D325" s="1" t="s">
        <v>252</v>
      </c>
    </row>
    <row r="327" spans="1:6">
      <c r="A327" s="1" t="s">
        <v>259</v>
      </c>
    </row>
    <row r="331" spans="1:6">
      <c r="B331" s="1" t="s">
        <v>261</v>
      </c>
      <c r="C331" s="1" t="s">
        <v>262</v>
      </c>
      <c r="F331" s="1" t="s">
        <v>263</v>
      </c>
    </row>
    <row r="332" spans="1:6">
      <c r="F332" s="1" t="s">
        <v>264</v>
      </c>
    </row>
    <row r="333" spans="1:6">
      <c r="A333" s="1" t="s">
        <v>265</v>
      </c>
    </row>
    <row r="334" spans="1:6">
      <c r="B334" s="1" t="s">
        <v>266</v>
      </c>
      <c r="C334" s="1" t="s">
        <v>267</v>
      </c>
      <c r="E334" s="1" t="s">
        <v>268</v>
      </c>
      <c r="F334" s="1" t="s">
        <v>269</v>
      </c>
    </row>
    <row r="335" spans="1:6">
      <c r="E335" s="1" t="s">
        <v>270</v>
      </c>
      <c r="F335" s="1" t="s">
        <v>271</v>
      </c>
    </row>
    <row r="336" spans="1:6">
      <c r="A336" s="1" t="s">
        <v>272</v>
      </c>
      <c r="B336" s="1" t="s">
        <v>273</v>
      </c>
    </row>
    <row r="338" spans="1:8">
      <c r="B338" s="1" t="s">
        <v>275</v>
      </c>
    </row>
    <row r="340" spans="1:8">
      <c r="F340" s="1" t="s">
        <v>12</v>
      </c>
      <c r="G340" s="1" t="s">
        <v>276</v>
      </c>
    </row>
    <row r="341" spans="1:8">
      <c r="F341" s="1">
        <v>0.75</v>
      </c>
      <c r="G341" s="1">
        <v>0.314</v>
      </c>
    </row>
    <row r="342" spans="1:8">
      <c r="F342" s="1">
        <v>0.77590000000000003</v>
      </c>
      <c r="G342" s="1" t="s">
        <v>277</v>
      </c>
    </row>
    <row r="343" spans="1:8">
      <c r="F343" s="1">
        <v>0.8</v>
      </c>
      <c r="G343" s="1">
        <v>0.35399999999999998</v>
      </c>
    </row>
    <row r="344" spans="1:8">
      <c r="F344" s="1" t="s">
        <v>278</v>
      </c>
      <c r="G344" s="1" t="s">
        <v>63</v>
      </c>
      <c r="H344" s="1" t="s">
        <v>279</v>
      </c>
    </row>
    <row r="345" spans="1:8">
      <c r="F345" s="1" t="s">
        <v>280</v>
      </c>
      <c r="H345" s="1" t="s">
        <v>281</v>
      </c>
    </row>
    <row r="346" spans="1:8">
      <c r="F346" s="1">
        <v>2.5900000000000034E-2</v>
      </c>
      <c r="G346" s="1" t="s">
        <v>63</v>
      </c>
      <c r="H346" s="1" t="s">
        <v>279</v>
      </c>
    </row>
    <row r="347" spans="1:8">
      <c r="F347" s="1">
        <v>5.0000000000000044E-2</v>
      </c>
      <c r="G347" s="1" t="s">
        <v>63</v>
      </c>
      <c r="H347" s="1">
        <v>3.999999999999998E-2</v>
      </c>
    </row>
    <row r="348" spans="1:8">
      <c r="B348" s="1" t="s">
        <v>282</v>
      </c>
      <c r="G348" s="1" t="s">
        <v>283</v>
      </c>
      <c r="H348" s="1">
        <v>0.77590000000000003</v>
      </c>
    </row>
    <row r="349" spans="1:8">
      <c r="G349" s="1" t="s">
        <v>270</v>
      </c>
      <c r="H349" s="1">
        <v>0.33472000000000002</v>
      </c>
    </row>
    <row r="351" spans="1:8">
      <c r="A351" s="1" t="s">
        <v>284</v>
      </c>
      <c r="B351" s="1" t="s">
        <v>285</v>
      </c>
    </row>
    <row r="352" spans="1:8">
      <c r="B352" s="1" t="s">
        <v>286</v>
      </c>
    </row>
    <row r="353" spans="1:8">
      <c r="E353" s="1" t="s">
        <v>287</v>
      </c>
    </row>
    <row r="354" spans="1:8">
      <c r="B354" s="1" t="s">
        <v>268</v>
      </c>
      <c r="C354" s="1" t="s">
        <v>288</v>
      </c>
      <c r="E354" s="1" t="s">
        <v>290</v>
      </c>
      <c r="H354" s="1" t="s">
        <v>557</v>
      </c>
    </row>
    <row r="355" spans="1:8">
      <c r="B355" s="1" t="s">
        <v>63</v>
      </c>
      <c r="C355" s="1">
        <v>0.23430399999999998</v>
      </c>
      <c r="E355" s="1" t="s">
        <v>282</v>
      </c>
    </row>
    <row r="357" spans="1:8">
      <c r="B357" s="1" t="s">
        <v>293</v>
      </c>
      <c r="C357" s="1" t="s">
        <v>267</v>
      </c>
    </row>
    <row r="358" spans="1:8">
      <c r="B358" s="1" t="s">
        <v>63</v>
      </c>
      <c r="C358" s="1">
        <v>1.1509379509379509</v>
      </c>
    </row>
    <row r="360" spans="1:8">
      <c r="A360" s="1" t="s">
        <v>294</v>
      </c>
    </row>
    <row r="362" spans="1:8">
      <c r="A362" s="1" t="s">
        <v>296</v>
      </c>
      <c r="B362" s="1">
        <v>1.05</v>
      </c>
    </row>
    <row r="364" spans="1:8">
      <c r="A364" s="1" t="s">
        <v>297</v>
      </c>
    </row>
    <row r="365" spans="1:8">
      <c r="A365" s="1" t="s">
        <v>558</v>
      </c>
    </row>
    <row r="367" spans="1:8">
      <c r="A367" s="1" t="s">
        <v>299</v>
      </c>
      <c r="B367" s="1">
        <v>0.5</v>
      </c>
    </row>
    <row r="369" spans="1:5">
      <c r="A369" s="1" t="s">
        <v>300</v>
      </c>
    </row>
    <row r="370" spans="1:5">
      <c r="A370" s="1" t="s">
        <v>301</v>
      </c>
      <c r="B370" s="1" t="s">
        <v>302</v>
      </c>
    </row>
    <row r="371" spans="1:5">
      <c r="A371" s="1" t="s">
        <v>63</v>
      </c>
      <c r="B371" s="1">
        <v>0.60424242424242425</v>
      </c>
    </row>
    <row r="373" spans="1:5">
      <c r="A373" s="1" t="s">
        <v>303</v>
      </c>
    </row>
    <row r="375" spans="1:5">
      <c r="A375" s="1" t="s">
        <v>261</v>
      </c>
      <c r="B375" s="1" t="s">
        <v>262</v>
      </c>
    </row>
    <row r="376" spans="1:5">
      <c r="A376" s="1" t="s">
        <v>63</v>
      </c>
      <c r="B376" s="1">
        <v>3943.3203811434305</v>
      </c>
      <c r="C376" s="1" t="s">
        <v>258</v>
      </c>
    </row>
    <row r="377" spans="1:5">
      <c r="A377" s="1" t="s">
        <v>63</v>
      </c>
      <c r="B377" s="1">
        <v>5285.9421045151457</v>
      </c>
      <c r="C377" s="1" t="s">
        <v>252</v>
      </c>
    </row>
    <row r="379" spans="1:5">
      <c r="A379" s="1" t="s">
        <v>305</v>
      </c>
    </row>
    <row r="381" spans="1:5">
      <c r="A381" s="1" t="s">
        <v>307</v>
      </c>
      <c r="B381" s="1" t="s">
        <v>308</v>
      </c>
      <c r="C381" s="1" t="s">
        <v>309</v>
      </c>
      <c r="D381" s="1" t="s">
        <v>310</v>
      </c>
      <c r="E381" s="1" t="s">
        <v>311</v>
      </c>
    </row>
    <row r="382" spans="1:5">
      <c r="D382" s="1" t="s">
        <v>312</v>
      </c>
      <c r="E382" s="1" t="s">
        <v>313</v>
      </c>
    </row>
    <row r="384" spans="1:5">
      <c r="A384" s="1" t="s">
        <v>315</v>
      </c>
      <c r="C384" s="1">
        <v>0.98</v>
      </c>
      <c r="D384" s="1" t="s">
        <v>316</v>
      </c>
    </row>
    <row r="385" spans="1:3">
      <c r="A385" s="1" t="s">
        <v>307</v>
      </c>
      <c r="B385" s="1">
        <v>4023.7963072892148</v>
      </c>
      <c r="C385" s="1" t="s">
        <v>250</v>
      </c>
    </row>
    <row r="386" spans="1:3">
      <c r="A386" s="1" t="s">
        <v>63</v>
      </c>
      <c r="B386" s="1">
        <v>5393.8184739950466</v>
      </c>
      <c r="C386" s="1" t="s">
        <v>252</v>
      </c>
    </row>
    <row r="388" spans="1:3">
      <c r="A388" s="1" t="s">
        <v>317</v>
      </c>
    </row>
    <row r="389" spans="1:3">
      <c r="A389" s="1" t="s">
        <v>318</v>
      </c>
    </row>
    <row r="391" spans="1:3">
      <c r="A391" s="1" t="s">
        <v>320</v>
      </c>
      <c r="B391" s="1" t="s">
        <v>321</v>
      </c>
    </row>
    <row r="392" spans="1:3">
      <c r="A392" s="1" t="s">
        <v>322</v>
      </c>
    </row>
    <row r="394" spans="1:3">
      <c r="A394" s="1" t="s">
        <v>320</v>
      </c>
      <c r="B394" s="1">
        <v>4105.914599274709</v>
      </c>
      <c r="C394" s="1" t="s">
        <v>250</v>
      </c>
    </row>
    <row r="395" spans="1:3">
      <c r="A395" s="1" t="s">
        <v>63</v>
      </c>
      <c r="B395" s="1">
        <v>5393.8184739950466</v>
      </c>
      <c r="C395" s="1" t="s">
        <v>252</v>
      </c>
    </row>
    <row r="397" spans="1:3">
      <c r="A397" s="1" t="s">
        <v>324</v>
      </c>
    </row>
    <row r="398" spans="1:3">
      <c r="C398" s="1" t="s">
        <v>327</v>
      </c>
    </row>
    <row r="399" spans="1:3">
      <c r="B399" s="1" t="s">
        <v>328</v>
      </c>
      <c r="C399" s="1">
        <v>1</v>
      </c>
    </row>
    <row r="400" spans="1:3">
      <c r="A400" s="1" t="s">
        <v>329</v>
      </c>
      <c r="B400" s="1" t="s">
        <v>330</v>
      </c>
    </row>
    <row r="401" spans="1:8">
      <c r="A401" s="1" t="s">
        <v>63</v>
      </c>
      <c r="B401" s="1">
        <v>4105.914599274709</v>
      </c>
      <c r="C401" s="1" t="s">
        <v>258</v>
      </c>
    </row>
    <row r="402" spans="1:8">
      <c r="A402" s="1" t="s">
        <v>63</v>
      </c>
      <c r="B402" s="1">
        <v>5393.8184739950466</v>
      </c>
      <c r="C402" s="1" t="s">
        <v>252</v>
      </c>
    </row>
    <row r="405" spans="1:8">
      <c r="A405" s="823" t="s">
        <v>560</v>
      </c>
      <c r="B405" s="823"/>
      <c r="C405" s="823"/>
      <c r="D405" s="823"/>
      <c r="E405" s="823"/>
      <c r="F405" s="823"/>
      <c r="G405" s="823"/>
      <c r="H405" s="823"/>
    </row>
    <row r="407" spans="1:8">
      <c r="A407" s="824" t="s">
        <v>561</v>
      </c>
      <c r="B407" s="824"/>
      <c r="C407" s="824"/>
      <c r="D407" s="824"/>
      <c r="E407" s="824"/>
      <c r="F407" s="824"/>
      <c r="G407" s="824"/>
      <c r="H407" s="824"/>
    </row>
    <row r="408" spans="1:8">
      <c r="A408" s="824"/>
      <c r="B408" s="824"/>
      <c r="C408" s="824"/>
      <c r="D408" s="824"/>
      <c r="E408" s="824"/>
      <c r="F408" s="824"/>
      <c r="G408" s="824"/>
      <c r="H408" s="824"/>
    </row>
    <row r="409" spans="1:8">
      <c r="A409" s="824"/>
      <c r="B409" s="824"/>
      <c r="C409" s="824"/>
      <c r="D409" s="824"/>
      <c r="E409" s="824"/>
      <c r="F409" s="824"/>
      <c r="G409" s="824"/>
      <c r="H409" s="824"/>
    </row>
    <row r="410" spans="1:8">
      <c r="A410" s="824"/>
      <c r="B410" s="824"/>
      <c r="C410" s="824"/>
      <c r="D410" s="824"/>
      <c r="E410" s="824"/>
      <c r="F410" s="824"/>
      <c r="G410" s="824"/>
      <c r="H410" s="824"/>
    </row>
    <row r="411" spans="1:8">
      <c r="A411" s="824"/>
      <c r="B411" s="824"/>
      <c r="C411" s="824"/>
      <c r="D411" s="824"/>
      <c r="E411" s="824"/>
      <c r="F411" s="824"/>
      <c r="G411" s="824"/>
      <c r="H411" s="824"/>
    </row>
    <row r="412" spans="1:8">
      <c r="A412" s="824"/>
      <c r="B412" s="824"/>
      <c r="C412" s="824"/>
      <c r="D412" s="824"/>
      <c r="E412" s="824"/>
      <c r="F412" s="824"/>
      <c r="G412" s="824"/>
      <c r="H412" s="824"/>
    </row>
    <row r="414" spans="1:8">
      <c r="A414" s="1" t="s">
        <v>562</v>
      </c>
    </row>
    <row r="424" spans="1:1">
      <c r="A424" s="1" t="s">
        <v>563</v>
      </c>
    </row>
  </sheetData>
  <mergeCells count="74">
    <mergeCell ref="A314:H314"/>
    <mergeCell ref="A405:H405"/>
    <mergeCell ref="A407:H412"/>
    <mergeCell ref="A285:A286"/>
    <mergeCell ref="B285:C285"/>
    <mergeCell ref="D285:E285"/>
    <mergeCell ref="A296:H296"/>
    <mergeCell ref="A281:H281"/>
    <mergeCell ref="A233:H233"/>
    <mergeCell ref="A237:H237"/>
    <mergeCell ref="A241:H241"/>
    <mergeCell ref="A256:A257"/>
    <mergeCell ref="B256:C256"/>
    <mergeCell ref="D256:D257"/>
    <mergeCell ref="A266:H266"/>
    <mergeCell ref="A271:A272"/>
    <mergeCell ref="B271:C271"/>
    <mergeCell ref="D271:D272"/>
    <mergeCell ref="E271:E272"/>
    <mergeCell ref="A205:A206"/>
    <mergeCell ref="B205:C205"/>
    <mergeCell ref="D205:D206"/>
    <mergeCell ref="E205:E206"/>
    <mergeCell ref="A223:A224"/>
    <mergeCell ref="B223:C223"/>
    <mergeCell ref="D223:D224"/>
    <mergeCell ref="A149:H149"/>
    <mergeCell ref="A79:A80"/>
    <mergeCell ref="B79:C79"/>
    <mergeCell ref="D79:D80"/>
    <mergeCell ref="A91:H91"/>
    <mergeCell ref="A115:H115"/>
    <mergeCell ref="G122:H124"/>
    <mergeCell ref="A126:H126"/>
    <mergeCell ref="A139:A140"/>
    <mergeCell ref="B139:C139"/>
    <mergeCell ref="D139:D140"/>
    <mergeCell ref="E139:E140"/>
    <mergeCell ref="A61:D61"/>
    <mergeCell ref="B28:F28"/>
    <mergeCell ref="B29:F29"/>
    <mergeCell ref="A30:A31"/>
    <mergeCell ref="B30:F31"/>
    <mergeCell ref="B32:F32"/>
    <mergeCell ref="A33:H33"/>
    <mergeCell ref="A35:F35"/>
    <mergeCell ref="A36:F36"/>
    <mergeCell ref="A37:F37"/>
    <mergeCell ref="G30:G31"/>
    <mergeCell ref="H30:H31"/>
    <mergeCell ref="A24:A25"/>
    <mergeCell ref="B24:F25"/>
    <mergeCell ref="G24:G25"/>
    <mergeCell ref="H24:H25"/>
    <mergeCell ref="B26:F26"/>
    <mergeCell ref="B27:F27"/>
    <mergeCell ref="B18:F18"/>
    <mergeCell ref="B19:F19"/>
    <mergeCell ref="B20:F20"/>
    <mergeCell ref="B21:F21"/>
    <mergeCell ref="A22:A23"/>
    <mergeCell ref="B22:F23"/>
    <mergeCell ref="A13:F13"/>
    <mergeCell ref="A1:H1"/>
    <mergeCell ref="A3:F3"/>
    <mergeCell ref="A4:F4"/>
    <mergeCell ref="A5:F5"/>
    <mergeCell ref="A6:F6"/>
    <mergeCell ref="A7:F7"/>
    <mergeCell ref="A8:F8"/>
    <mergeCell ref="A9:F9"/>
    <mergeCell ref="A10:F10"/>
    <mergeCell ref="A11:F11"/>
    <mergeCell ref="A12:F12"/>
  </mergeCells>
  <pageMargins left="0.47718253968253971" right="0.5758928571428571" top="0.59002976190476186" bottom="0.75" header="0.3" footer="0.3"/>
  <pageSetup paperSize="13" scale="49" fitToHeight="0" orientation="portrait" r:id="rId1"/>
  <headerFooter>
    <oddHeader>&amp;LAttachment No. 1 : Ship Resistance and Engine Selection&amp;R(Doc. No. 01 – 421 18 40 021 - RE)
Rev. No. 0</oddHeader>
  </headerFooter>
  <drawing r:id="rId2"/>
  <legacyDrawing r:id="rId3"/>
  <oleObjects>
    <mc:AlternateContent xmlns:mc="http://schemas.openxmlformats.org/markup-compatibility/2006">
      <mc:Choice Requires="x14">
        <oleObject progId="Equation.3" shapeId="6145" r:id="rId4">
          <objectPr defaultSize="0" autoPict="0" r:id="rId5">
            <anchor moveWithCells="1" sizeWithCells="1">
              <from>
                <xdr:col>0</xdr:col>
                <xdr:colOff>1394460</xdr:colOff>
                <xdr:row>57</xdr:row>
                <xdr:rowOff>99060</xdr:rowOff>
              </from>
              <to>
                <xdr:col>1</xdr:col>
                <xdr:colOff>670560</xdr:colOff>
                <xdr:row>60</xdr:row>
                <xdr:rowOff>175260</xdr:rowOff>
              </to>
            </anchor>
          </objectPr>
        </oleObject>
      </mc:Choice>
      <mc:Fallback>
        <oleObject progId="Equation.3" shapeId="6145"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4709-5D19-4A05-AC53-400120329954}">
  <dimension ref="A1:X470"/>
  <sheetViews>
    <sheetView topLeftCell="A58" zoomScale="70" zoomScaleNormal="70" zoomScalePageLayoutView="106" workbookViewId="0">
      <selection activeCell="K120" sqref="K120"/>
    </sheetView>
  </sheetViews>
  <sheetFormatPr defaultColWidth="8.5546875" defaultRowHeight="14.4"/>
  <cols>
    <col min="1" max="2" width="3.88671875" style="502" customWidth="1"/>
    <col min="3" max="3" width="8" style="502" customWidth="1"/>
    <col min="4" max="4" width="3.88671875" style="502" customWidth="1"/>
    <col min="5" max="5" width="9" style="502" customWidth="1"/>
    <col min="6" max="6" width="3.88671875" style="502" customWidth="1"/>
    <col min="7" max="7" width="7.44140625" style="502" customWidth="1"/>
    <col min="8" max="8" width="3.88671875" style="502" customWidth="1"/>
    <col min="9" max="9" width="5.21875" style="502" customWidth="1"/>
    <col min="10" max="11" width="3.88671875" style="502" customWidth="1"/>
    <col min="12" max="12" width="6.6640625" style="502" customWidth="1"/>
    <col min="13" max="13" width="8.44140625" style="502" customWidth="1"/>
    <col min="14" max="16" width="3.88671875" style="502" customWidth="1"/>
    <col min="17" max="17" width="8.77734375" style="502" customWidth="1"/>
    <col min="18" max="20" width="3.88671875" style="502" customWidth="1"/>
    <col min="21" max="16384" width="8.5546875" style="502"/>
  </cols>
  <sheetData>
    <row r="1" spans="1:19">
      <c r="A1" s="829" t="s">
        <v>565</v>
      </c>
      <c r="B1" s="829"/>
      <c r="C1" s="829"/>
      <c r="D1" s="829"/>
      <c r="E1" s="829"/>
      <c r="F1" s="829"/>
      <c r="G1" s="829"/>
      <c r="H1" s="829"/>
      <c r="I1" s="829"/>
      <c r="J1" s="829"/>
      <c r="K1" s="829"/>
      <c r="L1" s="829"/>
      <c r="M1" s="829"/>
      <c r="N1" s="829"/>
      <c r="O1" s="829"/>
      <c r="P1" s="829"/>
      <c r="Q1" s="829"/>
      <c r="R1" s="829"/>
      <c r="S1" s="829"/>
    </row>
    <row r="2" spans="1:19" ht="21.9" customHeight="1">
      <c r="A2" s="829"/>
      <c r="B2" s="829"/>
      <c r="C2" s="829"/>
      <c r="D2" s="829"/>
      <c r="E2" s="829"/>
      <c r="F2" s="829"/>
      <c r="G2" s="829"/>
      <c r="H2" s="829"/>
      <c r="I2" s="829"/>
      <c r="J2" s="829"/>
      <c r="K2" s="829"/>
      <c r="L2" s="829"/>
      <c r="M2" s="829"/>
      <c r="N2" s="829"/>
      <c r="O2" s="829"/>
      <c r="P2" s="829"/>
      <c r="Q2" s="829"/>
      <c r="R2" s="829"/>
      <c r="S2" s="829"/>
    </row>
    <row r="3" spans="1:19">
      <c r="B3" s="502" t="s">
        <v>566</v>
      </c>
    </row>
    <row r="4" spans="1:19">
      <c r="B4" s="502" t="s">
        <v>688</v>
      </c>
    </row>
    <row r="5" spans="1:19">
      <c r="B5" s="502" t="s">
        <v>567</v>
      </c>
    </row>
    <row r="7" spans="1:19">
      <c r="B7" s="503" t="s">
        <v>568</v>
      </c>
      <c r="D7" s="504" t="s">
        <v>63</v>
      </c>
      <c r="E7" s="827">
        <f>HOLTROP!G4</f>
        <v>137</v>
      </c>
      <c r="F7" s="827"/>
      <c r="G7" s="502" t="s">
        <v>4</v>
      </c>
      <c r="I7" s="502" t="s">
        <v>569</v>
      </c>
      <c r="N7" s="504" t="s">
        <v>63</v>
      </c>
      <c r="O7" s="827">
        <f>E109</f>
        <v>8400</v>
      </c>
      <c r="P7" s="827"/>
      <c r="Q7" s="502" t="s">
        <v>250</v>
      </c>
    </row>
    <row r="8" spans="1:19" ht="16.2">
      <c r="B8" s="503" t="s">
        <v>5</v>
      </c>
      <c r="D8" s="504" t="s">
        <v>63</v>
      </c>
      <c r="E8" s="827">
        <f>HOLTROP!G5</f>
        <v>142.47999999999999</v>
      </c>
      <c r="F8" s="827"/>
      <c r="G8" s="502" t="s">
        <v>4</v>
      </c>
      <c r="I8" s="502" t="s">
        <v>570</v>
      </c>
      <c r="N8" s="504" t="s">
        <v>63</v>
      </c>
      <c r="O8" s="827">
        <f>HOLTROP!G13</f>
        <v>22401.13975848</v>
      </c>
      <c r="P8" s="827"/>
      <c r="Q8" s="502" t="s">
        <v>1324</v>
      </c>
    </row>
    <row r="9" spans="1:19">
      <c r="B9" s="503" t="s">
        <v>572</v>
      </c>
      <c r="D9" s="504" t="s">
        <v>63</v>
      </c>
      <c r="E9" s="827">
        <f>(E8+E7)/2</f>
        <v>139.74</v>
      </c>
      <c r="F9" s="827"/>
      <c r="G9" s="502" t="s">
        <v>4</v>
      </c>
      <c r="I9" s="502" t="s">
        <v>142</v>
      </c>
      <c r="N9" s="504" t="s">
        <v>63</v>
      </c>
      <c r="O9" s="827">
        <v>3</v>
      </c>
      <c r="P9" s="827"/>
      <c r="Q9" s="502" t="s">
        <v>573</v>
      </c>
    </row>
    <row r="10" spans="1:19">
      <c r="B10" s="503" t="s">
        <v>6</v>
      </c>
      <c r="D10" s="504" t="s">
        <v>63</v>
      </c>
      <c r="E10" s="827">
        <f>HOLTROP!G6</f>
        <v>23.7</v>
      </c>
      <c r="F10" s="827"/>
      <c r="G10" s="502" t="s">
        <v>4</v>
      </c>
      <c r="I10" s="502" t="s">
        <v>461</v>
      </c>
      <c r="N10" s="504" t="s">
        <v>63</v>
      </c>
      <c r="O10" s="827">
        <f>1.025*O8</f>
        <v>22961.168252441999</v>
      </c>
      <c r="P10" s="827"/>
      <c r="Q10" s="502" t="s">
        <v>26</v>
      </c>
    </row>
    <row r="11" spans="1:19">
      <c r="B11" s="503" t="s">
        <v>7</v>
      </c>
      <c r="D11" s="504" t="s">
        <v>63</v>
      </c>
      <c r="E11" s="827">
        <f>HOLTROP!G7</f>
        <v>13.34</v>
      </c>
      <c r="F11" s="827"/>
      <c r="G11" s="502" t="s">
        <v>4</v>
      </c>
      <c r="I11" s="502" t="s">
        <v>574</v>
      </c>
      <c r="N11" s="504" t="s">
        <v>63</v>
      </c>
      <c r="O11" s="828">
        <f>H194</f>
        <v>840.45308938999995</v>
      </c>
      <c r="P11" s="827"/>
      <c r="Q11" s="502" t="s">
        <v>26</v>
      </c>
    </row>
    <row r="12" spans="1:19">
      <c r="B12" s="503" t="s">
        <v>8</v>
      </c>
      <c r="D12" s="504" t="s">
        <v>63</v>
      </c>
      <c r="E12" s="827">
        <f>HOLTROP!G8</f>
        <v>9.9469999999999992</v>
      </c>
      <c r="F12" s="827"/>
      <c r="G12" s="502" t="s">
        <v>4</v>
      </c>
    </row>
    <row r="13" spans="1:19">
      <c r="B13" s="503" t="s">
        <v>10</v>
      </c>
      <c r="D13" s="504" t="s">
        <v>63</v>
      </c>
      <c r="E13" s="827">
        <f>HOLTROP!G9</f>
        <v>16</v>
      </c>
      <c r="F13" s="827"/>
      <c r="G13" s="502" t="s">
        <v>157</v>
      </c>
    </row>
    <row r="14" spans="1:19">
      <c r="B14" s="503" t="s">
        <v>12</v>
      </c>
      <c r="D14" s="504" t="s">
        <v>63</v>
      </c>
      <c r="E14" s="827">
        <f>HOLTROP!G10</f>
        <v>0.68</v>
      </c>
      <c r="F14" s="827"/>
    </row>
    <row r="15" spans="1:19">
      <c r="B15" s="503" t="s">
        <v>14</v>
      </c>
      <c r="D15" s="504" t="s">
        <v>63</v>
      </c>
      <c r="E15" s="827">
        <f>HOLTROP!G12</f>
        <v>0.69</v>
      </c>
      <c r="F15" s="827"/>
    </row>
    <row r="16" spans="1:19">
      <c r="B16" s="503" t="s">
        <v>1339</v>
      </c>
      <c r="D16" s="504" t="s">
        <v>63</v>
      </c>
      <c r="E16" s="827">
        <v>144.4434</v>
      </c>
      <c r="F16" s="827"/>
      <c r="G16" s="502" t="s">
        <v>4</v>
      </c>
    </row>
    <row r="18" spans="1:19">
      <c r="A18" s="841" t="s">
        <v>575</v>
      </c>
      <c r="B18" s="841"/>
      <c r="C18" s="841"/>
      <c r="D18" s="841"/>
      <c r="E18" s="841"/>
      <c r="F18" s="841"/>
      <c r="G18" s="841"/>
      <c r="H18" s="841"/>
      <c r="I18" s="841"/>
      <c r="J18" s="841"/>
      <c r="K18" s="841"/>
      <c r="L18" s="841"/>
      <c r="M18" s="841"/>
      <c r="N18" s="841"/>
      <c r="O18" s="841"/>
      <c r="P18" s="841"/>
      <c r="Q18" s="841"/>
      <c r="R18" s="841"/>
      <c r="S18" s="841"/>
    </row>
    <row r="19" spans="1:19">
      <c r="A19" s="841"/>
      <c r="B19" s="841"/>
      <c r="C19" s="841"/>
      <c r="D19" s="841"/>
      <c r="E19" s="841"/>
      <c r="F19" s="841"/>
      <c r="G19" s="841"/>
      <c r="H19" s="841"/>
      <c r="I19" s="841"/>
      <c r="J19" s="841"/>
      <c r="K19" s="841"/>
      <c r="L19" s="841"/>
      <c r="M19" s="841"/>
      <c r="N19" s="841"/>
      <c r="O19" s="841"/>
      <c r="P19" s="841"/>
      <c r="Q19" s="841"/>
      <c r="R19" s="841"/>
      <c r="S19" s="841"/>
    </row>
    <row r="20" spans="1:19">
      <c r="B20" s="502" t="s">
        <v>576</v>
      </c>
    </row>
    <row r="21" spans="1:19">
      <c r="C21" s="502" t="s">
        <v>685</v>
      </c>
    </row>
    <row r="22" spans="1:19" ht="14.4" customHeight="1">
      <c r="C22" s="502" t="s">
        <v>686</v>
      </c>
      <c r="D22" s="505" t="s">
        <v>63</v>
      </c>
      <c r="E22" s="544" t="s">
        <v>1338</v>
      </c>
      <c r="F22" s="543"/>
      <c r="G22" s="543"/>
      <c r="H22" s="543"/>
      <c r="J22" s="502" t="s">
        <v>151</v>
      </c>
    </row>
    <row r="23" spans="1:19">
      <c r="D23" s="505" t="s">
        <v>63</v>
      </c>
      <c r="E23" s="842">
        <f>E8 *E10 *E12 *E14</f>
        <v>22840.37779296</v>
      </c>
      <c r="F23" s="842"/>
      <c r="G23" s="842"/>
      <c r="H23" s="842"/>
      <c r="J23" s="502" t="s">
        <v>1337</v>
      </c>
    </row>
    <row r="24" spans="1:19">
      <c r="D24" s="505"/>
      <c r="E24" s="506"/>
      <c r="F24" s="506"/>
      <c r="G24" s="506"/>
    </row>
    <row r="25" spans="1:19">
      <c r="B25" s="502" t="s">
        <v>578</v>
      </c>
    </row>
    <row r="26" spans="1:19">
      <c r="C26" s="502" t="s">
        <v>687</v>
      </c>
    </row>
    <row r="27" spans="1:19">
      <c r="C27" s="502" t="s">
        <v>686</v>
      </c>
      <c r="D27" s="502" t="s">
        <v>63</v>
      </c>
      <c r="E27" s="502" t="s">
        <v>1340</v>
      </c>
    </row>
    <row r="28" spans="1:19">
      <c r="E28" s="842">
        <f>E16 * E10 * (E11-E12) *E14</f>
        <v>7898.394488119201</v>
      </c>
      <c r="F28" s="842"/>
      <c r="G28" s="842"/>
      <c r="H28" s="502" t="s">
        <v>151</v>
      </c>
    </row>
    <row r="30" spans="1:19">
      <c r="B30" s="502" t="s">
        <v>583</v>
      </c>
    </row>
    <row r="31" spans="1:19">
      <c r="B31" s="507"/>
      <c r="C31" s="508" t="s">
        <v>579</v>
      </c>
      <c r="D31" s="831" t="s">
        <v>453</v>
      </c>
      <c r="E31" s="831"/>
      <c r="F31" s="831"/>
      <c r="G31" s="832"/>
      <c r="I31" s="520" t="s">
        <v>455</v>
      </c>
      <c r="J31" s="520"/>
      <c r="K31" s="508"/>
      <c r="L31" s="520" t="s">
        <v>456</v>
      </c>
      <c r="M31" s="520"/>
      <c r="N31" s="508"/>
    </row>
    <row r="32" spans="1:19">
      <c r="B32" s="507"/>
      <c r="C32" s="509">
        <f>E12</f>
        <v>9.9469999999999992</v>
      </c>
      <c r="D32" s="843">
        <v>209.01159999999999</v>
      </c>
      <c r="E32" s="844"/>
      <c r="F32" s="844"/>
      <c r="G32" s="845"/>
      <c r="I32" s="502">
        <v>0.5</v>
      </c>
      <c r="J32" s="502">
        <v>1</v>
      </c>
      <c r="K32" s="507"/>
      <c r="L32" s="510">
        <f>D32*I32</f>
        <v>104.50579999999999</v>
      </c>
      <c r="M32" s="511">
        <f>D32*J32</f>
        <v>209.01159999999999</v>
      </c>
      <c r="N32" s="512"/>
    </row>
    <row r="33" spans="2:16">
      <c r="B33" s="507"/>
      <c r="C33" s="509"/>
      <c r="D33" s="547"/>
      <c r="G33" s="507"/>
      <c r="J33" s="502">
        <v>4</v>
      </c>
      <c r="K33" s="507"/>
      <c r="L33" s="547"/>
      <c r="M33" s="502">
        <f>D33*J33</f>
        <v>0</v>
      </c>
      <c r="N33" s="507"/>
    </row>
    <row r="34" spans="2:16">
      <c r="B34" s="507"/>
      <c r="C34" s="513">
        <f>E11</f>
        <v>13.34</v>
      </c>
      <c r="D34" s="838">
        <v>264.04000000000002</v>
      </c>
      <c r="E34" s="839"/>
      <c r="F34" s="839"/>
      <c r="G34" s="840"/>
      <c r="I34" s="514">
        <v>0.5</v>
      </c>
      <c r="J34" s="515">
        <v>1</v>
      </c>
      <c r="K34" s="516"/>
      <c r="L34" s="514">
        <f>D34*I34</f>
        <v>132.02000000000001</v>
      </c>
      <c r="M34" s="515">
        <f>D34*J34</f>
        <v>264.04000000000002</v>
      </c>
      <c r="N34" s="516"/>
    </row>
    <row r="35" spans="2:16">
      <c r="H35" s="502" t="s">
        <v>580</v>
      </c>
      <c r="L35" s="502">
        <f>SUM(L32:L34)</f>
        <v>236.5258</v>
      </c>
      <c r="M35" s="502">
        <f>SUM(M32:M34)</f>
        <v>473.05160000000001</v>
      </c>
    </row>
    <row r="36" spans="2:16" ht="15.6">
      <c r="H36" s="546" t="s">
        <v>581</v>
      </c>
      <c r="I36" s="546"/>
      <c r="J36" s="546"/>
      <c r="K36" s="546"/>
      <c r="L36" s="505" t="s">
        <v>577</v>
      </c>
      <c r="M36" s="502" t="s">
        <v>582</v>
      </c>
    </row>
    <row r="37" spans="2:16">
      <c r="L37" s="502" t="s">
        <v>584</v>
      </c>
      <c r="M37" s="502">
        <f>(C34-C32)*L35</f>
        <v>802.53203940000014</v>
      </c>
      <c r="P37" s="505" t="s">
        <v>151</v>
      </c>
    </row>
    <row r="39" spans="2:16">
      <c r="B39" s="502" t="s">
        <v>585</v>
      </c>
    </row>
    <row r="40" spans="2:16">
      <c r="C40" s="517" t="s">
        <v>579</v>
      </c>
      <c r="D40" s="830" t="s">
        <v>453</v>
      </c>
      <c r="E40" s="831"/>
      <c r="F40" s="831"/>
      <c r="G40" s="831"/>
      <c r="H40" s="830" t="s">
        <v>455</v>
      </c>
      <c r="I40" s="831"/>
      <c r="J40" s="831"/>
      <c r="K40" s="832"/>
      <c r="L40" s="830" t="s">
        <v>456</v>
      </c>
      <c r="M40" s="831"/>
      <c r="N40" s="832"/>
      <c r="O40" s="505"/>
    </row>
    <row r="41" spans="2:16">
      <c r="C41" s="518">
        <v>9.9469999999999992</v>
      </c>
      <c r="D41" s="833">
        <v>42.98</v>
      </c>
      <c r="E41" s="834"/>
      <c r="F41" s="834"/>
      <c r="G41" s="835"/>
      <c r="H41" s="836">
        <v>0.5</v>
      </c>
      <c r="I41" s="827"/>
      <c r="J41" s="827"/>
      <c r="K41" s="837"/>
      <c r="L41" s="836">
        <f>D41*H41</f>
        <v>21.49</v>
      </c>
      <c r="M41" s="827"/>
      <c r="N41" s="837"/>
      <c r="O41" s="505"/>
    </row>
    <row r="42" spans="2:16">
      <c r="C42" s="513">
        <v>13.34</v>
      </c>
      <c r="D42" s="846">
        <v>66.8</v>
      </c>
      <c r="E42" s="847"/>
      <c r="F42" s="847"/>
      <c r="G42" s="848"/>
      <c r="H42" s="846">
        <v>0.5</v>
      </c>
      <c r="I42" s="847"/>
      <c r="J42" s="847"/>
      <c r="K42" s="848"/>
      <c r="L42" s="836">
        <f>D42*H42</f>
        <v>33.4</v>
      </c>
      <c r="M42" s="827"/>
      <c r="N42" s="837"/>
      <c r="O42" s="505"/>
    </row>
    <row r="43" spans="2:16">
      <c r="C43" s="505"/>
      <c r="D43" s="505"/>
      <c r="E43" s="505"/>
      <c r="F43" s="505"/>
      <c r="G43" s="505"/>
      <c r="H43" s="846" t="s">
        <v>580</v>
      </c>
      <c r="I43" s="847"/>
      <c r="J43" s="847"/>
      <c r="K43" s="848"/>
      <c r="L43" s="830">
        <f>SUM(L41:N42)</f>
        <v>54.89</v>
      </c>
      <c r="M43" s="831"/>
      <c r="N43" s="832"/>
      <c r="O43" s="505"/>
    </row>
    <row r="44" spans="2:16" ht="15.6">
      <c r="C44" s="505"/>
      <c r="D44" s="505"/>
      <c r="E44" s="505"/>
      <c r="F44" s="505"/>
      <c r="G44" s="505"/>
      <c r="H44" s="849" t="s">
        <v>581</v>
      </c>
      <c r="I44" s="849"/>
      <c r="J44" s="849"/>
      <c r="K44" s="849"/>
      <c r="L44" s="505" t="s">
        <v>577</v>
      </c>
      <c r="M44" s="827" t="s">
        <v>582</v>
      </c>
      <c r="N44" s="827"/>
      <c r="O44" s="827"/>
      <c r="P44" s="827"/>
    </row>
    <row r="45" spans="2:16">
      <c r="C45" s="505"/>
      <c r="D45" s="505"/>
      <c r="E45" s="505"/>
      <c r="F45" s="505"/>
      <c r="G45" s="505"/>
      <c r="H45" s="827"/>
      <c r="I45" s="827"/>
      <c r="J45" s="827"/>
      <c r="K45" s="827"/>
      <c r="L45" s="502" t="s">
        <v>584</v>
      </c>
      <c r="M45" s="827">
        <f>2.5*L43</f>
        <v>137.22499999999999</v>
      </c>
      <c r="N45" s="827"/>
      <c r="O45" s="827"/>
      <c r="P45" s="505" t="s">
        <v>151</v>
      </c>
    </row>
    <row r="47" spans="2:16">
      <c r="B47" s="502" t="s">
        <v>586</v>
      </c>
    </row>
    <row r="48" spans="2:16">
      <c r="B48" s="830" t="s">
        <v>579</v>
      </c>
      <c r="C48" s="831"/>
      <c r="D48" s="832"/>
      <c r="E48" s="831" t="s">
        <v>453</v>
      </c>
      <c r="F48" s="831"/>
      <c r="G48" s="832"/>
      <c r="H48" s="830" t="s">
        <v>587</v>
      </c>
      <c r="I48" s="832"/>
      <c r="J48" s="520" t="s">
        <v>588</v>
      </c>
      <c r="K48" s="508"/>
      <c r="O48" s="505"/>
    </row>
    <row r="49" spans="2:19">
      <c r="B49" s="834" t="s">
        <v>1363</v>
      </c>
      <c r="C49" s="834"/>
      <c r="D49" s="834"/>
      <c r="E49" s="827">
        <f>179.22*2</f>
        <v>358.44</v>
      </c>
      <c r="F49" s="827"/>
      <c r="G49" s="837"/>
      <c r="H49" s="833">
        <v>2.4</v>
      </c>
      <c r="I49" s="835"/>
      <c r="J49" s="830">
        <f>E49*H49</f>
        <v>860.25599999999997</v>
      </c>
      <c r="K49" s="832"/>
      <c r="O49" s="505"/>
    </row>
    <row r="50" spans="2:19">
      <c r="B50" s="836" t="s">
        <v>590</v>
      </c>
      <c r="C50" s="827"/>
      <c r="D50" s="837"/>
      <c r="E50" s="827">
        <f>165.9*2</f>
        <v>331.8</v>
      </c>
      <c r="F50" s="827"/>
      <c r="G50" s="837"/>
      <c r="H50" s="833">
        <v>2.4</v>
      </c>
      <c r="I50" s="835"/>
      <c r="J50" s="830">
        <f>E50*H50</f>
        <v>796.32</v>
      </c>
      <c r="K50" s="832"/>
      <c r="O50" s="505"/>
    </row>
    <row r="51" spans="2:19">
      <c r="B51" s="836" t="s">
        <v>589</v>
      </c>
      <c r="C51" s="827"/>
      <c r="D51" s="837"/>
      <c r="E51" s="827">
        <f>151.65*2</f>
        <v>303.3</v>
      </c>
      <c r="F51" s="827"/>
      <c r="G51" s="837"/>
      <c r="H51" s="833">
        <v>2.4</v>
      </c>
      <c r="I51" s="835"/>
      <c r="J51" s="830">
        <f>E51*H51</f>
        <v>727.92</v>
      </c>
      <c r="K51" s="832"/>
      <c r="O51" s="505"/>
    </row>
    <row r="52" spans="2:19">
      <c r="B52" s="846" t="s">
        <v>591</v>
      </c>
      <c r="C52" s="847"/>
      <c r="D52" s="848"/>
      <c r="E52" s="827">
        <f>120.58*2</f>
        <v>241.16</v>
      </c>
      <c r="F52" s="827"/>
      <c r="G52" s="837"/>
      <c r="H52" s="833">
        <v>2.4</v>
      </c>
      <c r="I52" s="835"/>
      <c r="J52" s="830">
        <f>E52*H52</f>
        <v>578.78399999999999</v>
      </c>
      <c r="K52" s="832"/>
      <c r="O52" s="505"/>
    </row>
    <row r="53" spans="2:19">
      <c r="C53" s="505"/>
      <c r="D53" s="505"/>
      <c r="E53" s="511" t="s">
        <v>592</v>
      </c>
      <c r="F53" s="511"/>
      <c r="G53" s="511"/>
      <c r="H53" s="519"/>
      <c r="I53" s="834">
        <f>SUM(J49:K52)</f>
        <v>2963.28</v>
      </c>
      <c r="J53" s="834"/>
      <c r="K53" s="505" t="s">
        <v>151</v>
      </c>
    </row>
    <row r="54" spans="2:19" ht="15.6" customHeight="1"/>
    <row r="55" spans="2:19">
      <c r="B55" s="502" t="s">
        <v>689</v>
      </c>
    </row>
    <row r="56" spans="2:19">
      <c r="C56" s="502" t="s">
        <v>79</v>
      </c>
      <c r="D56" s="502" t="s">
        <v>577</v>
      </c>
      <c r="E56" s="850">
        <f>E28+M37+M45+I53+E23</f>
        <v>34641.809320479202</v>
      </c>
      <c r="F56" s="850"/>
      <c r="G56" s="850"/>
      <c r="H56" s="502" t="s">
        <v>151</v>
      </c>
    </row>
    <row r="58" spans="2:19">
      <c r="B58" s="502" t="s">
        <v>593</v>
      </c>
    </row>
    <row r="59" spans="2:19">
      <c r="C59" s="825" t="s">
        <v>594</v>
      </c>
      <c r="D59" s="825"/>
      <c r="E59" s="825"/>
      <c r="F59" s="825"/>
      <c r="G59" s="825"/>
      <c r="H59" s="825"/>
      <c r="I59" s="825"/>
      <c r="J59" s="825"/>
      <c r="K59" s="825"/>
      <c r="L59" s="825"/>
      <c r="M59" s="825"/>
      <c r="N59" s="825"/>
      <c r="O59" s="825"/>
      <c r="P59" s="825"/>
      <c r="Q59" s="825"/>
      <c r="R59" s="825"/>
      <c r="S59" s="825"/>
    </row>
    <row r="60" spans="2:19">
      <c r="C60" s="825"/>
      <c r="D60" s="825"/>
      <c r="E60" s="825"/>
      <c r="F60" s="825"/>
      <c r="G60" s="825"/>
      <c r="H60" s="825"/>
      <c r="I60" s="825"/>
      <c r="J60" s="825"/>
      <c r="K60" s="825"/>
      <c r="L60" s="825"/>
      <c r="M60" s="825"/>
      <c r="N60" s="825"/>
      <c r="O60" s="825"/>
      <c r="P60" s="825"/>
      <c r="Q60" s="825"/>
      <c r="R60" s="825"/>
      <c r="S60" s="825"/>
    </row>
    <row r="61" spans="2:19">
      <c r="C61" s="502" t="s">
        <v>595</v>
      </c>
      <c r="D61" s="502" t="s">
        <v>577</v>
      </c>
      <c r="E61" s="502" t="s">
        <v>596</v>
      </c>
    </row>
    <row r="62" spans="2:19">
      <c r="D62" s="502" t="s">
        <v>577</v>
      </c>
      <c r="E62" s="851">
        <f>0.2+0.02*(LOG(10*E56))</f>
        <v>0.3107920113374486</v>
      </c>
      <c r="F62" s="851"/>
    </row>
    <row r="64" spans="2:19">
      <c r="C64" s="825" t="s">
        <v>597</v>
      </c>
      <c r="D64" s="825"/>
      <c r="E64" s="825"/>
      <c r="F64" s="825"/>
      <c r="G64" s="825"/>
      <c r="H64" s="825"/>
      <c r="I64" s="825"/>
      <c r="J64" s="825"/>
      <c r="K64" s="825"/>
      <c r="L64" s="825"/>
      <c r="M64" s="825"/>
      <c r="N64" s="825"/>
      <c r="O64" s="825"/>
      <c r="P64" s="825"/>
      <c r="Q64" s="825"/>
      <c r="R64" s="825"/>
      <c r="S64" s="825"/>
    </row>
    <row r="65" spans="3:19">
      <c r="C65" s="825"/>
      <c r="D65" s="825"/>
      <c r="E65" s="825"/>
      <c r="F65" s="825"/>
      <c r="G65" s="825"/>
      <c r="H65" s="825"/>
      <c r="I65" s="825"/>
      <c r="J65" s="825"/>
      <c r="K65" s="825"/>
      <c r="L65" s="825"/>
      <c r="M65" s="825"/>
      <c r="N65" s="825"/>
      <c r="O65" s="825"/>
      <c r="P65" s="825"/>
      <c r="Q65" s="825"/>
      <c r="R65" s="825"/>
      <c r="S65" s="825"/>
    </row>
    <row r="66" spans="3:19">
      <c r="C66" s="502" t="s">
        <v>598</v>
      </c>
      <c r="D66" s="502" t="s">
        <v>577</v>
      </c>
      <c r="E66" s="502" t="s">
        <v>599</v>
      </c>
    </row>
    <row r="67" spans="3:19">
      <c r="D67" s="502" t="s">
        <v>577</v>
      </c>
      <c r="E67" s="850">
        <f>E62*E56</f>
        <v>10766.397595080105</v>
      </c>
      <c r="F67" s="850"/>
    </row>
    <row r="69" spans="3:19">
      <c r="C69" s="825" t="s">
        <v>1341</v>
      </c>
      <c r="D69" s="825"/>
      <c r="E69" s="825"/>
      <c r="F69" s="825"/>
      <c r="G69" s="825"/>
      <c r="H69" s="825"/>
      <c r="I69" s="825"/>
      <c r="J69" s="825"/>
      <c r="K69" s="825"/>
      <c r="L69" s="825"/>
      <c r="M69" s="825"/>
      <c r="N69" s="825"/>
      <c r="O69" s="825"/>
      <c r="P69" s="825"/>
      <c r="Q69" s="825"/>
      <c r="R69" s="825"/>
      <c r="S69" s="825"/>
    </row>
    <row r="70" spans="3:19">
      <c r="C70" s="825"/>
      <c r="D70" s="825"/>
      <c r="E70" s="825"/>
      <c r="F70" s="825"/>
      <c r="G70" s="825"/>
      <c r="H70" s="825"/>
      <c r="I70" s="825"/>
      <c r="J70" s="825"/>
      <c r="K70" s="825"/>
      <c r="L70" s="825"/>
      <c r="M70" s="825"/>
      <c r="N70" s="825"/>
      <c r="O70" s="825"/>
      <c r="P70" s="825"/>
      <c r="Q70" s="825"/>
      <c r="R70" s="825"/>
      <c r="S70" s="825"/>
    </row>
    <row r="71" spans="3:19">
      <c r="C71" s="825"/>
      <c r="D71" s="825"/>
      <c r="E71" s="825"/>
      <c r="F71" s="825"/>
      <c r="G71" s="825"/>
      <c r="H71" s="825"/>
      <c r="I71" s="825"/>
      <c r="J71" s="825"/>
      <c r="K71" s="825"/>
      <c r="L71" s="825"/>
      <c r="M71" s="825"/>
      <c r="N71" s="825"/>
      <c r="O71" s="825"/>
      <c r="P71" s="825"/>
      <c r="Q71" s="825"/>
      <c r="R71" s="825"/>
      <c r="S71" s="825"/>
    </row>
    <row r="87" spans="1:19" ht="14.4" customHeight="1">
      <c r="B87" s="522"/>
      <c r="C87" s="825" t="s">
        <v>600</v>
      </c>
      <c r="D87" s="825"/>
      <c r="E87" s="825"/>
      <c r="F87" s="825"/>
      <c r="G87" s="825"/>
      <c r="H87" s="825"/>
      <c r="I87" s="825"/>
      <c r="J87" s="825"/>
      <c r="K87" s="825"/>
      <c r="L87" s="825"/>
      <c r="M87" s="825"/>
      <c r="N87" s="825"/>
      <c r="O87" s="825"/>
      <c r="P87" s="825"/>
      <c r="Q87" s="825"/>
      <c r="R87" s="825"/>
      <c r="S87" s="825"/>
    </row>
    <row r="88" spans="1:19">
      <c r="A88" s="522"/>
      <c r="B88" s="522"/>
      <c r="C88" s="825"/>
      <c r="D88" s="825"/>
      <c r="E88" s="825"/>
      <c r="F88" s="825"/>
      <c r="G88" s="825"/>
      <c r="H88" s="825"/>
      <c r="I88" s="825"/>
      <c r="J88" s="825"/>
      <c r="K88" s="825"/>
      <c r="L88" s="825"/>
      <c r="M88" s="825"/>
      <c r="N88" s="825"/>
      <c r="O88" s="825"/>
      <c r="P88" s="825"/>
      <c r="Q88" s="825"/>
      <c r="R88" s="825"/>
      <c r="S88" s="825"/>
    </row>
    <row r="90" spans="1:19">
      <c r="C90" s="523" t="s">
        <v>601</v>
      </c>
      <c r="D90" s="524"/>
      <c r="E90" s="524"/>
      <c r="F90" s="524"/>
      <c r="G90" s="524"/>
      <c r="H90" s="524"/>
      <c r="L90" s="525" t="s">
        <v>602</v>
      </c>
      <c r="M90" s="526"/>
      <c r="N90" s="526"/>
      <c r="O90" s="527"/>
      <c r="P90" s="526"/>
      <c r="Q90" s="527"/>
    </row>
    <row r="91" spans="1:19">
      <c r="C91" s="528" t="s">
        <v>603</v>
      </c>
      <c r="D91" s="826" t="s">
        <v>604</v>
      </c>
      <c r="E91" s="826"/>
      <c r="F91" s="826"/>
      <c r="G91" s="826" t="s">
        <v>605</v>
      </c>
      <c r="H91" s="826"/>
      <c r="L91" s="528">
        <v>11</v>
      </c>
      <c r="M91" s="826" t="s">
        <v>606</v>
      </c>
      <c r="N91" s="826"/>
      <c r="O91" s="826"/>
      <c r="P91" s="826">
        <v>1</v>
      </c>
      <c r="Q91" s="826"/>
    </row>
    <row r="92" spans="1:19">
      <c r="C92" s="528">
        <v>1</v>
      </c>
      <c r="D92" s="826" t="s">
        <v>607</v>
      </c>
      <c r="E92" s="826"/>
      <c r="F92" s="826"/>
      <c r="G92" s="826">
        <v>1</v>
      </c>
      <c r="H92" s="826"/>
      <c r="L92" s="528">
        <v>12</v>
      </c>
      <c r="M92" s="826" t="s">
        <v>608</v>
      </c>
      <c r="N92" s="826"/>
      <c r="O92" s="826"/>
      <c r="P92" s="826">
        <v>1</v>
      </c>
      <c r="Q92" s="826"/>
    </row>
    <row r="93" spans="1:19">
      <c r="C93" s="528">
        <v>2</v>
      </c>
      <c r="D93" s="826" t="s">
        <v>609</v>
      </c>
      <c r="E93" s="826"/>
      <c r="F93" s="826"/>
      <c r="G93" s="826">
        <v>1</v>
      </c>
      <c r="H93" s="826"/>
      <c r="L93" s="528">
        <v>13</v>
      </c>
      <c r="M93" s="826" t="s">
        <v>610</v>
      </c>
      <c r="N93" s="826"/>
      <c r="O93" s="826"/>
      <c r="P93" s="826">
        <v>1</v>
      </c>
      <c r="Q93" s="826"/>
    </row>
    <row r="94" spans="1:19">
      <c r="C94" s="528">
        <v>3</v>
      </c>
      <c r="D94" s="826" t="s">
        <v>611</v>
      </c>
      <c r="E94" s="826"/>
      <c r="F94" s="826"/>
      <c r="G94" s="826">
        <v>1</v>
      </c>
      <c r="H94" s="826"/>
      <c r="L94" s="528">
        <v>14</v>
      </c>
      <c r="M94" s="826" t="s">
        <v>612</v>
      </c>
      <c r="N94" s="826"/>
      <c r="O94" s="826"/>
      <c r="P94" s="826">
        <v>0</v>
      </c>
      <c r="Q94" s="826"/>
    </row>
    <row r="95" spans="1:19">
      <c r="C95" s="528">
        <v>4</v>
      </c>
      <c r="D95" s="826" t="s">
        <v>613</v>
      </c>
      <c r="E95" s="826"/>
      <c r="F95" s="826"/>
      <c r="G95" s="826">
        <v>0</v>
      </c>
      <c r="H95" s="826"/>
      <c r="L95" s="528">
        <v>15</v>
      </c>
      <c r="M95" s="826" t="s">
        <v>614</v>
      </c>
      <c r="N95" s="826"/>
      <c r="O95" s="826"/>
      <c r="P95" s="826">
        <v>1</v>
      </c>
      <c r="Q95" s="826"/>
    </row>
    <row r="96" spans="1:19">
      <c r="C96" s="528">
        <v>5</v>
      </c>
      <c r="D96" s="826" t="s">
        <v>615</v>
      </c>
      <c r="E96" s="826"/>
      <c r="F96" s="826"/>
      <c r="G96" s="826">
        <v>1</v>
      </c>
      <c r="H96" s="826"/>
      <c r="L96" s="528">
        <v>16</v>
      </c>
      <c r="M96" s="826" t="s">
        <v>616</v>
      </c>
      <c r="N96" s="826"/>
      <c r="O96" s="826"/>
      <c r="P96" s="826">
        <v>3</v>
      </c>
      <c r="Q96" s="826"/>
    </row>
    <row r="97" spans="1:19">
      <c r="C97" s="528">
        <v>6</v>
      </c>
      <c r="D97" s="826" t="s">
        <v>617</v>
      </c>
      <c r="E97" s="826"/>
      <c r="F97" s="826"/>
      <c r="G97" s="826">
        <v>1</v>
      </c>
      <c r="H97" s="826"/>
      <c r="L97" s="528">
        <v>17</v>
      </c>
      <c r="M97" s="826" t="s">
        <v>618</v>
      </c>
      <c r="N97" s="826"/>
      <c r="O97" s="826"/>
      <c r="P97" s="826">
        <v>1</v>
      </c>
      <c r="Q97" s="826"/>
    </row>
    <row r="98" spans="1:19">
      <c r="C98" s="528">
        <v>7</v>
      </c>
      <c r="D98" s="826" t="s">
        <v>619</v>
      </c>
      <c r="E98" s="826"/>
      <c r="F98" s="826"/>
      <c r="G98" s="826">
        <v>3</v>
      </c>
      <c r="H98" s="826"/>
      <c r="L98" s="528"/>
      <c r="M98" s="826" t="s">
        <v>620</v>
      </c>
      <c r="N98" s="826"/>
      <c r="O98" s="826"/>
      <c r="P98" s="826">
        <f>SUM(P91:Q97)</f>
        <v>8</v>
      </c>
      <c r="Q98" s="826"/>
    </row>
    <row r="99" spans="1:19">
      <c r="C99" s="528">
        <v>8</v>
      </c>
      <c r="D99" s="826" t="s">
        <v>621</v>
      </c>
      <c r="E99" s="826"/>
      <c r="F99" s="826"/>
      <c r="G99" s="826">
        <v>1</v>
      </c>
      <c r="H99" s="826"/>
    </row>
    <row r="100" spans="1:19">
      <c r="C100" s="528">
        <v>9</v>
      </c>
      <c r="D100" s="826" t="s">
        <v>622</v>
      </c>
      <c r="E100" s="826"/>
      <c r="F100" s="826"/>
      <c r="G100" s="826">
        <v>1</v>
      </c>
      <c r="H100" s="826"/>
    </row>
    <row r="101" spans="1:19">
      <c r="C101" s="528">
        <v>10</v>
      </c>
      <c r="D101" s="826" t="s">
        <v>623</v>
      </c>
      <c r="E101" s="826"/>
      <c r="F101" s="826"/>
      <c r="G101" s="826">
        <v>1</v>
      </c>
      <c r="H101" s="826"/>
    </row>
    <row r="102" spans="1:19">
      <c r="C102" s="528">
        <v>11</v>
      </c>
      <c r="D102" s="854" t="s">
        <v>1374</v>
      </c>
      <c r="E102" s="855"/>
      <c r="F102" s="856"/>
      <c r="G102" s="854">
        <v>1</v>
      </c>
      <c r="H102" s="856"/>
    </row>
    <row r="103" spans="1:19">
      <c r="C103" s="528"/>
      <c r="D103" s="826" t="s">
        <v>620</v>
      </c>
      <c r="E103" s="826"/>
      <c r="F103" s="826"/>
      <c r="G103" s="826">
        <f>SUM(G92:H102)</f>
        <v>12</v>
      </c>
      <c r="H103" s="826"/>
    </row>
    <row r="105" spans="1:19">
      <c r="C105" s="521" t="s">
        <v>1342</v>
      </c>
      <c r="D105" s="521"/>
      <c r="E105" s="521"/>
      <c r="F105" s="521"/>
      <c r="G105" s="521"/>
      <c r="H105" s="521"/>
      <c r="I105" s="521"/>
      <c r="J105" s="521"/>
      <c r="K105" s="521"/>
      <c r="L105" s="521"/>
      <c r="M105" s="521"/>
      <c r="N105" s="521"/>
      <c r="O105" s="521">
        <f>G103+P98</f>
        <v>20</v>
      </c>
      <c r="P105" s="502" t="s">
        <v>1343</v>
      </c>
    </row>
    <row r="107" spans="1:19">
      <c r="A107" s="852" t="s">
        <v>624</v>
      </c>
      <c r="B107" s="852"/>
      <c r="C107" s="852"/>
      <c r="D107" s="852"/>
      <c r="E107" s="852"/>
      <c r="F107" s="852"/>
      <c r="G107" s="852"/>
      <c r="H107" s="852"/>
      <c r="I107" s="852"/>
      <c r="J107" s="852"/>
      <c r="K107" s="852"/>
      <c r="L107" s="852"/>
      <c r="M107" s="852"/>
      <c r="N107" s="852"/>
      <c r="O107" s="852"/>
      <c r="P107" s="852"/>
      <c r="Q107" s="852"/>
      <c r="R107" s="852"/>
      <c r="S107" s="852"/>
    </row>
    <row r="108" spans="1:19">
      <c r="A108" s="852"/>
      <c r="B108" s="852"/>
      <c r="C108" s="852"/>
      <c r="D108" s="852"/>
      <c r="E108" s="852"/>
      <c r="F108" s="852"/>
      <c r="G108" s="852"/>
      <c r="H108" s="852"/>
      <c r="I108" s="852"/>
      <c r="J108" s="852"/>
      <c r="K108" s="852"/>
      <c r="L108" s="852"/>
      <c r="M108" s="852"/>
      <c r="N108" s="852"/>
      <c r="O108" s="852"/>
      <c r="P108" s="852"/>
      <c r="Q108" s="852"/>
      <c r="R108" s="852"/>
      <c r="S108" s="852"/>
    </row>
    <row r="109" spans="1:19" ht="18">
      <c r="D109" s="529" t="s">
        <v>1325</v>
      </c>
      <c r="E109" s="853">
        <v>8400</v>
      </c>
      <c r="F109" s="853"/>
      <c r="G109" s="530" t="s">
        <v>250</v>
      </c>
    </row>
    <row r="110" spans="1:19" ht="18">
      <c r="D110" s="529" t="s">
        <v>1326</v>
      </c>
      <c r="E110" s="853">
        <v>183.4</v>
      </c>
      <c r="F110" s="853"/>
      <c r="G110" s="530" t="s">
        <v>360</v>
      </c>
    </row>
    <row r="111" spans="1:19" ht="18">
      <c r="D111" s="529" t="s">
        <v>1327</v>
      </c>
      <c r="E111" s="853">
        <v>0.7</v>
      </c>
      <c r="F111" s="853"/>
      <c r="G111" s="530" t="s">
        <v>360</v>
      </c>
    </row>
    <row r="112" spans="1:19" ht="15.6">
      <c r="D112" s="529"/>
      <c r="E112" s="530"/>
      <c r="G112" s="530"/>
    </row>
    <row r="113" spans="1:19">
      <c r="D113" s="531" t="s">
        <v>625</v>
      </c>
      <c r="E113" s="530" t="s">
        <v>626</v>
      </c>
      <c r="G113" s="530"/>
    </row>
    <row r="114" spans="1:19">
      <c r="D114" s="531" t="s">
        <v>627</v>
      </c>
      <c r="E114" s="530" t="s">
        <v>1320</v>
      </c>
      <c r="G114" s="530"/>
    </row>
    <row r="115" spans="1:19" ht="15.6">
      <c r="D115" s="529" t="s">
        <v>628</v>
      </c>
      <c r="E115" s="853">
        <v>2910</v>
      </c>
      <c r="F115" s="853"/>
      <c r="G115" s="530" t="s">
        <v>240</v>
      </c>
    </row>
    <row r="116" spans="1:19" ht="15.6">
      <c r="D116" s="529" t="s">
        <v>629</v>
      </c>
      <c r="E116" s="853">
        <f>HOLTROP!G9</f>
        <v>16</v>
      </c>
      <c r="F116" s="853"/>
      <c r="G116" s="530" t="s">
        <v>11</v>
      </c>
      <c r="O116" s="827">
        <v>260.84615384615387</v>
      </c>
      <c r="P116" s="827"/>
    </row>
    <row r="117" spans="1:19" ht="15.6">
      <c r="D117" s="529" t="s">
        <v>630</v>
      </c>
      <c r="E117" s="827">
        <f>E115/E116</f>
        <v>181.875</v>
      </c>
      <c r="F117" s="827"/>
      <c r="G117" s="530" t="s">
        <v>631</v>
      </c>
    </row>
    <row r="118" spans="1:19" ht="15.6">
      <c r="D118" s="529" t="s">
        <v>632</v>
      </c>
      <c r="E118" s="853">
        <v>1.4</v>
      </c>
      <c r="F118" s="853"/>
      <c r="G118" s="530" t="s">
        <v>633</v>
      </c>
    </row>
    <row r="119" spans="1:19" ht="15.6">
      <c r="D119" s="529" t="s">
        <v>634</v>
      </c>
      <c r="E119" s="502">
        <f>O105</f>
        <v>20</v>
      </c>
      <c r="F119" s="502" t="s">
        <v>635</v>
      </c>
    </row>
    <row r="120" spans="1:19" ht="15.6">
      <c r="D120" s="529"/>
    </row>
    <row r="121" spans="1:19">
      <c r="A121" s="841" t="s">
        <v>636</v>
      </c>
      <c r="B121" s="841"/>
      <c r="C121" s="841"/>
      <c r="D121" s="841"/>
      <c r="E121" s="841"/>
      <c r="F121" s="841"/>
      <c r="G121" s="841"/>
      <c r="H121" s="841"/>
      <c r="I121" s="841"/>
      <c r="J121" s="841"/>
      <c r="K121" s="841"/>
      <c r="L121" s="841"/>
      <c r="M121" s="841"/>
      <c r="N121" s="841"/>
      <c r="O121" s="841"/>
      <c r="P121" s="841"/>
      <c r="Q121" s="841"/>
      <c r="R121" s="841"/>
      <c r="S121" s="841"/>
    </row>
    <row r="122" spans="1:19">
      <c r="A122" s="841"/>
      <c r="B122" s="841"/>
      <c r="C122" s="841"/>
      <c r="D122" s="841"/>
      <c r="E122" s="841"/>
      <c r="F122" s="841"/>
      <c r="G122" s="841"/>
      <c r="H122" s="841"/>
      <c r="I122" s="841"/>
      <c r="J122" s="841"/>
      <c r="K122" s="841"/>
      <c r="L122" s="841"/>
      <c r="M122" s="841"/>
      <c r="N122" s="841"/>
      <c r="O122" s="841"/>
      <c r="P122" s="841"/>
      <c r="Q122" s="841"/>
      <c r="R122" s="841"/>
      <c r="S122" s="841"/>
    </row>
    <row r="123" spans="1:19">
      <c r="A123" s="530"/>
      <c r="B123" s="530" t="s">
        <v>637</v>
      </c>
      <c r="C123" s="530"/>
      <c r="D123" s="530"/>
      <c r="E123" s="530"/>
      <c r="F123" s="530"/>
      <c r="G123" s="530"/>
      <c r="H123" s="530"/>
      <c r="I123" s="530"/>
    </row>
    <row r="124" spans="1:19">
      <c r="A124" s="530"/>
      <c r="B124" s="530"/>
      <c r="C124" s="530" t="s">
        <v>638</v>
      </c>
      <c r="D124" s="530"/>
      <c r="E124" s="530"/>
      <c r="F124" s="530"/>
      <c r="G124" s="530"/>
      <c r="H124" s="530"/>
      <c r="I124" s="530"/>
    </row>
    <row r="125" spans="1:19">
      <c r="A125" s="530"/>
      <c r="B125" s="530"/>
      <c r="C125" s="530" t="s">
        <v>639</v>
      </c>
      <c r="D125" s="530"/>
      <c r="E125" s="530"/>
      <c r="F125" s="530"/>
      <c r="G125" s="530"/>
      <c r="H125" s="530"/>
      <c r="I125" s="530"/>
    </row>
    <row r="126" spans="1:19">
      <c r="A126" s="530"/>
      <c r="B126" s="530"/>
      <c r="C126" s="530" t="s">
        <v>640</v>
      </c>
      <c r="D126" s="530"/>
      <c r="E126" s="530"/>
      <c r="F126" s="530"/>
      <c r="G126" s="530"/>
      <c r="H126" s="530"/>
      <c r="I126" s="530"/>
    </row>
    <row r="127" spans="1:19" ht="15.6">
      <c r="A127" s="530"/>
      <c r="B127" s="530"/>
      <c r="C127" s="532" t="s">
        <v>1328</v>
      </c>
      <c r="D127" s="530"/>
      <c r="E127" s="532" t="s">
        <v>641</v>
      </c>
      <c r="F127" s="530"/>
      <c r="G127" s="530"/>
      <c r="H127" s="530"/>
      <c r="I127" s="530"/>
    </row>
    <row r="128" spans="1:19">
      <c r="A128" s="530"/>
      <c r="B128" s="530"/>
      <c r="C128" s="532"/>
      <c r="D128" s="530" t="s">
        <v>63</v>
      </c>
      <c r="E128" s="532" t="s">
        <v>1323</v>
      </c>
      <c r="F128" s="530"/>
      <c r="G128" s="530"/>
      <c r="H128" s="530"/>
      <c r="I128" s="530"/>
    </row>
    <row r="129" spans="1:19">
      <c r="A129" s="530"/>
      <c r="B129" s="530"/>
      <c r="C129" s="530"/>
      <c r="D129" s="530" t="s">
        <v>430</v>
      </c>
      <c r="E129" s="859">
        <f>E109 * E110 * (E115/E116) * E118 *10^-6</f>
        <v>392.26508999999999</v>
      </c>
      <c r="F129" s="859"/>
      <c r="G129" s="859"/>
      <c r="H129" s="530" t="s">
        <v>26</v>
      </c>
      <c r="I129" s="530"/>
    </row>
    <row r="130" spans="1:19">
      <c r="A130" s="530"/>
      <c r="B130" s="530"/>
      <c r="C130" s="530"/>
      <c r="D130" s="530"/>
      <c r="E130" s="530"/>
      <c r="F130" s="530"/>
      <c r="G130" s="530"/>
      <c r="H130" s="530"/>
      <c r="I130" s="530"/>
    </row>
    <row r="131" spans="1:19">
      <c r="A131" s="530"/>
      <c r="B131" s="530"/>
      <c r="C131" s="533" t="s">
        <v>642</v>
      </c>
      <c r="D131" s="530" t="s">
        <v>577</v>
      </c>
      <c r="E131" s="532" t="s">
        <v>643</v>
      </c>
      <c r="F131" s="530"/>
      <c r="G131" s="530"/>
      <c r="H131" s="530"/>
      <c r="I131" s="530"/>
      <c r="L131" s="532" t="s">
        <v>1321</v>
      </c>
      <c r="P131" s="502" t="s">
        <v>63</v>
      </c>
      <c r="Q131" s="827">
        <v>0.95</v>
      </c>
      <c r="R131" s="827"/>
      <c r="S131" s="502" t="s">
        <v>1322</v>
      </c>
    </row>
    <row r="132" spans="1:19">
      <c r="A132" s="530"/>
      <c r="B132" s="530"/>
      <c r="C132" s="530"/>
      <c r="D132" s="530" t="s">
        <v>577</v>
      </c>
      <c r="E132" s="853">
        <f>E129/Q131</f>
        <v>412.9106210526316</v>
      </c>
      <c r="F132" s="853"/>
      <c r="G132" s="853"/>
      <c r="H132" s="530" t="s">
        <v>151</v>
      </c>
      <c r="I132" s="530"/>
    </row>
    <row r="133" spans="1:19">
      <c r="A133" s="530"/>
      <c r="B133" s="530"/>
      <c r="C133" s="530"/>
      <c r="D133" s="530"/>
      <c r="E133" s="530"/>
      <c r="F133" s="530"/>
      <c r="G133" s="530"/>
      <c r="H133" s="530"/>
      <c r="I133" s="530"/>
    </row>
    <row r="134" spans="1:19">
      <c r="A134" s="530"/>
      <c r="B134" s="530"/>
      <c r="C134" s="530" t="s">
        <v>644</v>
      </c>
      <c r="D134" s="530"/>
      <c r="E134" s="530"/>
      <c r="F134" s="530"/>
      <c r="G134" s="530"/>
      <c r="H134" s="530"/>
      <c r="I134" s="530"/>
    </row>
    <row r="135" spans="1:19">
      <c r="A135" s="530"/>
      <c r="B135" s="530"/>
      <c r="C135" s="530" t="s">
        <v>645</v>
      </c>
      <c r="D135" s="530"/>
      <c r="E135" s="530"/>
      <c r="F135" s="530"/>
      <c r="G135" s="530"/>
      <c r="H135" s="530"/>
      <c r="I135" s="530"/>
    </row>
    <row r="136" spans="1:19">
      <c r="A136" s="530"/>
      <c r="B136" s="530"/>
      <c r="C136" s="530" t="s">
        <v>646</v>
      </c>
      <c r="D136" s="530"/>
      <c r="E136" s="530"/>
      <c r="F136" s="530"/>
      <c r="G136" s="530"/>
      <c r="H136" s="530"/>
      <c r="I136" s="530"/>
    </row>
    <row r="137" spans="1:19">
      <c r="A137" s="530"/>
      <c r="B137" s="530"/>
      <c r="C137" s="533" t="s">
        <v>647</v>
      </c>
      <c r="D137" s="530"/>
      <c r="E137" s="532" t="s">
        <v>648</v>
      </c>
      <c r="F137" s="530"/>
      <c r="G137" s="530"/>
      <c r="H137" s="530"/>
      <c r="I137" s="530"/>
    </row>
    <row r="138" spans="1:19">
      <c r="A138" s="530"/>
      <c r="B138" s="530"/>
      <c r="C138" s="530"/>
      <c r="D138" s="530" t="s">
        <v>577</v>
      </c>
      <c r="E138" s="853">
        <f>E132*1.02</f>
        <v>421.16883347368423</v>
      </c>
      <c r="F138" s="853"/>
      <c r="G138" s="853"/>
      <c r="H138" s="530" t="s">
        <v>151</v>
      </c>
      <c r="I138" s="530"/>
    </row>
    <row r="139" spans="1:19">
      <c r="A139" s="530"/>
      <c r="B139" s="530"/>
      <c r="C139" s="530"/>
      <c r="D139" s="530"/>
      <c r="E139" s="530"/>
      <c r="F139" s="530"/>
      <c r="G139" s="530"/>
      <c r="H139" s="530"/>
      <c r="I139" s="530"/>
    </row>
    <row r="140" spans="1:19">
      <c r="A140" s="530"/>
      <c r="B140" s="530"/>
      <c r="C140" s="533" t="s">
        <v>649</v>
      </c>
      <c r="D140" s="530"/>
      <c r="E140" s="532" t="s">
        <v>650</v>
      </c>
      <c r="F140" s="530"/>
      <c r="G140" s="530"/>
      <c r="H140" s="530"/>
      <c r="I140" s="530"/>
    </row>
    <row r="141" spans="1:19">
      <c r="A141" s="530"/>
      <c r="B141" s="530"/>
      <c r="C141" s="530"/>
      <c r="D141" s="530" t="s">
        <v>577</v>
      </c>
      <c r="E141" s="853">
        <f>E138*1.02</f>
        <v>429.5922101431579</v>
      </c>
      <c r="F141" s="853"/>
      <c r="G141" s="853"/>
      <c r="H141" s="530" t="s">
        <v>151</v>
      </c>
      <c r="I141" s="530"/>
    </row>
    <row r="142" spans="1:19">
      <c r="A142" s="530"/>
      <c r="B142" s="530" t="s">
        <v>651</v>
      </c>
      <c r="C142" s="530"/>
      <c r="D142" s="530"/>
      <c r="E142" s="530"/>
      <c r="F142" s="530"/>
      <c r="G142" s="530"/>
      <c r="H142" s="530"/>
      <c r="I142" s="530"/>
    </row>
    <row r="143" spans="1:19" ht="15.6">
      <c r="A143" s="530"/>
      <c r="B143" s="530"/>
      <c r="C143" s="532" t="s">
        <v>1328</v>
      </c>
      <c r="D143" s="530"/>
      <c r="E143" s="532" t="s">
        <v>652</v>
      </c>
      <c r="F143" s="530"/>
      <c r="G143" s="530"/>
      <c r="H143" s="530"/>
      <c r="I143" s="530"/>
    </row>
    <row r="144" spans="1:19">
      <c r="A144" s="530"/>
      <c r="B144" s="530"/>
      <c r="C144" s="530"/>
      <c r="D144" s="530" t="s">
        <v>577</v>
      </c>
      <c r="E144" s="857">
        <f>0.15*E129</f>
        <v>58.839763499999997</v>
      </c>
      <c r="F144" s="857"/>
      <c r="G144" s="857"/>
      <c r="H144" s="530" t="s">
        <v>26</v>
      </c>
      <c r="I144" s="530"/>
    </row>
    <row r="145" spans="1:12">
      <c r="A145" s="530"/>
      <c r="B145" s="530"/>
      <c r="C145" s="530"/>
      <c r="D145" s="530"/>
      <c r="E145" s="530"/>
      <c r="F145" s="530"/>
      <c r="G145" s="530"/>
      <c r="H145" s="530"/>
      <c r="I145" s="530"/>
    </row>
    <row r="146" spans="1:12" ht="15.6">
      <c r="A146" s="530"/>
      <c r="B146" s="530"/>
      <c r="C146" s="532" t="s">
        <v>1329</v>
      </c>
      <c r="D146" s="530"/>
      <c r="E146" s="532" t="s">
        <v>1330</v>
      </c>
      <c r="F146" s="530"/>
      <c r="G146" s="530"/>
      <c r="H146" s="530"/>
      <c r="I146" s="530"/>
      <c r="L146" s="532" t="s">
        <v>1331</v>
      </c>
    </row>
    <row r="147" spans="1:12">
      <c r="A147" s="530"/>
      <c r="B147" s="530"/>
      <c r="C147" s="530"/>
      <c r="D147" s="530" t="s">
        <v>577</v>
      </c>
      <c r="E147" s="858">
        <f>E144/0.95</f>
        <v>61.936593157894734</v>
      </c>
      <c r="F147" s="858"/>
      <c r="G147" s="858"/>
      <c r="H147" s="530" t="s">
        <v>151</v>
      </c>
      <c r="I147" s="530"/>
    </row>
    <row r="148" spans="1:12">
      <c r="A148" s="530"/>
      <c r="B148" s="530"/>
      <c r="C148" s="530"/>
      <c r="D148" s="530"/>
      <c r="E148" s="530"/>
      <c r="F148" s="530"/>
      <c r="G148" s="530"/>
      <c r="H148" s="530"/>
      <c r="I148" s="530"/>
    </row>
    <row r="149" spans="1:12">
      <c r="A149" s="530"/>
      <c r="B149" s="530"/>
      <c r="C149" s="530" t="s">
        <v>653</v>
      </c>
      <c r="D149" s="530"/>
      <c r="E149" s="530"/>
      <c r="F149" s="530"/>
      <c r="G149" s="530"/>
      <c r="H149" s="530"/>
      <c r="I149" s="530"/>
    </row>
    <row r="150" spans="1:12">
      <c r="A150" s="530"/>
      <c r="B150" s="530"/>
      <c r="C150" s="534" t="s">
        <v>654</v>
      </c>
      <c r="D150" s="530"/>
      <c r="E150" s="530"/>
      <c r="F150" s="530"/>
      <c r="G150" s="530"/>
      <c r="H150" s="530"/>
      <c r="I150" s="530"/>
    </row>
    <row r="151" spans="1:12">
      <c r="A151" s="530"/>
      <c r="B151" s="530"/>
      <c r="C151" s="530"/>
      <c r="D151" s="530"/>
      <c r="E151" s="530" t="s">
        <v>655</v>
      </c>
      <c r="F151" s="858">
        <f>E147*1.04</f>
        <v>64.414056884210524</v>
      </c>
      <c r="G151" s="858"/>
      <c r="H151" s="858"/>
      <c r="I151" s="530" t="s">
        <v>151</v>
      </c>
    </row>
    <row r="152" spans="1:12">
      <c r="A152" s="530"/>
      <c r="B152" s="530"/>
      <c r="C152" s="530"/>
      <c r="D152" s="530"/>
      <c r="E152" s="530"/>
      <c r="F152" s="530"/>
      <c r="G152" s="530"/>
      <c r="H152" s="530"/>
      <c r="I152" s="530"/>
    </row>
    <row r="153" spans="1:12">
      <c r="A153" s="530"/>
      <c r="B153" s="530" t="s">
        <v>656</v>
      </c>
      <c r="C153" s="530"/>
      <c r="D153" s="530"/>
      <c r="E153" s="530"/>
      <c r="F153" s="530"/>
      <c r="G153" s="530"/>
      <c r="H153" s="530"/>
      <c r="I153" s="530"/>
    </row>
    <row r="154" spans="1:12">
      <c r="A154" s="530"/>
      <c r="B154" s="530"/>
      <c r="C154" s="535" t="s">
        <v>657</v>
      </c>
      <c r="D154" s="530" t="s">
        <v>577</v>
      </c>
      <c r="E154" s="530" t="s">
        <v>658</v>
      </c>
      <c r="F154" s="530"/>
      <c r="G154" s="530"/>
      <c r="H154" s="530"/>
      <c r="I154" s="530"/>
      <c r="L154" s="532" t="s">
        <v>1332</v>
      </c>
    </row>
    <row r="155" spans="1:12">
      <c r="A155" s="530"/>
      <c r="B155" s="530"/>
      <c r="C155" s="530"/>
      <c r="D155" s="530" t="s">
        <v>577</v>
      </c>
      <c r="E155" s="859">
        <f>E109*E111*E118*E117*10^-6</f>
        <v>1.4971949999999998</v>
      </c>
      <c r="F155" s="859"/>
      <c r="G155" s="859"/>
      <c r="H155" s="530" t="s">
        <v>26</v>
      </c>
      <c r="I155" s="530"/>
    </row>
    <row r="156" spans="1:12">
      <c r="A156" s="530"/>
      <c r="B156" s="530"/>
      <c r="C156" s="530"/>
      <c r="D156" s="530"/>
      <c r="E156" s="530"/>
      <c r="F156" s="530"/>
      <c r="G156" s="530"/>
      <c r="H156" s="530"/>
      <c r="I156" s="530"/>
    </row>
    <row r="157" spans="1:12">
      <c r="A157" s="530"/>
      <c r="B157" s="530"/>
      <c r="C157" s="535" t="s">
        <v>659</v>
      </c>
      <c r="D157" s="530" t="s">
        <v>577</v>
      </c>
      <c r="E157" s="535" t="s">
        <v>660</v>
      </c>
      <c r="F157" s="530"/>
      <c r="G157" s="530"/>
      <c r="H157" s="530"/>
      <c r="I157" s="530"/>
    </row>
    <row r="158" spans="1:12">
      <c r="A158" s="530"/>
      <c r="B158" s="530"/>
      <c r="C158" s="530"/>
      <c r="D158" s="530" t="s">
        <v>577</v>
      </c>
      <c r="E158" s="853">
        <f>E155/0.9</f>
        <v>1.6635499999999999</v>
      </c>
      <c r="F158" s="853"/>
      <c r="G158" s="853"/>
      <c r="H158" s="530" t="s">
        <v>151</v>
      </c>
      <c r="I158" s="530"/>
    </row>
    <row r="159" spans="1:12">
      <c r="A159" s="530"/>
      <c r="B159" s="530"/>
      <c r="C159" s="530"/>
      <c r="D159" s="530"/>
      <c r="E159" s="530"/>
      <c r="F159" s="530"/>
      <c r="G159" s="530"/>
      <c r="H159" s="530"/>
      <c r="I159" s="530"/>
    </row>
    <row r="160" spans="1:12">
      <c r="A160" s="530"/>
      <c r="B160" s="530"/>
      <c r="C160" s="530" t="s">
        <v>661</v>
      </c>
      <c r="D160" s="530"/>
      <c r="E160" s="530"/>
      <c r="F160" s="530"/>
      <c r="G160" s="530"/>
      <c r="H160" s="530"/>
      <c r="I160" s="530"/>
    </row>
    <row r="161" spans="1:14">
      <c r="A161" s="530"/>
      <c r="B161" s="530"/>
      <c r="C161" s="530" t="s">
        <v>662</v>
      </c>
      <c r="D161" s="530"/>
      <c r="E161" s="530"/>
      <c r="F161" s="530"/>
      <c r="G161" s="530"/>
      <c r="H161" s="530"/>
      <c r="I161" s="530"/>
    </row>
    <row r="162" spans="1:14" ht="15.6">
      <c r="A162" s="530"/>
      <c r="B162" s="530"/>
      <c r="C162" s="532" t="s">
        <v>1333</v>
      </c>
      <c r="D162" s="530" t="s">
        <v>577</v>
      </c>
      <c r="E162" s="532" t="s">
        <v>1334</v>
      </c>
      <c r="F162" s="530"/>
      <c r="G162" s="530"/>
      <c r="H162" s="530"/>
      <c r="I162" s="530"/>
    </row>
    <row r="163" spans="1:14">
      <c r="A163" s="530"/>
      <c r="B163" s="530"/>
      <c r="C163" s="530"/>
      <c r="D163" s="530" t="s">
        <v>577</v>
      </c>
      <c r="E163" s="860">
        <f>1.04*E158</f>
        <v>1.730092</v>
      </c>
      <c r="F163" s="860"/>
      <c r="G163" s="860"/>
      <c r="H163" s="530" t="s">
        <v>151</v>
      </c>
      <c r="I163" s="530"/>
    </row>
    <row r="164" spans="1:14">
      <c r="A164" s="530"/>
      <c r="B164" s="530" t="s">
        <v>663</v>
      </c>
      <c r="C164" s="530"/>
      <c r="D164" s="530"/>
      <c r="E164" s="530"/>
      <c r="F164" s="530"/>
      <c r="G164" s="530"/>
      <c r="H164" s="530"/>
      <c r="I164" s="530"/>
    </row>
    <row r="165" spans="1:14">
      <c r="A165" s="530"/>
      <c r="B165" s="530"/>
      <c r="C165" s="530" t="s">
        <v>664</v>
      </c>
      <c r="D165" s="530"/>
      <c r="E165" s="530" t="s">
        <v>430</v>
      </c>
      <c r="F165" s="532" t="s">
        <v>665</v>
      </c>
      <c r="G165" s="530"/>
    </row>
    <row r="166" spans="1:14">
      <c r="A166" s="530"/>
      <c r="B166" s="530"/>
      <c r="C166" s="530"/>
      <c r="D166" s="530"/>
      <c r="E166" s="530" t="s">
        <v>577</v>
      </c>
      <c r="F166" s="853">
        <f>(150*E117*E119)/24</f>
        <v>22734.375</v>
      </c>
      <c r="G166" s="853"/>
      <c r="H166" s="502" t="s">
        <v>196</v>
      </c>
      <c r="N166" s="532" t="s">
        <v>1335</v>
      </c>
    </row>
    <row r="167" spans="1:14">
      <c r="A167" s="530"/>
      <c r="B167" s="530"/>
      <c r="C167" s="530"/>
      <c r="D167" s="530"/>
      <c r="E167" s="530" t="s">
        <v>577</v>
      </c>
      <c r="F167" s="853">
        <f>F166/1000</f>
        <v>22.734375</v>
      </c>
      <c r="G167" s="853"/>
      <c r="H167" s="502" t="s">
        <v>151</v>
      </c>
    </row>
    <row r="168" spans="1:14">
      <c r="A168" s="530"/>
      <c r="B168" s="530"/>
      <c r="C168" s="530" t="s">
        <v>666</v>
      </c>
      <c r="D168" s="530"/>
      <c r="E168" s="530" t="s">
        <v>577</v>
      </c>
      <c r="F168" s="859">
        <f>F167/1</f>
        <v>22.734375</v>
      </c>
      <c r="G168" s="859"/>
      <c r="H168" s="502" t="s">
        <v>26</v>
      </c>
    </row>
    <row r="169" spans="1:14">
      <c r="A169" s="530"/>
      <c r="B169" s="530"/>
      <c r="C169" s="530"/>
      <c r="D169" s="530"/>
      <c r="E169" s="530"/>
      <c r="F169" s="530"/>
      <c r="G169" s="530"/>
    </row>
    <row r="170" spans="1:14">
      <c r="A170" s="530"/>
      <c r="B170" s="530" t="s">
        <v>667</v>
      </c>
      <c r="C170" s="530"/>
      <c r="D170" s="530"/>
      <c r="E170" s="530"/>
      <c r="F170" s="530"/>
      <c r="G170" s="530"/>
    </row>
    <row r="171" spans="1:14">
      <c r="A171" s="530"/>
      <c r="B171" s="530"/>
      <c r="C171" s="530" t="s">
        <v>664</v>
      </c>
      <c r="D171" s="530"/>
      <c r="E171" s="530" t="s">
        <v>430</v>
      </c>
      <c r="F171" s="532" t="s">
        <v>668</v>
      </c>
      <c r="G171" s="530"/>
    </row>
    <row r="172" spans="1:14">
      <c r="A172" s="530"/>
      <c r="B172" s="530"/>
      <c r="C172" s="530"/>
      <c r="D172" s="530"/>
      <c r="E172" s="530" t="s">
        <v>577</v>
      </c>
      <c r="F172" s="853">
        <f>(7*E117*E119)/24</f>
        <v>1060.9375</v>
      </c>
      <c r="G172" s="853"/>
      <c r="H172" s="502" t="s">
        <v>196</v>
      </c>
      <c r="N172" s="532" t="s">
        <v>1336</v>
      </c>
    </row>
    <row r="173" spans="1:14">
      <c r="A173" s="530"/>
      <c r="B173" s="530"/>
      <c r="C173" s="530"/>
      <c r="D173" s="530"/>
      <c r="E173" s="530" t="s">
        <v>577</v>
      </c>
      <c r="F173" s="853">
        <f>F172/1000</f>
        <v>1.0609375000000001</v>
      </c>
      <c r="G173" s="853"/>
      <c r="H173" s="502" t="s">
        <v>151</v>
      </c>
    </row>
    <row r="174" spans="1:14">
      <c r="A174" s="530"/>
      <c r="B174" s="530"/>
      <c r="C174" s="530" t="s">
        <v>666</v>
      </c>
      <c r="D174" s="530"/>
      <c r="E174" s="530" t="s">
        <v>577</v>
      </c>
      <c r="F174" s="859">
        <f>F173/1</f>
        <v>1.0609375000000001</v>
      </c>
      <c r="G174" s="859"/>
      <c r="H174" s="502" t="s">
        <v>26</v>
      </c>
      <c r="N174" s="502" t="s">
        <v>669</v>
      </c>
    </row>
    <row r="175" spans="1:14">
      <c r="A175" s="530"/>
      <c r="B175" s="530" t="s">
        <v>670</v>
      </c>
      <c r="C175" s="530"/>
      <c r="D175" s="530"/>
      <c r="E175" s="530"/>
      <c r="F175" s="530"/>
      <c r="G175" s="530"/>
      <c r="H175" s="530"/>
      <c r="I175" s="530"/>
    </row>
    <row r="176" spans="1:14" ht="28.8">
      <c r="A176" s="530"/>
      <c r="B176" s="530"/>
      <c r="C176" s="545" t="s">
        <v>1344</v>
      </c>
      <c r="D176" s="530"/>
      <c r="E176" s="530" t="s">
        <v>671</v>
      </c>
      <c r="F176" s="530"/>
      <c r="G176" s="530" t="s">
        <v>577</v>
      </c>
      <c r="H176" s="530">
        <v>80</v>
      </c>
      <c r="I176" s="530"/>
    </row>
    <row r="177" spans="1:18">
      <c r="A177" s="530"/>
      <c r="B177" s="530"/>
      <c r="C177" s="530"/>
      <c r="D177" s="530"/>
      <c r="E177" s="540" t="s">
        <v>672</v>
      </c>
      <c r="F177" s="530"/>
      <c r="G177" s="530" t="s">
        <v>577</v>
      </c>
      <c r="H177" s="530" t="s">
        <v>673</v>
      </c>
      <c r="I177" s="530"/>
    </row>
    <row r="178" spans="1:18">
      <c r="A178" s="530"/>
      <c r="B178" s="530"/>
      <c r="C178" s="530"/>
      <c r="D178" s="530"/>
      <c r="E178" s="530"/>
      <c r="F178" s="530"/>
      <c r="G178" s="530"/>
      <c r="H178" s="530"/>
      <c r="I178" s="530"/>
      <c r="Q178" s="502">
        <v>76</v>
      </c>
    </row>
    <row r="179" spans="1:18">
      <c r="A179" s="530"/>
      <c r="B179" s="530"/>
      <c r="C179" s="530" t="s">
        <v>674</v>
      </c>
      <c r="D179" s="530"/>
      <c r="E179" s="530" t="s">
        <v>675</v>
      </c>
      <c r="F179" s="530"/>
      <c r="G179" s="530"/>
      <c r="H179" s="530"/>
      <c r="I179" s="530"/>
      <c r="Q179" s="502">
        <f>Q178/2</f>
        <v>38</v>
      </c>
      <c r="R179" s="502" t="s">
        <v>4</v>
      </c>
    </row>
    <row r="180" spans="1:18">
      <c r="A180" s="530"/>
      <c r="B180" s="530"/>
      <c r="C180" s="530"/>
      <c r="D180" s="530" t="s">
        <v>676</v>
      </c>
      <c r="E180" s="853">
        <f>100*E119</f>
        <v>2000</v>
      </c>
      <c r="F180" s="853"/>
      <c r="G180" s="530" t="s">
        <v>346</v>
      </c>
      <c r="H180" s="530"/>
      <c r="I180" s="530"/>
      <c r="Q180" s="502">
        <f>2*22/7*Q179^2</f>
        <v>9076.5714285714275</v>
      </c>
      <c r="R180" s="502" t="s">
        <v>1345</v>
      </c>
    </row>
    <row r="181" spans="1:18">
      <c r="A181" s="530"/>
      <c r="B181" s="530"/>
      <c r="C181" s="530"/>
      <c r="D181" s="530" t="s">
        <v>676</v>
      </c>
      <c r="E181" s="859">
        <f>E180/1000</f>
        <v>2</v>
      </c>
      <c r="F181" s="859"/>
      <c r="G181" s="530" t="s">
        <v>26</v>
      </c>
      <c r="H181" s="530"/>
      <c r="I181" s="530"/>
      <c r="P181" s="502" t="s">
        <v>587</v>
      </c>
      <c r="Q181" s="502">
        <v>49</v>
      </c>
    </row>
    <row r="182" spans="1:18">
      <c r="A182" s="530"/>
      <c r="B182" s="530"/>
      <c r="C182" s="530"/>
      <c r="D182" s="530"/>
      <c r="E182" s="530"/>
      <c r="F182" s="530"/>
      <c r="G182" s="530"/>
      <c r="H182" s="530"/>
      <c r="I182" s="530"/>
      <c r="Q182" s="502">
        <f>Q180*Q181</f>
        <v>444751.99999999994</v>
      </c>
      <c r="R182" s="502" t="s">
        <v>1337</v>
      </c>
    </row>
    <row r="183" spans="1:18">
      <c r="A183" s="530"/>
      <c r="B183" s="530" t="s">
        <v>677</v>
      </c>
      <c r="C183" s="530"/>
      <c r="D183" s="530"/>
      <c r="E183" s="530"/>
      <c r="F183" s="530"/>
      <c r="G183" s="530"/>
      <c r="H183" s="530"/>
      <c r="I183" s="530"/>
    </row>
    <row r="184" spans="1:18">
      <c r="A184" s="530"/>
      <c r="B184" s="530"/>
      <c r="C184" s="530" t="s">
        <v>678</v>
      </c>
      <c r="D184" s="530" t="s">
        <v>577</v>
      </c>
      <c r="E184" s="530" t="s">
        <v>679</v>
      </c>
      <c r="F184" s="530"/>
      <c r="G184" s="530"/>
      <c r="H184" s="530"/>
      <c r="I184" s="530"/>
    </row>
    <row r="185" spans="1:18">
      <c r="A185" s="530"/>
      <c r="B185" s="530"/>
      <c r="C185" s="530"/>
      <c r="D185" s="530" t="s">
        <v>577</v>
      </c>
      <c r="E185" s="853">
        <f>(5*E119*E117)/24</f>
        <v>757.8125</v>
      </c>
      <c r="F185" s="853"/>
      <c r="G185" s="530" t="s">
        <v>346</v>
      </c>
      <c r="H185" s="530"/>
      <c r="I185" s="530"/>
    </row>
    <row r="186" spans="1:18">
      <c r="A186" s="530"/>
      <c r="B186" s="530"/>
      <c r="C186" s="530"/>
      <c r="D186" s="530" t="s">
        <v>577</v>
      </c>
      <c r="E186" s="859">
        <f>E185/1000</f>
        <v>0.7578125</v>
      </c>
      <c r="F186" s="859"/>
      <c r="G186" s="530" t="s">
        <v>26</v>
      </c>
      <c r="H186" s="530"/>
      <c r="I186" s="530"/>
    </row>
    <row r="187" spans="1:18">
      <c r="A187" s="530"/>
      <c r="B187" s="530"/>
      <c r="C187" s="530"/>
      <c r="D187" s="530"/>
      <c r="E187" s="530"/>
      <c r="F187" s="530"/>
      <c r="G187" s="530"/>
      <c r="H187" s="530"/>
      <c r="I187" s="530"/>
    </row>
    <row r="188" spans="1:18">
      <c r="A188" s="530"/>
      <c r="B188" s="530" t="s">
        <v>680</v>
      </c>
      <c r="C188" s="530"/>
      <c r="D188" s="530"/>
      <c r="E188" s="530"/>
      <c r="F188" s="530"/>
      <c r="G188" s="530"/>
      <c r="H188" s="530"/>
      <c r="I188" s="530"/>
    </row>
    <row r="189" spans="1:18">
      <c r="A189" s="530"/>
      <c r="B189" s="530"/>
      <c r="C189" s="530" t="s">
        <v>681</v>
      </c>
      <c r="D189" s="530" t="s">
        <v>577</v>
      </c>
      <c r="E189" s="530" t="s">
        <v>682</v>
      </c>
      <c r="F189" s="530"/>
      <c r="G189" s="530"/>
      <c r="H189" s="530"/>
      <c r="I189" s="530"/>
    </row>
    <row r="190" spans="1:18" ht="14.1" customHeight="1">
      <c r="A190" s="530"/>
      <c r="B190" s="530"/>
      <c r="C190" s="530"/>
      <c r="D190" s="530" t="s">
        <v>577</v>
      </c>
      <c r="E190" s="859">
        <f>1.5%*DISP!J30</f>
        <v>361.2979158899999</v>
      </c>
      <c r="F190" s="859"/>
      <c r="G190" s="530" t="s">
        <v>26</v>
      </c>
      <c r="H190" s="530"/>
      <c r="I190" s="530"/>
    </row>
    <row r="191" spans="1:18">
      <c r="A191" s="530"/>
      <c r="B191" s="530"/>
      <c r="C191" s="530"/>
      <c r="D191" s="530"/>
      <c r="E191" s="853"/>
      <c r="F191" s="853"/>
      <c r="G191" s="530"/>
      <c r="H191" s="530"/>
      <c r="I191" s="530"/>
    </row>
    <row r="192" spans="1:18">
      <c r="A192" s="530"/>
      <c r="B192" s="530" t="s">
        <v>683</v>
      </c>
      <c r="C192" s="530"/>
      <c r="D192" s="530"/>
      <c r="E192" s="530"/>
      <c r="F192" s="530"/>
      <c r="G192" s="530"/>
      <c r="H192" s="530"/>
      <c r="I192" s="530"/>
    </row>
    <row r="193" spans="1:24">
      <c r="A193" s="530"/>
      <c r="B193" s="530"/>
      <c r="C193" s="530" t="s">
        <v>684</v>
      </c>
      <c r="D193" s="530"/>
      <c r="E193" s="530"/>
      <c r="F193" s="530"/>
      <c r="G193" s="530"/>
      <c r="H193" s="530"/>
      <c r="I193" s="530"/>
    </row>
    <row r="194" spans="1:24">
      <c r="A194" s="530"/>
      <c r="B194" s="530"/>
      <c r="C194" s="530"/>
      <c r="D194" s="530"/>
      <c r="E194" s="530" t="s">
        <v>816</v>
      </c>
      <c r="F194" s="530"/>
      <c r="G194" s="530" t="s">
        <v>430</v>
      </c>
      <c r="H194" s="859">
        <f>E186+E181+F168+E155+E144+E129+E190+F174</f>
        <v>840.45308938999995</v>
      </c>
      <c r="I194" s="859"/>
      <c r="J194" s="502" t="s">
        <v>26</v>
      </c>
    </row>
    <row r="195" spans="1:24">
      <c r="A195" s="530"/>
      <c r="B195" s="530"/>
      <c r="C195" s="530"/>
      <c r="D195" s="530"/>
      <c r="E195" s="530"/>
      <c r="F195" s="530"/>
      <c r="G195" s="530"/>
      <c r="H195" s="530"/>
      <c r="I195" s="530"/>
    </row>
    <row r="196" spans="1:24">
      <c r="A196" s="530"/>
      <c r="B196" s="530"/>
      <c r="C196" s="530"/>
      <c r="D196" s="530"/>
      <c r="E196" s="530"/>
      <c r="F196" s="530"/>
      <c r="G196" s="530"/>
      <c r="H196" s="530"/>
      <c r="I196" s="530"/>
    </row>
    <row r="197" spans="1:24">
      <c r="A197" s="530"/>
      <c r="B197" s="530"/>
      <c r="C197" s="530" t="s">
        <v>1346</v>
      </c>
      <c r="D197" s="530"/>
      <c r="E197" s="530"/>
      <c r="F197" s="530"/>
      <c r="G197" s="530"/>
      <c r="H197" s="530"/>
      <c r="I197" s="530"/>
    </row>
    <row r="198" spans="1:24">
      <c r="A198" s="530"/>
      <c r="B198" s="530"/>
      <c r="C198" s="530" t="s">
        <v>1347</v>
      </c>
      <c r="D198" s="530"/>
      <c r="E198" s="530"/>
      <c r="F198" s="530"/>
      <c r="G198" s="530"/>
      <c r="H198" s="530"/>
      <c r="I198" s="530"/>
    </row>
    <row r="199" spans="1:24">
      <c r="A199" s="530"/>
      <c r="B199" s="530"/>
      <c r="C199" s="530" t="s">
        <v>1348</v>
      </c>
      <c r="D199" s="530"/>
      <c r="E199" s="530"/>
      <c r="F199" s="530"/>
      <c r="G199" s="530"/>
      <c r="H199" s="530"/>
      <c r="I199" s="530"/>
    </row>
    <row r="200" spans="1:24">
      <c r="A200" s="530"/>
      <c r="B200" s="530"/>
      <c r="C200" s="530" t="s">
        <v>587</v>
      </c>
      <c r="D200" s="530" t="s">
        <v>63</v>
      </c>
      <c r="E200" s="530" t="s">
        <v>1349</v>
      </c>
      <c r="F200" s="530"/>
      <c r="G200" s="530"/>
      <c r="H200" s="530"/>
      <c r="I200" s="530"/>
    </row>
    <row r="201" spans="1:24">
      <c r="A201" s="530"/>
      <c r="B201" s="530"/>
      <c r="C201" s="530"/>
      <c r="D201" s="530" t="s">
        <v>63</v>
      </c>
      <c r="E201" s="530"/>
      <c r="F201" s="530"/>
      <c r="G201" s="530"/>
      <c r="H201" s="530"/>
      <c r="I201" s="530"/>
    </row>
    <row r="202" spans="1:24">
      <c r="A202" s="530"/>
      <c r="B202" s="530"/>
      <c r="C202" s="530" t="s">
        <v>1350</v>
      </c>
      <c r="D202" s="530"/>
      <c r="E202" s="530"/>
      <c r="F202" s="530"/>
      <c r="G202" s="530"/>
      <c r="H202" s="530"/>
      <c r="I202" s="530"/>
    </row>
    <row r="203" spans="1:24" ht="14.4" customHeight="1">
      <c r="A203" s="530"/>
      <c r="B203" s="530"/>
      <c r="C203" s="530" t="s">
        <v>587</v>
      </c>
      <c r="D203" s="530" t="s">
        <v>63</v>
      </c>
      <c r="E203" s="530" t="s">
        <v>1351</v>
      </c>
      <c r="F203" s="530"/>
      <c r="G203" s="530"/>
      <c r="H203" s="530"/>
      <c r="I203" s="530"/>
    </row>
    <row r="204" spans="1:24" ht="14.4" customHeight="1">
      <c r="A204" s="530"/>
      <c r="B204" s="530"/>
      <c r="C204" s="530"/>
      <c r="D204" s="530" t="s">
        <v>63</v>
      </c>
      <c r="E204" s="530"/>
      <c r="F204" s="530"/>
      <c r="G204" s="530"/>
      <c r="H204" s="530"/>
      <c r="I204" s="530"/>
    </row>
    <row r="205" spans="1:24">
      <c r="A205" s="530"/>
      <c r="B205" s="530"/>
      <c r="C205" s="530" t="s">
        <v>1352</v>
      </c>
      <c r="D205" s="530"/>
      <c r="E205" s="530"/>
      <c r="F205" s="530"/>
      <c r="G205" s="530"/>
      <c r="H205" s="530"/>
      <c r="I205" s="530"/>
    </row>
    <row r="206" spans="1:24">
      <c r="A206" s="530"/>
      <c r="B206" s="530"/>
      <c r="C206" s="530" t="s">
        <v>587</v>
      </c>
      <c r="D206" s="530" t="s">
        <v>63</v>
      </c>
      <c r="E206" s="530" t="s">
        <v>1354</v>
      </c>
      <c r="F206" s="530"/>
      <c r="G206" s="530"/>
      <c r="H206" s="530"/>
      <c r="I206" s="530"/>
      <c r="W206" s="851"/>
      <c r="X206" s="851"/>
    </row>
    <row r="207" spans="1:24">
      <c r="A207" s="530"/>
      <c r="B207" s="530"/>
      <c r="C207" s="530"/>
      <c r="D207" s="530" t="s">
        <v>63</v>
      </c>
      <c r="E207" s="530"/>
      <c r="F207" s="530"/>
      <c r="G207" s="530"/>
      <c r="H207" s="530"/>
      <c r="I207" s="530"/>
    </row>
    <row r="208" spans="1:24" ht="15.6">
      <c r="A208" s="536"/>
      <c r="B208" s="536"/>
      <c r="C208" s="536" t="s">
        <v>1353</v>
      </c>
      <c r="D208" s="536"/>
      <c r="E208" s="536"/>
      <c r="F208" s="536"/>
      <c r="G208" s="530"/>
      <c r="H208" s="530"/>
    </row>
    <row r="209" spans="1:9" ht="15.6">
      <c r="A209" s="536"/>
      <c r="B209" s="536"/>
      <c r="C209" s="536" t="s">
        <v>587</v>
      </c>
      <c r="D209" s="536" t="s">
        <v>63</v>
      </c>
      <c r="E209" s="536" t="s">
        <v>1355</v>
      </c>
      <c r="F209" s="536"/>
      <c r="G209" s="530"/>
      <c r="H209" s="530"/>
      <c r="I209" s="530"/>
    </row>
    <row r="210" spans="1:9">
      <c r="A210" s="530"/>
      <c r="B210" s="530"/>
      <c r="C210" s="530"/>
      <c r="D210" s="530" t="s">
        <v>63</v>
      </c>
      <c r="E210" s="530"/>
      <c r="F210" s="530"/>
      <c r="G210" s="530"/>
      <c r="H210" s="530"/>
      <c r="I210" s="530"/>
    </row>
    <row r="211" spans="1:9" ht="15.6">
      <c r="A211" s="530"/>
      <c r="B211" s="529"/>
      <c r="C211" s="530"/>
      <c r="D211" s="530"/>
      <c r="E211" s="530"/>
      <c r="F211" s="530"/>
      <c r="G211" s="530"/>
      <c r="H211" s="530"/>
      <c r="I211" s="530"/>
    </row>
    <row r="212" spans="1:9" ht="15.6">
      <c r="A212" s="530"/>
      <c r="B212" s="529"/>
      <c r="C212" s="530"/>
      <c r="D212" s="530"/>
      <c r="E212" s="530"/>
      <c r="F212" s="530"/>
      <c r="G212" s="530"/>
      <c r="H212" s="530"/>
      <c r="I212" s="530"/>
    </row>
    <row r="213" spans="1:9" ht="15.6">
      <c r="A213" s="530"/>
      <c r="B213" s="529"/>
      <c r="C213" s="530" t="s">
        <v>1356</v>
      </c>
      <c r="D213" s="530"/>
      <c r="E213" s="530"/>
      <c r="F213" s="530"/>
      <c r="G213" s="530"/>
      <c r="I213" s="530"/>
    </row>
    <row r="214" spans="1:9" ht="15.6">
      <c r="A214" s="530"/>
      <c r="B214" s="529"/>
      <c r="C214" s="530" t="s">
        <v>1357</v>
      </c>
      <c r="D214" s="530"/>
      <c r="E214" s="530"/>
      <c r="F214" s="530"/>
      <c r="G214" s="530"/>
      <c r="I214" s="530"/>
    </row>
    <row r="215" spans="1:9" ht="28.8">
      <c r="A215" s="530"/>
      <c r="B215" s="529"/>
      <c r="C215" s="545" t="s">
        <v>1358</v>
      </c>
      <c r="D215" s="530" t="s">
        <v>1235</v>
      </c>
      <c r="E215" s="530" t="s">
        <v>1361</v>
      </c>
      <c r="F215" s="530"/>
      <c r="G215" s="530"/>
      <c r="H215" s="530"/>
      <c r="I215" s="530"/>
    </row>
    <row r="216" spans="1:9" ht="15.6">
      <c r="A216" s="530"/>
      <c r="B216" s="529"/>
      <c r="D216" s="502" t="s">
        <v>63</v>
      </c>
      <c r="F216" s="530"/>
      <c r="G216" s="530"/>
      <c r="H216" s="530"/>
      <c r="I216" s="530"/>
    </row>
    <row r="217" spans="1:9" ht="43.2">
      <c r="A217" s="530"/>
      <c r="B217" s="530"/>
      <c r="C217" s="545" t="s">
        <v>1359</v>
      </c>
      <c r="D217" s="530" t="s">
        <v>1235</v>
      </c>
      <c r="E217" s="530" t="s">
        <v>1360</v>
      </c>
      <c r="F217" s="522"/>
      <c r="G217" s="522"/>
      <c r="H217" s="522"/>
      <c r="I217" s="522"/>
    </row>
    <row r="218" spans="1:9">
      <c r="A218" s="530"/>
      <c r="B218" s="530"/>
      <c r="C218" s="530"/>
      <c r="D218" s="530" t="s">
        <v>63</v>
      </c>
      <c r="E218" s="530"/>
      <c r="F218" s="522"/>
      <c r="G218" s="522"/>
      <c r="H218" s="522"/>
      <c r="I218" s="522"/>
    </row>
    <row r="219" spans="1:9">
      <c r="A219" s="530"/>
      <c r="B219" s="530"/>
      <c r="C219" s="530" t="s">
        <v>1362</v>
      </c>
      <c r="D219" s="530"/>
      <c r="E219" s="530"/>
      <c r="F219" s="530"/>
      <c r="G219" s="530"/>
      <c r="H219" s="530"/>
      <c r="I219" s="530"/>
    </row>
    <row r="220" spans="1:9">
      <c r="A220" s="530"/>
      <c r="B220" s="530"/>
      <c r="C220" s="530"/>
      <c r="D220" s="530"/>
      <c r="E220" s="530"/>
      <c r="F220" s="530"/>
      <c r="G220" s="530"/>
      <c r="H220" s="530"/>
      <c r="I220" s="530"/>
    </row>
    <row r="221" spans="1:9">
      <c r="A221" s="530"/>
      <c r="B221" s="530"/>
      <c r="C221" s="530"/>
      <c r="D221" s="530"/>
      <c r="E221" s="530"/>
      <c r="F221" s="530"/>
      <c r="G221" s="530"/>
      <c r="H221" s="530"/>
      <c r="I221" s="530"/>
    </row>
    <row r="222" spans="1:9" ht="15.6">
      <c r="A222" s="536"/>
      <c r="B222" s="536"/>
      <c r="C222" s="538"/>
      <c r="D222" s="530"/>
      <c r="E222" s="530"/>
      <c r="F222" s="530"/>
      <c r="G222" s="530"/>
      <c r="H222" s="530"/>
      <c r="I222" s="530"/>
    </row>
    <row r="223" spans="1:9" ht="16.5" customHeight="1">
      <c r="A223" s="530"/>
      <c r="B223" s="530"/>
      <c r="C223" s="530"/>
      <c r="D223" s="530"/>
      <c r="E223" s="530"/>
      <c r="F223" s="530"/>
      <c r="G223" s="530"/>
      <c r="H223" s="530"/>
      <c r="I223" s="530"/>
    </row>
    <row r="224" spans="1:9">
      <c r="A224" s="530"/>
      <c r="B224" s="530"/>
      <c r="C224" s="530"/>
      <c r="D224" s="530"/>
      <c r="E224" s="530"/>
      <c r="F224" s="530"/>
      <c r="G224" s="530"/>
      <c r="H224" s="530"/>
      <c r="I224" s="530"/>
    </row>
    <row r="225" spans="1:9" ht="15.6">
      <c r="A225" s="865"/>
      <c r="B225" s="865"/>
      <c r="C225" s="530"/>
      <c r="D225" s="536"/>
      <c r="E225" s="530"/>
      <c r="F225" s="530"/>
      <c r="G225" s="530"/>
      <c r="H225" s="530"/>
      <c r="I225" s="530"/>
    </row>
    <row r="226" spans="1:9">
      <c r="A226" s="530"/>
      <c r="B226" s="530"/>
      <c r="C226" s="530"/>
      <c r="D226" s="530"/>
      <c r="E226" s="530"/>
      <c r="F226" s="522"/>
      <c r="G226" s="522"/>
      <c r="H226" s="522"/>
      <c r="I226" s="522"/>
    </row>
    <row r="227" spans="1:9" ht="15.6">
      <c r="A227" s="536"/>
      <c r="B227" s="530"/>
      <c r="C227" s="529"/>
      <c r="D227" s="530"/>
      <c r="E227" s="530"/>
      <c r="F227" s="522"/>
      <c r="G227" s="522"/>
      <c r="H227" s="522"/>
      <c r="I227" s="522"/>
    </row>
    <row r="228" spans="1:9">
      <c r="A228" s="530"/>
      <c r="B228" s="530"/>
      <c r="C228" s="530"/>
      <c r="D228" s="530"/>
      <c r="E228" s="530"/>
      <c r="F228" s="530"/>
      <c r="G228" s="530"/>
      <c r="H228" s="530"/>
      <c r="I228" s="530"/>
    </row>
    <row r="229" spans="1:9">
      <c r="A229" s="863"/>
      <c r="B229" s="863"/>
      <c r="C229" s="863"/>
      <c r="D229" s="863"/>
      <c r="E229" s="863"/>
      <c r="F229" s="863"/>
      <c r="G229" s="863"/>
      <c r="H229" s="863"/>
      <c r="I229" s="863"/>
    </row>
    <row r="230" spans="1:9">
      <c r="A230" s="530"/>
      <c r="B230" s="530"/>
      <c r="C230" s="530"/>
      <c r="D230" s="530"/>
      <c r="E230" s="530"/>
      <c r="F230" s="530"/>
      <c r="G230" s="530"/>
      <c r="H230" s="530"/>
      <c r="I230" s="530"/>
    </row>
    <row r="231" spans="1:9" ht="15.6">
      <c r="A231" s="536"/>
      <c r="B231" s="861"/>
      <c r="C231" s="861"/>
      <c r="D231" s="536"/>
      <c r="E231" s="530"/>
      <c r="F231" s="530"/>
      <c r="G231" s="530"/>
      <c r="H231" s="530"/>
      <c r="I231" s="530"/>
    </row>
    <row r="232" spans="1:9" ht="15.6">
      <c r="A232" s="536"/>
      <c r="B232" s="530"/>
      <c r="C232" s="530"/>
      <c r="D232" s="536"/>
      <c r="E232" s="530"/>
      <c r="F232" s="530"/>
      <c r="G232" s="530"/>
      <c r="H232" s="530"/>
      <c r="I232" s="530"/>
    </row>
    <row r="233" spans="1:9" ht="15.6">
      <c r="A233" s="536"/>
      <c r="B233" s="536"/>
      <c r="C233" s="530"/>
      <c r="D233" s="536"/>
      <c r="E233" s="530"/>
      <c r="F233" s="530"/>
      <c r="G233" s="530"/>
      <c r="H233" s="530"/>
      <c r="I233" s="530"/>
    </row>
    <row r="234" spans="1:9" ht="15.6">
      <c r="A234" s="536"/>
      <c r="B234" s="530"/>
      <c r="C234" s="530"/>
      <c r="D234" s="536"/>
      <c r="E234" s="530"/>
      <c r="F234" s="530"/>
      <c r="G234" s="530"/>
      <c r="H234" s="530"/>
      <c r="I234" s="530"/>
    </row>
    <row r="235" spans="1:9" ht="15.6">
      <c r="A235" s="529"/>
      <c r="B235" s="530"/>
      <c r="C235" s="536"/>
      <c r="D235" s="536"/>
      <c r="E235" s="536"/>
      <c r="F235" s="536"/>
      <c r="G235" s="536"/>
      <c r="H235" s="530"/>
      <c r="I235" s="530"/>
    </row>
    <row r="236" spans="1:9" ht="15.6">
      <c r="A236" s="529"/>
      <c r="B236" s="530"/>
      <c r="C236" s="530"/>
      <c r="D236" s="536"/>
      <c r="E236" s="536"/>
      <c r="F236" s="536"/>
      <c r="G236" s="536"/>
      <c r="H236" s="530"/>
      <c r="I236" s="530"/>
    </row>
    <row r="237" spans="1:9">
      <c r="A237" s="530"/>
      <c r="B237" s="530"/>
      <c r="C237" s="530"/>
      <c r="D237" s="530"/>
      <c r="E237" s="530"/>
      <c r="F237" s="530"/>
      <c r="G237" s="530"/>
      <c r="H237" s="530"/>
      <c r="I237" s="530"/>
    </row>
    <row r="238" spans="1:9">
      <c r="A238" s="530"/>
      <c r="B238" s="530"/>
      <c r="C238" s="530"/>
      <c r="D238" s="530"/>
      <c r="E238" s="530"/>
      <c r="F238" s="530"/>
      <c r="G238" s="530"/>
      <c r="H238" s="530"/>
      <c r="I238" s="530"/>
    </row>
    <row r="239" spans="1:9">
      <c r="A239" s="530"/>
      <c r="B239" s="530"/>
      <c r="C239" s="530"/>
      <c r="D239" s="530"/>
      <c r="E239" s="530"/>
      <c r="F239" s="530"/>
      <c r="G239" s="530"/>
      <c r="H239" s="530"/>
      <c r="I239" s="530"/>
    </row>
    <row r="240" spans="1:9" ht="15.6">
      <c r="A240" s="529"/>
      <c r="B240" s="536"/>
      <c r="C240" s="536"/>
      <c r="D240" s="536"/>
      <c r="E240" s="536"/>
      <c r="F240" s="862"/>
      <c r="G240" s="862"/>
      <c r="H240" s="862"/>
      <c r="I240" s="862"/>
    </row>
    <row r="241" spans="1:9" ht="15.6">
      <c r="A241" s="529"/>
      <c r="B241" s="536"/>
      <c r="C241" s="536"/>
      <c r="D241" s="536"/>
      <c r="E241" s="536"/>
      <c r="F241" s="862"/>
      <c r="G241" s="862"/>
      <c r="H241" s="862"/>
      <c r="I241" s="862"/>
    </row>
    <row r="242" spans="1:9" ht="15.6">
      <c r="A242" s="536"/>
      <c r="B242" s="536"/>
      <c r="C242" s="536"/>
      <c r="D242" s="536"/>
      <c r="E242" s="536"/>
      <c r="F242" s="536"/>
      <c r="G242" s="536"/>
      <c r="H242" s="536"/>
      <c r="I242" s="536"/>
    </row>
    <row r="243" spans="1:9" ht="15.6">
      <c r="A243" s="529"/>
      <c r="B243" s="538"/>
      <c r="C243" s="536"/>
      <c r="D243" s="536"/>
      <c r="E243" s="536"/>
      <c r="F243" s="536"/>
      <c r="G243" s="536"/>
      <c r="H243" s="536"/>
      <c r="I243" s="536"/>
    </row>
    <row r="244" spans="1:9">
      <c r="A244" s="530"/>
      <c r="B244" s="530"/>
      <c r="C244" s="530"/>
      <c r="D244" s="530"/>
      <c r="E244" s="530"/>
      <c r="F244" s="530"/>
      <c r="G244" s="530"/>
      <c r="H244" s="530"/>
      <c r="I244" s="530"/>
    </row>
    <row r="245" spans="1:9">
      <c r="A245" s="863"/>
      <c r="B245" s="863"/>
      <c r="C245" s="863"/>
      <c r="D245" s="863"/>
      <c r="E245" s="863"/>
      <c r="F245" s="863"/>
      <c r="G245" s="863"/>
      <c r="H245" s="863"/>
      <c r="I245" s="863"/>
    </row>
    <row r="246" spans="1:9">
      <c r="A246" s="530"/>
      <c r="B246" s="530"/>
      <c r="C246" s="530"/>
      <c r="D246" s="530"/>
      <c r="E246" s="530"/>
      <c r="F246" s="530"/>
      <c r="G246" s="530"/>
      <c r="H246" s="530"/>
      <c r="I246" s="530"/>
    </row>
    <row r="247" spans="1:9" ht="15.6">
      <c r="A247" s="864"/>
      <c r="B247" s="864"/>
      <c r="C247" s="536"/>
      <c r="D247" s="536"/>
      <c r="E247" s="536"/>
      <c r="F247" s="862"/>
      <c r="G247" s="862"/>
      <c r="H247" s="862"/>
      <c r="I247" s="862"/>
    </row>
    <row r="248" spans="1:9" ht="15.6">
      <c r="A248" s="864"/>
      <c r="B248" s="864"/>
      <c r="C248" s="864"/>
      <c r="D248" s="538"/>
      <c r="E248" s="536"/>
      <c r="F248" s="862"/>
      <c r="G248" s="862"/>
      <c r="H248" s="862"/>
      <c r="I248" s="862"/>
    </row>
    <row r="249" spans="1:9" ht="15.6">
      <c r="A249" s="864"/>
      <c r="B249" s="864"/>
      <c r="C249" s="538"/>
      <c r="D249" s="536"/>
      <c r="E249" s="538"/>
      <c r="F249" s="538"/>
      <c r="G249" s="536"/>
      <c r="H249" s="536"/>
      <c r="I249" s="536"/>
    </row>
    <row r="250" spans="1:9">
      <c r="A250" s="530"/>
      <c r="B250" s="530"/>
      <c r="C250" s="530"/>
      <c r="D250" s="530"/>
      <c r="E250" s="530"/>
      <c r="F250" s="530"/>
      <c r="G250" s="530"/>
      <c r="H250" s="530"/>
      <c r="I250" s="530"/>
    </row>
    <row r="251" spans="1:9">
      <c r="A251" s="530"/>
      <c r="B251" s="530"/>
      <c r="C251" s="530"/>
      <c r="D251" s="530"/>
      <c r="E251" s="530"/>
      <c r="F251" s="530"/>
      <c r="G251" s="530"/>
      <c r="H251" s="530"/>
      <c r="I251" s="530"/>
    </row>
    <row r="252" spans="1:9" ht="15.6">
      <c r="A252" s="864"/>
      <c r="B252" s="864"/>
      <c r="C252" s="536"/>
      <c r="D252" s="536"/>
      <c r="E252" s="536"/>
      <c r="F252" s="536"/>
      <c r="G252" s="536"/>
      <c r="H252" s="536"/>
      <c r="I252" s="536"/>
    </row>
    <row r="253" spans="1:9" ht="15.6">
      <c r="A253" s="864"/>
      <c r="B253" s="864"/>
      <c r="C253" s="538"/>
      <c r="D253" s="538"/>
      <c r="E253" s="538"/>
      <c r="F253" s="536"/>
      <c r="G253" s="536"/>
      <c r="H253" s="536"/>
      <c r="I253" s="536"/>
    </row>
    <row r="254" spans="1:9" ht="15.6">
      <c r="A254" s="536"/>
      <c r="B254" s="536"/>
      <c r="C254" s="536"/>
      <c r="D254" s="536"/>
      <c r="E254" s="536"/>
      <c r="F254" s="536"/>
      <c r="G254" s="536"/>
      <c r="H254" s="536"/>
      <c r="I254" s="536"/>
    </row>
    <row r="255" spans="1:9">
      <c r="A255" s="530"/>
      <c r="B255" s="530"/>
      <c r="C255" s="530"/>
      <c r="D255" s="530"/>
      <c r="E255" s="530"/>
      <c r="F255" s="530"/>
      <c r="G255" s="530"/>
      <c r="H255" s="530"/>
      <c r="I255" s="530"/>
    </row>
    <row r="256" spans="1:9">
      <c r="A256" s="863"/>
      <c r="B256" s="863"/>
      <c r="C256" s="863"/>
      <c r="D256" s="863"/>
      <c r="E256" s="863"/>
      <c r="F256" s="863"/>
      <c r="G256" s="863"/>
      <c r="H256" s="863"/>
      <c r="I256" s="863"/>
    </row>
    <row r="257" spans="1:9">
      <c r="A257" s="530"/>
      <c r="B257" s="530"/>
      <c r="C257" s="530"/>
      <c r="D257" s="530"/>
      <c r="E257" s="530"/>
      <c r="F257" s="530"/>
      <c r="G257" s="530"/>
      <c r="H257" s="530"/>
      <c r="I257" s="530"/>
    </row>
    <row r="258" spans="1:9" ht="15.6">
      <c r="A258" s="529"/>
      <c r="B258" s="536"/>
      <c r="C258" s="536"/>
      <c r="D258" s="536"/>
      <c r="E258" s="536"/>
      <c r="F258" s="536"/>
      <c r="G258" s="862"/>
      <c r="H258" s="862"/>
      <c r="I258" s="862"/>
    </row>
    <row r="259" spans="1:9" ht="15.6">
      <c r="A259" s="529"/>
      <c r="B259" s="536"/>
      <c r="C259" s="536"/>
      <c r="D259" s="536"/>
      <c r="E259" s="536"/>
      <c r="F259" s="536"/>
      <c r="G259" s="862"/>
      <c r="H259" s="862"/>
      <c r="I259" s="862"/>
    </row>
    <row r="260" spans="1:9" ht="15.6">
      <c r="A260" s="536"/>
      <c r="B260" s="536"/>
      <c r="C260" s="536"/>
      <c r="D260" s="536"/>
      <c r="E260" s="536"/>
      <c r="F260" s="536"/>
      <c r="G260" s="862"/>
      <c r="H260" s="862"/>
      <c r="I260" s="862"/>
    </row>
    <row r="261" spans="1:9" ht="15.6">
      <c r="A261" s="536"/>
      <c r="B261" s="529"/>
      <c r="C261" s="530"/>
      <c r="D261" s="530"/>
      <c r="E261" s="530"/>
      <c r="F261" s="530"/>
      <c r="G261" s="530"/>
      <c r="H261" s="530"/>
      <c r="I261" s="530"/>
    </row>
    <row r="262" spans="1:9" ht="15.6">
      <c r="A262" s="536"/>
      <c r="B262" s="529"/>
      <c r="C262" s="530"/>
      <c r="D262" s="530"/>
      <c r="E262" s="530"/>
      <c r="F262" s="530"/>
      <c r="G262" s="530"/>
      <c r="H262" s="530"/>
      <c r="I262" s="530"/>
    </row>
    <row r="263" spans="1:9" ht="15.6">
      <c r="A263" s="536"/>
      <c r="B263" s="529"/>
      <c r="C263" s="530"/>
      <c r="D263" s="530"/>
      <c r="E263" s="530"/>
      <c r="F263" s="537"/>
      <c r="G263" s="530"/>
      <c r="H263" s="866"/>
      <c r="I263" s="866"/>
    </row>
    <row r="264" spans="1:9" ht="15.6">
      <c r="A264" s="536"/>
      <c r="B264" s="529"/>
      <c r="C264" s="530"/>
      <c r="D264" s="530"/>
      <c r="E264" s="530"/>
      <c r="F264" s="530"/>
      <c r="G264" s="530"/>
      <c r="H264" s="530"/>
      <c r="I264" s="530"/>
    </row>
    <row r="265" spans="1:9" ht="15.6">
      <c r="A265" s="536"/>
      <c r="B265" s="529"/>
      <c r="C265" s="530"/>
      <c r="D265" s="530"/>
      <c r="E265" s="530"/>
      <c r="F265" s="530"/>
      <c r="G265" s="530"/>
      <c r="H265" s="530"/>
      <c r="I265" s="530"/>
    </row>
    <row r="266" spans="1:9" ht="15.6">
      <c r="A266" s="536"/>
      <c r="B266" s="529"/>
      <c r="C266" s="530"/>
      <c r="D266" s="536"/>
      <c r="E266" s="536"/>
      <c r="F266" s="536"/>
      <c r="G266" s="536"/>
      <c r="H266" s="536"/>
      <c r="I266" s="536"/>
    </row>
    <row r="267" spans="1:9" ht="15.6">
      <c r="A267" s="529"/>
      <c r="B267" s="530"/>
      <c r="C267" s="536"/>
      <c r="D267" s="536"/>
      <c r="E267" s="536"/>
      <c r="F267" s="536"/>
      <c r="G267" s="536"/>
      <c r="H267" s="536"/>
      <c r="I267" s="536"/>
    </row>
    <row r="268" spans="1:9">
      <c r="A268" s="530"/>
      <c r="B268" s="530"/>
      <c r="C268" s="530"/>
      <c r="D268" s="530"/>
      <c r="E268" s="530"/>
      <c r="F268" s="530"/>
      <c r="G268" s="530"/>
      <c r="H268" s="530"/>
      <c r="I268" s="530"/>
    </row>
    <row r="269" spans="1:9">
      <c r="A269" s="863"/>
      <c r="B269" s="863"/>
      <c r="C269" s="863"/>
      <c r="D269" s="863"/>
      <c r="E269" s="863"/>
      <c r="F269" s="863"/>
      <c r="G269" s="863"/>
      <c r="H269" s="863"/>
      <c r="I269" s="863"/>
    </row>
    <row r="270" spans="1:9">
      <c r="A270" s="530"/>
      <c r="B270" s="530"/>
      <c r="C270" s="530"/>
      <c r="D270" s="530"/>
      <c r="E270" s="530"/>
      <c r="F270" s="530"/>
      <c r="G270" s="530"/>
      <c r="H270" s="530"/>
      <c r="I270" s="530"/>
    </row>
    <row r="271" spans="1:9" ht="15.6">
      <c r="A271" s="536"/>
      <c r="B271" s="536"/>
      <c r="C271" s="536"/>
      <c r="D271" s="536"/>
      <c r="E271" s="536"/>
      <c r="F271" s="536"/>
      <c r="G271" s="862"/>
      <c r="H271" s="862"/>
      <c r="I271" s="862"/>
    </row>
    <row r="272" spans="1:9" ht="15.6">
      <c r="A272" s="861"/>
      <c r="B272" s="861"/>
      <c r="C272" s="861"/>
      <c r="D272" s="538"/>
      <c r="E272" s="536"/>
      <c r="F272" s="536"/>
      <c r="G272" s="862"/>
      <c r="H272" s="862"/>
      <c r="I272" s="862"/>
    </row>
    <row r="273" spans="1:9" ht="15.6">
      <c r="A273" s="536"/>
      <c r="B273" s="536"/>
      <c r="C273" s="536"/>
      <c r="D273" s="536"/>
      <c r="E273" s="536"/>
      <c r="F273" s="536"/>
      <c r="G273" s="862"/>
      <c r="H273" s="862"/>
      <c r="I273" s="862"/>
    </row>
    <row r="274" spans="1:9" ht="15.6">
      <c r="A274" s="536"/>
      <c r="B274" s="538"/>
      <c r="C274" s="536"/>
      <c r="D274" s="536"/>
      <c r="E274" s="538"/>
      <c r="F274" s="536"/>
      <c r="G274" s="536"/>
      <c r="H274" s="536"/>
      <c r="I274" s="536"/>
    </row>
    <row r="275" spans="1:9">
      <c r="A275" s="530"/>
      <c r="B275" s="530"/>
      <c r="C275" s="530"/>
      <c r="D275" s="530"/>
      <c r="E275" s="530"/>
      <c r="F275" s="530"/>
      <c r="G275" s="530"/>
      <c r="H275" s="530"/>
      <c r="I275" s="530"/>
    </row>
    <row r="276" spans="1:9">
      <c r="A276" s="863"/>
      <c r="B276" s="863"/>
      <c r="C276" s="863"/>
      <c r="D276" s="863"/>
      <c r="E276" s="863"/>
      <c r="F276" s="863"/>
      <c r="G276" s="863"/>
      <c r="H276" s="863"/>
      <c r="I276" s="863"/>
    </row>
    <row r="277" spans="1:9" ht="15.6">
      <c r="A277" s="864"/>
      <c r="B277" s="864"/>
      <c r="C277" s="536"/>
      <c r="D277" s="536"/>
      <c r="E277" s="536"/>
      <c r="F277" s="536"/>
      <c r="G277" s="536"/>
      <c r="H277" s="536"/>
      <c r="I277" s="536"/>
    </row>
    <row r="278" spans="1:9" ht="15.6">
      <c r="A278" s="864"/>
      <c r="B278" s="864"/>
      <c r="C278" s="538"/>
      <c r="D278" s="536"/>
      <c r="E278" s="536"/>
      <c r="F278" s="538"/>
      <c r="G278" s="536"/>
      <c r="H278" s="536"/>
      <c r="I278" s="536"/>
    </row>
    <row r="279" spans="1:9">
      <c r="A279" s="530"/>
      <c r="B279" s="530"/>
      <c r="C279" s="530"/>
      <c r="D279" s="530"/>
      <c r="E279" s="530"/>
      <c r="F279" s="530"/>
      <c r="G279" s="530"/>
      <c r="H279" s="530"/>
      <c r="I279" s="530"/>
    </row>
    <row r="280" spans="1:9">
      <c r="A280" s="863"/>
      <c r="B280" s="863"/>
      <c r="C280" s="863"/>
      <c r="D280" s="863"/>
      <c r="E280" s="863"/>
      <c r="F280" s="863"/>
      <c r="G280" s="863"/>
      <c r="H280" s="863"/>
      <c r="I280" s="863"/>
    </row>
    <row r="281" spans="1:9">
      <c r="A281" s="530"/>
      <c r="B281" s="530"/>
      <c r="C281" s="530"/>
      <c r="D281" s="530"/>
      <c r="E281" s="530"/>
      <c r="F281" s="530"/>
      <c r="G281" s="530"/>
      <c r="H281" s="530"/>
      <c r="I281" s="530"/>
    </row>
    <row r="282" spans="1:9" ht="15.6">
      <c r="A282" s="867"/>
      <c r="B282" s="867"/>
      <c r="C282" s="867"/>
      <c r="D282" s="867"/>
      <c r="E282" s="867"/>
      <c r="F282" s="867"/>
      <c r="G282" s="867"/>
      <c r="H282" s="867"/>
      <c r="I282" s="867"/>
    </row>
    <row r="283" spans="1:9" ht="15.6">
      <c r="A283" s="536"/>
      <c r="B283" s="536"/>
      <c r="C283" s="536"/>
      <c r="D283" s="536"/>
      <c r="E283" s="536"/>
      <c r="F283" s="538"/>
      <c r="G283" s="862"/>
      <c r="H283" s="862"/>
      <c r="I283" s="862"/>
    </row>
    <row r="284" spans="1:9" ht="15.6">
      <c r="A284" s="536"/>
      <c r="B284" s="536"/>
      <c r="C284" s="536"/>
      <c r="D284" s="536"/>
      <c r="E284" s="536"/>
      <c r="F284" s="538"/>
      <c r="G284" s="862"/>
      <c r="H284" s="862"/>
      <c r="I284" s="862"/>
    </row>
    <row r="285" spans="1:9" ht="15.6">
      <c r="A285" s="536"/>
      <c r="B285" s="538"/>
      <c r="C285" s="536"/>
      <c r="D285" s="536"/>
      <c r="E285" s="538"/>
      <c r="F285" s="536"/>
      <c r="G285" s="862"/>
      <c r="H285" s="862"/>
      <c r="I285" s="862"/>
    </row>
    <row r="286" spans="1:9">
      <c r="A286" s="530"/>
      <c r="B286" s="530"/>
      <c r="C286" s="530"/>
      <c r="D286" s="530"/>
      <c r="E286" s="540"/>
      <c r="F286" s="530"/>
      <c r="G286" s="530"/>
      <c r="H286" s="530"/>
      <c r="I286" s="530"/>
    </row>
    <row r="287" spans="1:9">
      <c r="A287" s="863"/>
      <c r="B287" s="863"/>
      <c r="C287" s="863"/>
      <c r="D287" s="863"/>
      <c r="E287" s="863"/>
      <c r="F287" s="863"/>
      <c r="G287" s="863"/>
      <c r="H287" s="863"/>
      <c r="I287" s="863"/>
    </row>
    <row r="288" spans="1:9" ht="15.6">
      <c r="A288" s="530"/>
      <c r="B288" s="536"/>
      <c r="C288" s="530"/>
      <c r="D288" s="530"/>
      <c r="E288" s="530"/>
      <c r="F288" s="537"/>
      <c r="G288" s="530"/>
      <c r="H288" s="530"/>
      <c r="I288" s="530"/>
    </row>
    <row r="289" spans="1:9" ht="15.6">
      <c r="A289" s="530"/>
      <c r="B289" s="536"/>
      <c r="C289" s="536"/>
      <c r="D289" s="536"/>
      <c r="E289" s="536"/>
      <c r="F289" s="538"/>
      <c r="G289" s="530"/>
      <c r="H289" s="530"/>
      <c r="I289" s="530"/>
    </row>
    <row r="290" spans="1:9">
      <c r="A290" s="530"/>
      <c r="B290" s="530"/>
      <c r="C290" s="530"/>
      <c r="D290" s="530"/>
      <c r="E290" s="530"/>
      <c r="F290" s="530"/>
      <c r="G290" s="530"/>
      <c r="H290" s="530"/>
      <c r="I290" s="530"/>
    </row>
    <row r="291" spans="1:9">
      <c r="A291" s="530"/>
      <c r="B291" s="530"/>
      <c r="C291" s="530"/>
      <c r="D291" s="530"/>
      <c r="E291" s="540"/>
      <c r="F291" s="530"/>
      <c r="G291" s="530"/>
      <c r="H291" s="530"/>
      <c r="I291" s="530"/>
    </row>
    <row r="292" spans="1:9">
      <c r="A292" s="863"/>
      <c r="B292" s="863"/>
      <c r="C292" s="863"/>
      <c r="D292" s="863"/>
      <c r="E292" s="863"/>
      <c r="F292" s="863"/>
      <c r="G292" s="863"/>
      <c r="H292" s="863"/>
      <c r="I292" s="863"/>
    </row>
    <row r="293" spans="1:9" ht="15.6">
      <c r="A293" s="539"/>
      <c r="B293" s="536"/>
      <c r="C293" s="536"/>
      <c r="D293" s="536"/>
      <c r="E293" s="536"/>
      <c r="F293" s="530"/>
      <c r="G293" s="530"/>
      <c r="H293" s="530"/>
      <c r="I293" s="530"/>
    </row>
    <row r="294" spans="1:9" ht="15.6">
      <c r="A294" s="539"/>
      <c r="B294" s="538"/>
      <c r="C294" s="536"/>
      <c r="D294" s="536"/>
      <c r="E294" s="536"/>
      <c r="F294" s="530"/>
      <c r="G294" s="530"/>
      <c r="H294" s="530"/>
      <c r="I294" s="530"/>
    </row>
    <row r="295" spans="1:9" ht="15.6">
      <c r="A295" s="539"/>
      <c r="B295" s="538"/>
      <c r="C295" s="536"/>
      <c r="D295" s="536"/>
      <c r="E295" s="536"/>
      <c r="F295" s="530"/>
      <c r="G295" s="530"/>
      <c r="H295" s="530"/>
      <c r="I295" s="530"/>
    </row>
    <row r="296" spans="1:9">
      <c r="A296" s="530"/>
      <c r="B296" s="530"/>
      <c r="C296" s="530"/>
      <c r="D296" s="530"/>
      <c r="E296" s="530"/>
      <c r="F296" s="530"/>
      <c r="G296" s="530"/>
      <c r="H296" s="530"/>
      <c r="I296" s="530"/>
    </row>
    <row r="297" spans="1:9">
      <c r="A297" s="863"/>
      <c r="B297" s="863"/>
      <c r="C297" s="863"/>
      <c r="D297" s="863"/>
      <c r="E297" s="863"/>
      <c r="F297" s="863"/>
      <c r="G297" s="863"/>
      <c r="H297" s="863"/>
      <c r="I297" s="863"/>
    </row>
    <row r="298" spans="1:9">
      <c r="A298" s="530"/>
      <c r="B298" s="530"/>
      <c r="C298" s="530"/>
      <c r="D298" s="530"/>
      <c r="E298" s="530"/>
      <c r="F298" s="530"/>
      <c r="G298" s="530"/>
      <c r="H298" s="530"/>
      <c r="I298" s="530"/>
    </row>
    <row r="299" spans="1:9" ht="15.6">
      <c r="A299" s="536"/>
      <c r="B299" s="536"/>
      <c r="C299" s="536"/>
      <c r="D299" s="530"/>
      <c r="E299" s="530"/>
      <c r="F299" s="530"/>
      <c r="G299" s="530"/>
      <c r="H299" s="530"/>
      <c r="I299" s="530"/>
    </row>
    <row r="300" spans="1:9" ht="15.6">
      <c r="A300" s="536"/>
      <c r="B300" s="538"/>
      <c r="C300" s="536"/>
      <c r="D300" s="530"/>
      <c r="E300" s="530"/>
      <c r="F300" s="530"/>
      <c r="G300" s="530"/>
      <c r="H300" s="530"/>
      <c r="I300" s="530"/>
    </row>
    <row r="301" spans="1:9" ht="15.6">
      <c r="A301" s="536"/>
      <c r="B301" s="538"/>
      <c r="C301" s="536"/>
      <c r="D301" s="530"/>
      <c r="E301" s="530"/>
      <c r="F301" s="530"/>
      <c r="G301" s="530"/>
      <c r="H301" s="530"/>
      <c r="I301" s="530"/>
    </row>
    <row r="302" spans="1:9">
      <c r="A302" s="530"/>
      <c r="B302" s="530"/>
      <c r="C302" s="530"/>
      <c r="D302" s="530"/>
      <c r="E302" s="530"/>
      <c r="F302" s="530"/>
      <c r="G302" s="530"/>
      <c r="H302" s="530"/>
      <c r="I302" s="530"/>
    </row>
    <row r="303" spans="1:9">
      <c r="A303" s="863"/>
      <c r="B303" s="863"/>
      <c r="C303" s="863"/>
      <c r="D303" s="863"/>
      <c r="E303" s="863"/>
      <c r="F303" s="863"/>
      <c r="G303" s="863"/>
      <c r="H303" s="863"/>
      <c r="I303" s="863"/>
    </row>
    <row r="304" spans="1:9">
      <c r="A304" s="530"/>
      <c r="B304" s="530"/>
      <c r="C304" s="530"/>
      <c r="D304" s="530"/>
      <c r="E304" s="530"/>
      <c r="F304" s="530"/>
      <c r="G304" s="530"/>
      <c r="H304" s="530"/>
      <c r="I304" s="530"/>
    </row>
    <row r="305" spans="1:9" ht="15.6">
      <c r="A305" s="536"/>
      <c r="B305" s="536"/>
      <c r="C305" s="536"/>
      <c r="D305" s="536"/>
      <c r="E305" s="536"/>
      <c r="F305" s="538"/>
      <c r="G305" s="862"/>
      <c r="H305" s="862"/>
      <c r="I305" s="862"/>
    </row>
    <row r="306" spans="1:9" ht="15.6">
      <c r="A306" s="536"/>
      <c r="B306" s="536"/>
      <c r="C306" s="538"/>
      <c r="D306" s="538"/>
      <c r="E306" s="538"/>
      <c r="F306" s="536"/>
      <c r="G306" s="862"/>
      <c r="H306" s="862"/>
      <c r="I306" s="862"/>
    </row>
    <row r="307" spans="1:9" ht="15.6">
      <c r="A307" s="536"/>
      <c r="B307" s="536"/>
      <c r="C307" s="536"/>
      <c r="D307" s="536"/>
      <c r="E307" s="536"/>
      <c r="F307" s="536"/>
      <c r="G307" s="862"/>
      <c r="H307" s="862"/>
      <c r="I307" s="862"/>
    </row>
    <row r="308" spans="1:9">
      <c r="A308" s="530"/>
      <c r="B308" s="530"/>
      <c r="C308" s="530"/>
      <c r="D308" s="530"/>
      <c r="E308" s="530"/>
      <c r="F308" s="530"/>
      <c r="G308" s="530"/>
      <c r="H308" s="530"/>
      <c r="I308" s="530"/>
    </row>
    <row r="309" spans="1:9">
      <c r="A309" s="863"/>
      <c r="B309" s="863"/>
      <c r="C309" s="863"/>
      <c r="D309" s="863"/>
      <c r="E309" s="863"/>
      <c r="F309" s="863"/>
      <c r="G309" s="863"/>
      <c r="H309" s="863"/>
      <c r="I309" s="863"/>
    </row>
    <row r="310" spans="1:9">
      <c r="A310" s="530"/>
      <c r="B310" s="530"/>
      <c r="C310" s="530"/>
      <c r="D310" s="530"/>
      <c r="E310" s="530"/>
      <c r="F310" s="530"/>
      <c r="G310" s="530"/>
      <c r="H310" s="530"/>
      <c r="I310" s="530"/>
    </row>
    <row r="311" spans="1:9">
      <c r="A311" s="530"/>
      <c r="B311" s="530"/>
      <c r="C311" s="530"/>
      <c r="D311" s="530"/>
      <c r="E311" s="530"/>
      <c r="F311" s="530"/>
      <c r="G311" s="530"/>
      <c r="H311" s="530"/>
      <c r="I311" s="530"/>
    </row>
    <row r="312" spans="1:9">
      <c r="A312" s="530"/>
      <c r="B312" s="530"/>
      <c r="C312" s="530"/>
      <c r="D312" s="530"/>
      <c r="E312" s="530"/>
      <c r="F312" s="530"/>
      <c r="G312" s="530"/>
      <c r="H312" s="530"/>
      <c r="I312" s="530"/>
    </row>
    <row r="313" spans="1:9">
      <c r="A313" s="530"/>
      <c r="B313" s="530"/>
      <c r="C313" s="530"/>
      <c r="D313" s="530"/>
      <c r="E313" s="530"/>
      <c r="F313" s="530"/>
      <c r="G313" s="530"/>
      <c r="H313" s="530"/>
      <c r="I313" s="530"/>
    </row>
    <row r="314" spans="1:9" ht="15.6">
      <c r="A314" s="536"/>
      <c r="B314" s="530"/>
      <c r="C314" s="530"/>
      <c r="D314" s="530"/>
      <c r="E314" s="530"/>
      <c r="F314" s="530"/>
      <c r="G314" s="530"/>
      <c r="H314" s="530"/>
      <c r="I314" s="530"/>
    </row>
    <row r="315" spans="1:9" ht="15.6">
      <c r="A315" s="536"/>
      <c r="B315" s="530"/>
      <c r="C315" s="530"/>
      <c r="D315" s="530"/>
      <c r="E315" s="530"/>
      <c r="F315" s="530"/>
      <c r="G315" s="530"/>
      <c r="H315" s="530"/>
      <c r="I315" s="530"/>
    </row>
    <row r="316" spans="1:9">
      <c r="A316" s="530"/>
      <c r="B316" s="530"/>
      <c r="C316" s="530"/>
      <c r="D316" s="530"/>
      <c r="E316" s="530"/>
      <c r="F316" s="530"/>
      <c r="G316" s="530"/>
      <c r="H316" s="530"/>
      <c r="I316" s="530"/>
    </row>
    <row r="317" spans="1:9">
      <c r="A317" s="863"/>
      <c r="B317" s="863"/>
      <c r="C317" s="863"/>
      <c r="D317" s="863"/>
      <c r="E317" s="863"/>
      <c r="F317" s="863"/>
      <c r="G317" s="863"/>
      <c r="H317" s="863"/>
      <c r="I317" s="863"/>
    </row>
    <row r="318" spans="1:9">
      <c r="A318" s="530"/>
      <c r="B318" s="530"/>
      <c r="C318" s="530"/>
      <c r="D318" s="530"/>
      <c r="E318" s="530"/>
      <c r="F318" s="530"/>
      <c r="G318" s="530"/>
      <c r="H318" s="530"/>
      <c r="I318" s="530"/>
    </row>
    <row r="319" spans="1:9" ht="15.6">
      <c r="A319" s="536"/>
      <c r="B319" s="536"/>
      <c r="C319" s="536"/>
      <c r="D319" s="536"/>
      <c r="E319" s="536"/>
      <c r="F319" s="862"/>
      <c r="G319" s="862"/>
      <c r="H319" s="862"/>
      <c r="I319" s="862"/>
    </row>
    <row r="320" spans="1:9" ht="15.6">
      <c r="A320" s="536"/>
      <c r="B320" s="536"/>
      <c r="C320" s="536"/>
      <c r="D320" s="536"/>
      <c r="E320" s="536"/>
      <c r="F320" s="862"/>
      <c r="G320" s="862"/>
      <c r="H320" s="862"/>
      <c r="I320" s="862"/>
    </row>
    <row r="321" spans="1:9" ht="15.6">
      <c r="A321" s="536"/>
      <c r="B321" s="538"/>
      <c r="C321" s="536"/>
      <c r="D321" s="536"/>
      <c r="E321" s="536"/>
      <c r="F321" s="536"/>
      <c r="G321" s="536"/>
      <c r="H321" s="536"/>
      <c r="I321" s="536"/>
    </row>
    <row r="322" spans="1:9" ht="15.6">
      <c r="A322" s="536"/>
      <c r="B322" s="536"/>
      <c r="C322" s="536"/>
      <c r="D322" s="536"/>
      <c r="E322" s="536"/>
      <c r="F322" s="536"/>
      <c r="G322" s="536"/>
      <c r="H322" s="536"/>
      <c r="I322" s="536"/>
    </row>
    <row r="323" spans="1:9" ht="15.6">
      <c r="A323" s="536"/>
      <c r="B323" s="536"/>
      <c r="C323" s="536"/>
      <c r="D323" s="536"/>
      <c r="E323" s="536"/>
      <c r="F323" s="536"/>
      <c r="G323" s="536"/>
      <c r="H323" s="536"/>
      <c r="I323" s="536"/>
    </row>
    <row r="324" spans="1:9" ht="15.6">
      <c r="A324" s="536"/>
      <c r="B324" s="541"/>
      <c r="C324" s="536"/>
      <c r="D324" s="536"/>
      <c r="E324" s="536"/>
      <c r="F324" s="536"/>
      <c r="G324" s="536"/>
      <c r="H324" s="536"/>
      <c r="I324" s="536"/>
    </row>
    <row r="325" spans="1:9" ht="15.6">
      <c r="A325" s="536"/>
      <c r="B325" s="541"/>
      <c r="C325" s="536"/>
      <c r="D325" s="536"/>
      <c r="E325" s="536"/>
      <c r="F325" s="536"/>
      <c r="G325" s="536"/>
      <c r="H325" s="536"/>
      <c r="I325" s="536"/>
    </row>
    <row r="326" spans="1:9" ht="15.6">
      <c r="A326" s="536"/>
      <c r="B326" s="538"/>
      <c r="C326" s="536"/>
      <c r="D326" s="536"/>
      <c r="E326" s="536"/>
      <c r="F326" s="536"/>
      <c r="G326" s="536"/>
      <c r="H326" s="536"/>
      <c r="I326" s="530"/>
    </row>
    <row r="327" spans="1:9" ht="15.6">
      <c r="A327" s="536"/>
      <c r="B327" s="529"/>
      <c r="C327" s="542"/>
      <c r="D327" s="536"/>
      <c r="E327" s="536"/>
      <c r="F327" s="536"/>
      <c r="G327" s="536"/>
      <c r="H327" s="536"/>
      <c r="I327" s="536"/>
    </row>
    <row r="363" spans="1:19">
      <c r="E363" s="851"/>
      <c r="F363" s="851"/>
    </row>
    <row r="367" spans="1:19">
      <c r="E367" s="851"/>
      <c r="F367" s="851"/>
    </row>
    <row r="368" spans="1:19">
      <c r="A368" s="841"/>
      <c r="B368" s="841"/>
      <c r="C368" s="841"/>
      <c r="D368" s="841"/>
      <c r="E368" s="841"/>
      <c r="F368" s="841"/>
      <c r="G368" s="841"/>
      <c r="H368" s="841"/>
      <c r="I368" s="841"/>
      <c r="J368" s="841"/>
      <c r="K368" s="841"/>
      <c r="L368" s="841"/>
      <c r="M368" s="841"/>
      <c r="N368" s="841"/>
      <c r="O368" s="841"/>
      <c r="P368" s="841"/>
      <c r="Q368" s="841"/>
      <c r="R368" s="841"/>
      <c r="S368" s="841"/>
    </row>
    <row r="369" spans="1:19">
      <c r="A369" s="841"/>
      <c r="B369" s="841"/>
      <c r="C369" s="841"/>
      <c r="D369" s="841"/>
      <c r="E369" s="841"/>
      <c r="F369" s="841"/>
      <c r="G369" s="841"/>
      <c r="H369" s="841"/>
      <c r="I369" s="841"/>
      <c r="J369" s="841"/>
      <c r="K369" s="841"/>
      <c r="L369" s="841"/>
      <c r="M369" s="841"/>
      <c r="N369" s="841"/>
      <c r="O369" s="841"/>
      <c r="P369" s="841"/>
      <c r="Q369" s="841"/>
      <c r="R369" s="841"/>
      <c r="S369" s="841"/>
    </row>
    <row r="372" spans="1:19">
      <c r="E372" s="851"/>
      <c r="F372" s="851"/>
    </row>
    <row r="381" spans="1:19">
      <c r="F381" s="851"/>
      <c r="G381" s="851"/>
    </row>
    <row r="385" spans="6:12">
      <c r="F385" s="827"/>
      <c r="G385" s="827"/>
      <c r="K385" s="827"/>
      <c r="L385" s="827"/>
    </row>
    <row r="386" spans="6:12">
      <c r="F386" s="827"/>
      <c r="G386" s="827"/>
      <c r="K386" s="827"/>
      <c r="L386" s="827"/>
    </row>
    <row r="387" spans="6:12">
      <c r="F387" s="827"/>
      <c r="G387" s="827"/>
      <c r="K387" s="827"/>
      <c r="L387" s="827"/>
    </row>
    <row r="388" spans="6:12">
      <c r="F388" s="827"/>
      <c r="G388" s="827"/>
    </row>
    <row r="389" spans="6:12">
      <c r="F389" s="827"/>
      <c r="G389" s="827"/>
      <c r="K389" s="827"/>
      <c r="L389" s="827"/>
    </row>
    <row r="390" spans="6:12">
      <c r="F390" s="827"/>
      <c r="G390" s="827"/>
      <c r="K390" s="827"/>
      <c r="L390" s="827"/>
    </row>
    <row r="391" spans="6:12">
      <c r="F391" s="827"/>
      <c r="G391" s="827"/>
    </row>
    <row r="392" spans="6:12">
      <c r="F392" s="827"/>
      <c r="G392" s="827"/>
      <c r="K392" s="827"/>
      <c r="L392" s="827"/>
    </row>
    <row r="394" spans="6:12">
      <c r="F394" s="827"/>
      <c r="G394" s="827"/>
    </row>
    <row r="398" spans="6:12">
      <c r="F398" s="827"/>
      <c r="G398" s="827"/>
      <c r="H398" s="827"/>
      <c r="I398" s="827"/>
    </row>
    <row r="401" spans="5:8">
      <c r="E401" s="505"/>
      <c r="F401" s="505"/>
    </row>
    <row r="402" spans="5:8">
      <c r="E402" s="505"/>
      <c r="F402" s="505"/>
    </row>
    <row r="404" spans="5:8">
      <c r="E404" s="505"/>
      <c r="F404" s="505"/>
      <c r="G404" s="827"/>
      <c r="H404" s="827"/>
    </row>
    <row r="405" spans="5:8">
      <c r="E405" s="505"/>
      <c r="F405" s="505"/>
    </row>
    <row r="406" spans="5:8">
      <c r="E406" s="505"/>
      <c r="F406" s="505"/>
    </row>
    <row r="407" spans="5:8">
      <c r="E407" s="505"/>
      <c r="F407" s="505"/>
      <c r="G407" s="827"/>
      <c r="H407" s="827"/>
    </row>
    <row r="408" spans="5:8">
      <c r="E408" s="505"/>
      <c r="F408" s="505"/>
    </row>
    <row r="409" spans="5:8">
      <c r="E409" s="505"/>
      <c r="F409" s="505"/>
    </row>
    <row r="410" spans="5:8">
      <c r="E410" s="827"/>
      <c r="F410" s="827"/>
    </row>
    <row r="413" spans="5:8">
      <c r="F413" s="827"/>
      <c r="G413" s="827"/>
    </row>
    <row r="418" spans="6:7">
      <c r="F418" s="827"/>
      <c r="G418" s="827"/>
    </row>
    <row r="431" spans="6:7">
      <c r="F431" s="827"/>
      <c r="G431" s="827"/>
    </row>
    <row r="437" spans="6:7">
      <c r="F437" s="827"/>
      <c r="G437" s="827"/>
    </row>
    <row r="443" spans="6:7">
      <c r="F443" s="851"/>
      <c r="G443" s="851"/>
    </row>
    <row r="448" spans="6:7">
      <c r="F448" s="851"/>
      <c r="G448" s="851"/>
    </row>
    <row r="451" spans="5:13">
      <c r="E451" s="851"/>
      <c r="F451" s="851"/>
    </row>
    <row r="459" spans="5:13">
      <c r="E459" s="851"/>
      <c r="F459" s="851"/>
    </row>
    <row r="463" spans="5:13">
      <c r="F463" s="851"/>
      <c r="G463" s="851"/>
    </row>
    <row r="464" spans="5:13">
      <c r="F464" s="851"/>
      <c r="G464" s="851"/>
      <c r="L464" s="827"/>
      <c r="M464" s="827"/>
    </row>
    <row r="465" spans="6:13">
      <c r="L465" s="827"/>
      <c r="M465" s="827"/>
    </row>
    <row r="469" spans="6:13">
      <c r="F469" s="851"/>
      <c r="G469" s="851"/>
    </row>
    <row r="470" spans="6:13">
      <c r="F470" s="851"/>
      <c r="G470" s="851"/>
    </row>
  </sheetData>
  <mergeCells count="210">
    <mergeCell ref="F463:G463"/>
    <mergeCell ref="F464:G464"/>
    <mergeCell ref="L464:M464"/>
    <mergeCell ref="L465:M465"/>
    <mergeCell ref="F469:G469"/>
    <mergeCell ref="F470:G470"/>
    <mergeCell ref="F431:G431"/>
    <mergeCell ref="F437:G437"/>
    <mergeCell ref="F443:G443"/>
    <mergeCell ref="F448:G448"/>
    <mergeCell ref="E451:F451"/>
    <mergeCell ref="E459:F459"/>
    <mergeCell ref="F398:I398"/>
    <mergeCell ref="G404:H404"/>
    <mergeCell ref="G407:H407"/>
    <mergeCell ref="E410:F410"/>
    <mergeCell ref="F413:G413"/>
    <mergeCell ref="F418:G418"/>
    <mergeCell ref="F390:G390"/>
    <mergeCell ref="K390:L390"/>
    <mergeCell ref="F391:G391"/>
    <mergeCell ref="F392:G392"/>
    <mergeCell ref="K392:L392"/>
    <mergeCell ref="F394:G394"/>
    <mergeCell ref="F386:G386"/>
    <mergeCell ref="K386:L386"/>
    <mergeCell ref="F387:G387"/>
    <mergeCell ref="K387:L387"/>
    <mergeCell ref="F388:G388"/>
    <mergeCell ref="F389:G389"/>
    <mergeCell ref="K389:L389"/>
    <mergeCell ref="E363:F363"/>
    <mergeCell ref="E367:F367"/>
    <mergeCell ref="A368:S369"/>
    <mergeCell ref="E372:F372"/>
    <mergeCell ref="F381:G381"/>
    <mergeCell ref="F385:G385"/>
    <mergeCell ref="K385:L385"/>
    <mergeCell ref="A297:I297"/>
    <mergeCell ref="A303:I303"/>
    <mergeCell ref="G305:I307"/>
    <mergeCell ref="A309:I309"/>
    <mergeCell ref="A317:I317"/>
    <mergeCell ref="F319:I320"/>
    <mergeCell ref="A278:B278"/>
    <mergeCell ref="A280:I280"/>
    <mergeCell ref="A282:I282"/>
    <mergeCell ref="G283:I285"/>
    <mergeCell ref="A287:I287"/>
    <mergeCell ref="A292:I292"/>
    <mergeCell ref="H263:I263"/>
    <mergeCell ref="A269:I269"/>
    <mergeCell ref="G271:I273"/>
    <mergeCell ref="A272:C272"/>
    <mergeCell ref="A276:I276"/>
    <mergeCell ref="A277:B277"/>
    <mergeCell ref="A249:B249"/>
    <mergeCell ref="A252:B252"/>
    <mergeCell ref="A253:B253"/>
    <mergeCell ref="A256:I256"/>
    <mergeCell ref="G258:I260"/>
    <mergeCell ref="B231:C231"/>
    <mergeCell ref="F240:I241"/>
    <mergeCell ref="A245:I245"/>
    <mergeCell ref="A247:B247"/>
    <mergeCell ref="F247:I248"/>
    <mergeCell ref="A248:C248"/>
    <mergeCell ref="E191:F191"/>
    <mergeCell ref="H194:I194"/>
    <mergeCell ref="W206:X206"/>
    <mergeCell ref="A225:B225"/>
    <mergeCell ref="A229:I229"/>
    <mergeCell ref="F174:G174"/>
    <mergeCell ref="E180:F180"/>
    <mergeCell ref="E181:F181"/>
    <mergeCell ref="E185:F185"/>
    <mergeCell ref="E186:F186"/>
    <mergeCell ref="E190:F190"/>
    <mergeCell ref="E163:G163"/>
    <mergeCell ref="F166:G166"/>
    <mergeCell ref="F167:G167"/>
    <mergeCell ref="F168:G168"/>
    <mergeCell ref="F172:G172"/>
    <mergeCell ref="F173:G173"/>
    <mergeCell ref="E141:G141"/>
    <mergeCell ref="E144:G144"/>
    <mergeCell ref="E147:G147"/>
    <mergeCell ref="F151:H151"/>
    <mergeCell ref="E155:G155"/>
    <mergeCell ref="E158:G158"/>
    <mergeCell ref="E117:F117"/>
    <mergeCell ref="E118:F118"/>
    <mergeCell ref="A121:S122"/>
    <mergeCell ref="E129:G129"/>
    <mergeCell ref="E132:G132"/>
    <mergeCell ref="E138:G138"/>
    <mergeCell ref="A107:S108"/>
    <mergeCell ref="E109:F109"/>
    <mergeCell ref="E110:F110"/>
    <mergeCell ref="E111:F111"/>
    <mergeCell ref="E115:F115"/>
    <mergeCell ref="E116:F116"/>
    <mergeCell ref="O116:P116"/>
    <mergeCell ref="Q131:R131"/>
    <mergeCell ref="D100:F100"/>
    <mergeCell ref="G100:H100"/>
    <mergeCell ref="D101:F101"/>
    <mergeCell ref="G101:H101"/>
    <mergeCell ref="D103:F103"/>
    <mergeCell ref="G103:H103"/>
    <mergeCell ref="D102:F102"/>
    <mergeCell ref="G102:H102"/>
    <mergeCell ref="D98:F98"/>
    <mergeCell ref="G98:H98"/>
    <mergeCell ref="M98:O98"/>
    <mergeCell ref="P98:Q98"/>
    <mergeCell ref="D99:F99"/>
    <mergeCell ref="G99:H99"/>
    <mergeCell ref="D96:F96"/>
    <mergeCell ref="G96:H96"/>
    <mergeCell ref="M96:O96"/>
    <mergeCell ref="P96:Q96"/>
    <mergeCell ref="D97:F97"/>
    <mergeCell ref="G97:H97"/>
    <mergeCell ref="M97:O97"/>
    <mergeCell ref="P97:Q97"/>
    <mergeCell ref="P95:Q95"/>
    <mergeCell ref="D92:F92"/>
    <mergeCell ref="G92:H92"/>
    <mergeCell ref="M92:O92"/>
    <mergeCell ref="P92:Q92"/>
    <mergeCell ref="D93:F93"/>
    <mergeCell ref="G93:H93"/>
    <mergeCell ref="M93:O93"/>
    <mergeCell ref="P93:Q93"/>
    <mergeCell ref="D95:F95"/>
    <mergeCell ref="G95:H95"/>
    <mergeCell ref="M95:O95"/>
    <mergeCell ref="B49:D49"/>
    <mergeCell ref="E49:G49"/>
    <mergeCell ref="B51:D51"/>
    <mergeCell ref="E50:G50"/>
    <mergeCell ref="B50:D50"/>
    <mergeCell ref="E51:G51"/>
    <mergeCell ref="B52:D52"/>
    <mergeCell ref="E52:G52"/>
    <mergeCell ref="E67:F67"/>
    <mergeCell ref="E56:G56"/>
    <mergeCell ref="C59:S60"/>
    <mergeCell ref="E62:F62"/>
    <mergeCell ref="C64:S65"/>
    <mergeCell ref="I53:J53"/>
    <mergeCell ref="J49:K49"/>
    <mergeCell ref="J50:K50"/>
    <mergeCell ref="J51:K51"/>
    <mergeCell ref="J52:K52"/>
    <mergeCell ref="H49:I49"/>
    <mergeCell ref="H50:I50"/>
    <mergeCell ref="H51:I51"/>
    <mergeCell ref="H52:I52"/>
    <mergeCell ref="H45:K45"/>
    <mergeCell ref="M45:O45"/>
    <mergeCell ref="B48:D48"/>
    <mergeCell ref="E48:G48"/>
    <mergeCell ref="D42:G42"/>
    <mergeCell ref="H42:K42"/>
    <mergeCell ref="L42:N42"/>
    <mergeCell ref="H43:K43"/>
    <mergeCell ref="L43:N43"/>
    <mergeCell ref="H44:K44"/>
    <mergeCell ref="M44:P44"/>
    <mergeCell ref="H48:I48"/>
    <mergeCell ref="D40:G40"/>
    <mergeCell ref="H40:K40"/>
    <mergeCell ref="L40:N40"/>
    <mergeCell ref="D41:G41"/>
    <mergeCell ref="H41:K41"/>
    <mergeCell ref="L41:N41"/>
    <mergeCell ref="D34:G34"/>
    <mergeCell ref="E14:F14"/>
    <mergeCell ref="E15:F15"/>
    <mergeCell ref="A18:S19"/>
    <mergeCell ref="E28:G28"/>
    <mergeCell ref="D31:G31"/>
    <mergeCell ref="D32:G32"/>
    <mergeCell ref="E23:H23"/>
    <mergeCell ref="E16:F16"/>
    <mergeCell ref="E10:F10"/>
    <mergeCell ref="O10:P10"/>
    <mergeCell ref="E11:F11"/>
    <mergeCell ref="O11:P11"/>
    <mergeCell ref="E12:F12"/>
    <mergeCell ref="E13:F13"/>
    <mergeCell ref="A1:S2"/>
    <mergeCell ref="E7:F7"/>
    <mergeCell ref="O7:P7"/>
    <mergeCell ref="E8:F8"/>
    <mergeCell ref="O8:P8"/>
    <mergeCell ref="E9:F9"/>
    <mergeCell ref="O9:P9"/>
    <mergeCell ref="C69:S71"/>
    <mergeCell ref="C87:S88"/>
    <mergeCell ref="D91:F91"/>
    <mergeCell ref="G91:H91"/>
    <mergeCell ref="M91:O91"/>
    <mergeCell ref="P91:Q91"/>
    <mergeCell ref="D94:F94"/>
    <mergeCell ref="G94:H94"/>
    <mergeCell ref="M94:O94"/>
    <mergeCell ref="P94:Q94"/>
  </mergeCells>
  <pageMargins left="0.7" right="0.7" top="0.75" bottom="0.75" header="0.3" footer="0.3"/>
  <pageSetup paperSize="13" orientation="portrait" horizontalDpi="4294967293" r:id="rId1"/>
  <headerFooter>
    <oddHeader xml:space="preserve">&amp;LAttachment No. 2 : Gross Tonnage and Consumables&amp;R(Doc. No. 02 – 421 18 40 021 - GT)
Rev. No. 0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2DF08-7E4F-44C9-934A-04D154B30270}">
  <dimension ref="A1:AG295"/>
  <sheetViews>
    <sheetView topLeftCell="A154" zoomScale="115" zoomScaleNormal="115" zoomScaleSheetLayoutView="91" workbookViewId="0">
      <selection activeCell="E60" sqref="E60:F60"/>
    </sheetView>
  </sheetViews>
  <sheetFormatPr defaultColWidth="3.88671875" defaultRowHeight="14.4"/>
  <cols>
    <col min="1" max="2" width="3.88671875" style="335"/>
    <col min="3" max="3" width="3.88671875" style="335" customWidth="1"/>
    <col min="4" max="5" width="3.88671875" style="335"/>
    <col min="6" max="6" width="11.6640625" style="335" customWidth="1"/>
    <col min="7" max="8" width="3.88671875" style="335"/>
    <col min="9" max="9" width="4" style="335" bestFit="1" customWidth="1"/>
    <col min="10" max="11" width="3.88671875" style="335"/>
    <col min="12" max="12" width="3.88671875" style="335" customWidth="1"/>
    <col min="13" max="13" width="4.88671875" style="335" bestFit="1" customWidth="1"/>
    <col min="14" max="14" width="3.88671875" style="335"/>
    <col min="15" max="15" width="20.5546875" style="335" customWidth="1"/>
    <col min="16" max="16" width="8.44140625" style="335" customWidth="1"/>
    <col min="17" max="17" width="3.88671875" style="335"/>
    <col min="18" max="19" width="3.44140625" style="335" customWidth="1"/>
    <col min="20" max="26" width="3.88671875" style="335"/>
    <col min="27" max="28" width="3.88671875" style="335" customWidth="1"/>
    <col min="29" max="16384" width="3.88671875" style="335"/>
  </cols>
  <sheetData>
    <row r="1" spans="1:19" ht="14.4" customHeight="1">
      <c r="A1" s="875" t="s">
        <v>690</v>
      </c>
      <c r="B1" s="875"/>
      <c r="C1" s="875"/>
      <c r="D1" s="875"/>
      <c r="E1" s="875"/>
      <c r="F1" s="875"/>
      <c r="G1" s="875"/>
      <c r="H1" s="875"/>
      <c r="I1" s="875"/>
      <c r="J1" s="875"/>
      <c r="K1" s="875"/>
      <c r="L1" s="875"/>
      <c r="M1" s="875"/>
      <c r="N1" s="875"/>
      <c r="O1" s="875"/>
      <c r="P1" s="875"/>
      <c r="Q1" s="875"/>
      <c r="R1" s="875"/>
      <c r="S1" s="875"/>
    </row>
    <row r="2" spans="1:19">
      <c r="A2" s="875"/>
      <c r="B2" s="875"/>
      <c r="C2" s="875"/>
      <c r="D2" s="875"/>
      <c r="E2" s="875"/>
      <c r="F2" s="875"/>
      <c r="G2" s="875"/>
      <c r="H2" s="875"/>
      <c r="I2" s="875"/>
      <c r="J2" s="875"/>
      <c r="K2" s="875"/>
      <c r="L2" s="875"/>
      <c r="M2" s="875"/>
      <c r="N2" s="875"/>
      <c r="O2" s="875"/>
      <c r="P2" s="875"/>
      <c r="Q2" s="875"/>
      <c r="R2" s="875"/>
      <c r="S2" s="875"/>
    </row>
    <row r="3" spans="1:19">
      <c r="B3" s="335" t="s">
        <v>566</v>
      </c>
    </row>
    <row r="4" spans="1:19">
      <c r="B4" s="335" t="s">
        <v>688</v>
      </c>
    </row>
    <row r="5" spans="1:19">
      <c r="B5" s="335" t="s">
        <v>567</v>
      </c>
    </row>
    <row r="7" spans="1:19">
      <c r="B7" s="336" t="s">
        <v>568</v>
      </c>
      <c r="D7" s="337" t="s">
        <v>63</v>
      </c>
      <c r="E7" s="800">
        <f>HOLTROP!G4</f>
        <v>137</v>
      </c>
      <c r="F7" s="800"/>
      <c r="G7" s="335" t="s">
        <v>4</v>
      </c>
      <c r="I7" s="335" t="s">
        <v>569</v>
      </c>
      <c r="N7" s="337" t="s">
        <v>63</v>
      </c>
      <c r="O7" s="800">
        <v>8400</v>
      </c>
      <c r="P7" s="800"/>
      <c r="Q7" s="335" t="s">
        <v>250</v>
      </c>
    </row>
    <row r="8" spans="1:19" ht="16.2">
      <c r="B8" s="336" t="s">
        <v>5</v>
      </c>
      <c r="D8" s="337" t="s">
        <v>63</v>
      </c>
      <c r="E8" s="800">
        <f>HOLTROP!G5</f>
        <v>142.47999999999999</v>
      </c>
      <c r="F8" s="800"/>
      <c r="G8" s="335" t="s">
        <v>4</v>
      </c>
      <c r="I8" s="335" t="s">
        <v>570</v>
      </c>
      <c r="N8" s="337" t="s">
        <v>63</v>
      </c>
      <c r="O8" s="800">
        <f>HOLTROP!G13</f>
        <v>22401.13975848</v>
      </c>
      <c r="P8" s="800"/>
      <c r="Q8" s="335" t="s">
        <v>571</v>
      </c>
    </row>
    <row r="9" spans="1:19">
      <c r="B9" s="336" t="s">
        <v>572</v>
      </c>
      <c r="D9" s="337" t="s">
        <v>63</v>
      </c>
      <c r="E9" s="800">
        <f>(E8+E7)/2</f>
        <v>139.74</v>
      </c>
      <c r="F9" s="800"/>
      <c r="G9" s="335" t="s">
        <v>4</v>
      </c>
      <c r="I9" s="335" t="s">
        <v>142</v>
      </c>
      <c r="N9" s="337" t="s">
        <v>63</v>
      </c>
      <c r="O9" s="800">
        <v>10</v>
      </c>
      <c r="P9" s="800"/>
      <c r="Q9" s="335" t="s">
        <v>573</v>
      </c>
    </row>
    <row r="10" spans="1:19">
      <c r="B10" s="336" t="s">
        <v>6</v>
      </c>
      <c r="D10" s="337" t="s">
        <v>63</v>
      </c>
      <c r="E10" s="800">
        <f>HOLTROP!G6</f>
        <v>23.7</v>
      </c>
      <c r="F10" s="800"/>
      <c r="G10" s="335" t="s">
        <v>4</v>
      </c>
      <c r="I10" s="335" t="s">
        <v>461</v>
      </c>
      <c r="N10" s="337" t="s">
        <v>63</v>
      </c>
      <c r="O10" s="882">
        <f>1.026*O8</f>
        <v>22983.569392200479</v>
      </c>
      <c r="P10" s="882"/>
      <c r="Q10" s="335" t="s">
        <v>26</v>
      </c>
    </row>
    <row r="11" spans="1:19" ht="15.6" customHeight="1">
      <c r="B11" s="336" t="s">
        <v>7</v>
      </c>
      <c r="D11" s="337" t="s">
        <v>63</v>
      </c>
      <c r="E11" s="800">
        <f>HOLTROP!G7</f>
        <v>13.34</v>
      </c>
      <c r="F11" s="800"/>
      <c r="G11" s="335" t="s">
        <v>4</v>
      </c>
      <c r="I11" s="335" t="s">
        <v>817</v>
      </c>
      <c r="N11" s="335" t="s">
        <v>430</v>
      </c>
      <c r="O11" s="883">
        <f>'DOC 2 ATTACH'!H194</f>
        <v>840.45308938999995</v>
      </c>
      <c r="P11" s="883"/>
      <c r="Q11" s="337" t="s">
        <v>26</v>
      </c>
    </row>
    <row r="12" spans="1:19">
      <c r="B12" s="336" t="s">
        <v>8</v>
      </c>
      <c r="D12" s="337" t="s">
        <v>63</v>
      </c>
      <c r="E12" s="800">
        <f>HOLTROP!G8</f>
        <v>9.9469999999999992</v>
      </c>
      <c r="F12" s="800"/>
      <c r="G12" s="335" t="s">
        <v>4</v>
      </c>
    </row>
    <row r="13" spans="1:19">
      <c r="B13" s="336" t="s">
        <v>10</v>
      </c>
      <c r="D13" s="337" t="s">
        <v>63</v>
      </c>
      <c r="E13" s="800">
        <f>HOLTROP!G9</f>
        <v>16</v>
      </c>
      <c r="F13" s="800"/>
      <c r="G13" s="335" t="s">
        <v>157</v>
      </c>
    </row>
    <row r="14" spans="1:19">
      <c r="B14" s="336" t="s">
        <v>12</v>
      </c>
      <c r="D14" s="337" t="s">
        <v>63</v>
      </c>
      <c r="E14" s="800">
        <f>HOLTROP!G10</f>
        <v>0.68</v>
      </c>
      <c r="F14" s="800"/>
    </row>
    <row r="15" spans="1:19">
      <c r="B15" s="336" t="s">
        <v>14</v>
      </c>
      <c r="D15" s="337" t="s">
        <v>63</v>
      </c>
      <c r="E15" s="800">
        <f>HOLTROP!G12</f>
        <v>0.69</v>
      </c>
      <c r="F15" s="800"/>
    </row>
    <row r="16" spans="1:19">
      <c r="B16" s="336" t="s">
        <v>13</v>
      </c>
      <c r="D16" s="337" t="s">
        <v>63</v>
      </c>
      <c r="E16" s="800">
        <f>HOLTROP!G11</f>
        <v>0.98199999999999998</v>
      </c>
      <c r="F16" s="800"/>
    </row>
    <row r="18" spans="1:19" ht="14.4" customHeight="1">
      <c r="A18" s="875" t="s">
        <v>691</v>
      </c>
      <c r="B18" s="875"/>
      <c r="C18" s="875"/>
      <c r="D18" s="875"/>
      <c r="E18" s="875"/>
      <c r="F18" s="875"/>
      <c r="G18" s="875"/>
      <c r="H18" s="875"/>
      <c r="I18" s="875"/>
      <c r="J18" s="875"/>
      <c r="K18" s="875"/>
      <c r="L18" s="875"/>
      <c r="M18" s="875"/>
      <c r="N18" s="875"/>
      <c r="O18" s="875"/>
      <c r="P18" s="875"/>
      <c r="Q18" s="875"/>
      <c r="R18" s="875"/>
      <c r="S18" s="875"/>
    </row>
    <row r="19" spans="1:19" ht="14.4" customHeight="1">
      <c r="A19" s="875"/>
      <c r="B19" s="875"/>
      <c r="C19" s="875"/>
      <c r="D19" s="875"/>
      <c r="E19" s="875"/>
      <c r="F19" s="875"/>
      <c r="G19" s="875"/>
      <c r="H19" s="875"/>
      <c r="I19" s="875"/>
      <c r="J19" s="875"/>
      <c r="K19" s="875"/>
      <c r="L19" s="875"/>
      <c r="M19" s="875"/>
      <c r="N19" s="875"/>
      <c r="O19" s="875"/>
      <c r="P19" s="875"/>
      <c r="Q19" s="875"/>
      <c r="R19" s="875"/>
      <c r="S19" s="875"/>
    </row>
    <row r="20" spans="1:19">
      <c r="B20" s="346" t="s">
        <v>692</v>
      </c>
      <c r="C20" s="346"/>
      <c r="D20" s="346"/>
      <c r="E20" s="346"/>
      <c r="F20" s="346"/>
      <c r="G20" s="346"/>
      <c r="H20" s="346"/>
      <c r="I20" s="346"/>
      <c r="J20" s="346"/>
    </row>
    <row r="21" spans="1:19" ht="14.4" customHeight="1">
      <c r="B21" s="884" t="s">
        <v>693</v>
      </c>
      <c r="C21" s="884"/>
      <c r="D21" s="884"/>
      <c r="E21" s="884"/>
      <c r="F21" s="884"/>
      <c r="G21" s="884"/>
      <c r="H21" s="884"/>
      <c r="I21" s="884"/>
      <c r="J21" s="884"/>
      <c r="K21" s="884"/>
      <c r="L21" s="884"/>
      <c r="M21" s="884"/>
      <c r="N21" s="884"/>
      <c r="O21" s="884"/>
      <c r="P21" s="884"/>
      <c r="Q21" s="884"/>
      <c r="R21" s="884"/>
      <c r="S21" s="884"/>
    </row>
    <row r="22" spans="1:19">
      <c r="B22" s="884"/>
      <c r="C22" s="884"/>
      <c r="D22" s="884"/>
      <c r="E22" s="884"/>
      <c r="F22" s="884"/>
      <c r="G22" s="884"/>
      <c r="H22" s="884"/>
      <c r="I22" s="884"/>
      <c r="J22" s="884"/>
      <c r="K22" s="884"/>
      <c r="L22" s="884"/>
      <c r="M22" s="884"/>
      <c r="N22" s="884"/>
      <c r="O22" s="884"/>
      <c r="P22" s="884"/>
      <c r="Q22" s="884"/>
      <c r="R22" s="884"/>
      <c r="S22" s="884"/>
    </row>
    <row r="23" spans="1:19">
      <c r="B23" s="347"/>
      <c r="C23" s="347"/>
      <c r="D23" s="347"/>
      <c r="E23" s="347"/>
      <c r="F23" s="347"/>
      <c r="G23" s="347"/>
      <c r="H23" s="347"/>
      <c r="I23" s="347"/>
      <c r="J23" s="347"/>
      <c r="K23" s="347"/>
      <c r="L23" s="347"/>
      <c r="M23" s="347"/>
      <c r="N23" s="347"/>
      <c r="O23" s="347"/>
      <c r="P23" s="347"/>
      <c r="Q23" s="347"/>
      <c r="R23" s="347"/>
      <c r="S23" s="347"/>
    </row>
    <row r="24" spans="1:19">
      <c r="B24" s="335" t="s">
        <v>694</v>
      </c>
    </row>
    <row r="26" spans="1:19" ht="16.8">
      <c r="B26" s="335" t="s">
        <v>695</v>
      </c>
      <c r="E26" s="335" t="s">
        <v>696</v>
      </c>
      <c r="F26" s="338" t="s">
        <v>63</v>
      </c>
      <c r="G26" s="335" t="s">
        <v>697</v>
      </c>
      <c r="L26" s="338" t="s">
        <v>63</v>
      </c>
      <c r="M26" s="880">
        <v>15</v>
      </c>
      <c r="N26" s="880"/>
      <c r="O26" s="335" t="s">
        <v>4</v>
      </c>
    </row>
    <row r="27" spans="1:19" ht="16.8">
      <c r="E27" s="335" t="s">
        <v>698</v>
      </c>
      <c r="F27" s="338" t="s">
        <v>63</v>
      </c>
      <c r="G27" s="335" t="s">
        <v>699</v>
      </c>
      <c r="L27" s="338" t="s">
        <v>63</v>
      </c>
      <c r="M27" s="880">
        <v>2.5</v>
      </c>
      <c r="N27" s="880"/>
      <c r="O27" s="335" t="s">
        <v>4</v>
      </c>
    </row>
    <row r="28" spans="1:19" ht="16.8">
      <c r="E28" s="335" t="s">
        <v>700</v>
      </c>
      <c r="F28" s="338" t="s">
        <v>63</v>
      </c>
      <c r="G28" s="335" t="s">
        <v>701</v>
      </c>
      <c r="L28" s="338" t="s">
        <v>63</v>
      </c>
      <c r="M28" s="880">
        <v>30.68</v>
      </c>
      <c r="N28" s="880"/>
      <c r="O28" s="335" t="s">
        <v>4</v>
      </c>
    </row>
    <row r="29" spans="1:19" ht="16.8">
      <c r="E29" s="335" t="s">
        <v>702</v>
      </c>
      <c r="F29" s="338" t="s">
        <v>63</v>
      </c>
      <c r="G29" s="335" t="s">
        <v>703</v>
      </c>
      <c r="L29" s="338" t="s">
        <v>63</v>
      </c>
      <c r="M29" s="880">
        <v>2.5</v>
      </c>
      <c r="N29" s="880"/>
      <c r="O29" s="335" t="s">
        <v>4</v>
      </c>
    </row>
    <row r="30" spans="1:19">
      <c r="F30" s="338"/>
      <c r="L30" s="338"/>
    </row>
    <row r="31" spans="1:19">
      <c r="B31" s="335" t="s">
        <v>704</v>
      </c>
      <c r="F31" s="338" t="s">
        <v>63</v>
      </c>
      <c r="G31" s="800">
        <f>(E7*(E10+E12))+(0.85*E7*(E11-E12))+0.85*((M26*M27)+0.75*(M28*M29))</f>
        <v>5085.5250999999998</v>
      </c>
      <c r="H31" s="800"/>
      <c r="I31" s="335" t="s">
        <v>215</v>
      </c>
    </row>
    <row r="33" spans="2:19">
      <c r="B33" s="335" t="s">
        <v>705</v>
      </c>
    </row>
    <row r="34" spans="2:19">
      <c r="B34" s="335" t="s">
        <v>706</v>
      </c>
    </row>
    <row r="36" spans="2:19" ht="14.4" customHeight="1">
      <c r="B36" s="879" t="s">
        <v>707</v>
      </c>
      <c r="C36" s="879"/>
      <c r="D36" s="879"/>
      <c r="E36" s="879"/>
      <c r="F36" s="879"/>
      <c r="G36" s="879"/>
      <c r="H36" s="879"/>
      <c r="I36" s="879"/>
      <c r="J36" s="879"/>
      <c r="K36" s="879"/>
      <c r="L36" s="879"/>
      <c r="M36" s="879"/>
      <c r="N36" s="879"/>
      <c r="O36" s="879"/>
      <c r="P36" s="879"/>
      <c r="Q36" s="879"/>
      <c r="R36" s="879"/>
      <c r="S36" s="879"/>
    </row>
    <row r="37" spans="2:19">
      <c r="B37" s="879"/>
      <c r="C37" s="879"/>
      <c r="D37" s="879"/>
      <c r="E37" s="879"/>
      <c r="F37" s="879"/>
      <c r="G37" s="879"/>
      <c r="H37" s="879"/>
      <c r="I37" s="879"/>
      <c r="J37" s="879"/>
      <c r="K37" s="879"/>
      <c r="L37" s="879"/>
      <c r="M37" s="879"/>
      <c r="N37" s="879"/>
      <c r="O37" s="879"/>
      <c r="P37" s="879"/>
      <c r="Q37" s="879"/>
      <c r="R37" s="879"/>
      <c r="S37" s="879"/>
    </row>
    <row r="53" spans="2:11">
      <c r="E53" s="335" t="s">
        <v>708</v>
      </c>
    </row>
    <row r="54" spans="2:11">
      <c r="E54" s="335" t="s">
        <v>1316</v>
      </c>
    </row>
    <row r="55" spans="2:11">
      <c r="C55" s="335" t="s">
        <v>709</v>
      </c>
      <c r="D55" s="337" t="s">
        <v>63</v>
      </c>
      <c r="E55" s="335" t="s">
        <v>710</v>
      </c>
      <c r="H55" s="335" t="s">
        <v>291</v>
      </c>
      <c r="I55" s="881">
        <v>3.5000000000000003E-2</v>
      </c>
      <c r="J55" s="881"/>
      <c r="K55" s="335" t="s">
        <v>711</v>
      </c>
    </row>
    <row r="56" spans="2:11">
      <c r="D56" s="338" t="s">
        <v>63</v>
      </c>
      <c r="E56" s="874">
        <f>I55*(G31)^(1.36)</f>
        <v>3843.12699000877</v>
      </c>
      <c r="F56" s="874"/>
      <c r="G56" s="335" t="s">
        <v>361</v>
      </c>
    </row>
    <row r="58" spans="2:11">
      <c r="B58" s="346" t="s">
        <v>712</v>
      </c>
      <c r="C58" s="346"/>
      <c r="D58" s="346"/>
      <c r="E58" s="346"/>
      <c r="F58" s="346"/>
      <c r="G58" s="346"/>
      <c r="H58" s="346"/>
      <c r="I58" s="346"/>
      <c r="J58" s="346"/>
    </row>
    <row r="59" spans="2:11">
      <c r="C59" s="341" t="s">
        <v>713</v>
      </c>
      <c r="D59" s="337" t="s">
        <v>63</v>
      </c>
      <c r="E59" s="335" t="s">
        <v>714</v>
      </c>
    </row>
    <row r="60" spans="2:11">
      <c r="D60" s="337" t="s">
        <v>63</v>
      </c>
      <c r="E60" s="874">
        <f>0.4*E7*E10</f>
        <v>1298.76</v>
      </c>
      <c r="F60" s="874"/>
      <c r="G60" s="335" t="s">
        <v>361</v>
      </c>
      <c r="H60" s="335" t="s">
        <v>715</v>
      </c>
    </row>
    <row r="62" spans="2:11">
      <c r="B62" s="348" t="s">
        <v>716</v>
      </c>
      <c r="C62" s="348"/>
      <c r="D62" s="348"/>
      <c r="E62" s="348"/>
      <c r="F62" s="348"/>
      <c r="G62" s="348"/>
      <c r="H62" s="348"/>
      <c r="I62" s="348"/>
      <c r="J62" s="348"/>
    </row>
    <row r="63" spans="2:11">
      <c r="C63" s="341" t="s">
        <v>717</v>
      </c>
      <c r="D63" s="337" t="s">
        <v>63</v>
      </c>
      <c r="E63" s="335" t="s">
        <v>718</v>
      </c>
    </row>
    <row r="64" spans="2:11">
      <c r="D64" s="337" t="s">
        <v>63</v>
      </c>
      <c r="E64" s="874">
        <f>0.72*(O7)^0.78</f>
        <v>828.45770145707399</v>
      </c>
      <c r="F64" s="874"/>
      <c r="G64" s="335" t="s">
        <v>361</v>
      </c>
    </row>
    <row r="66" spans="2:18">
      <c r="B66" s="346" t="s">
        <v>719</v>
      </c>
      <c r="C66" s="346"/>
      <c r="D66" s="346"/>
      <c r="E66" s="346"/>
      <c r="F66" s="346"/>
      <c r="G66" s="346"/>
      <c r="H66" s="346"/>
      <c r="I66" s="346"/>
      <c r="J66" s="346"/>
    </row>
    <row r="67" spans="2:18">
      <c r="C67" s="341" t="s">
        <v>720</v>
      </c>
      <c r="D67" s="337" t="s">
        <v>63</v>
      </c>
      <c r="E67" s="335" t="s">
        <v>721</v>
      </c>
    </row>
    <row r="68" spans="2:18">
      <c r="C68" s="341"/>
      <c r="D68" s="337" t="s">
        <v>63</v>
      </c>
      <c r="E68" s="874">
        <f>2.5%*(E56+E60+E64)</f>
        <v>149.25861728664611</v>
      </c>
      <c r="F68" s="874"/>
      <c r="G68" s="335" t="s">
        <v>361</v>
      </c>
    </row>
    <row r="69" spans="2:18">
      <c r="C69" s="341"/>
      <c r="D69" s="337"/>
      <c r="E69" s="338"/>
      <c r="F69" s="338"/>
    </row>
    <row r="70" spans="2:18">
      <c r="B70" s="346" t="s">
        <v>722</v>
      </c>
      <c r="C70" s="341"/>
      <c r="D70" s="337"/>
      <c r="E70" s="338"/>
      <c r="F70" s="338"/>
      <c r="O70" s="335">
        <v>2.1419999999999999</v>
      </c>
    </row>
    <row r="71" spans="2:18">
      <c r="C71" s="341" t="s">
        <v>723</v>
      </c>
      <c r="D71" s="337" t="s">
        <v>63</v>
      </c>
      <c r="E71" s="335" t="s">
        <v>724</v>
      </c>
      <c r="O71" s="335">
        <v>1.8</v>
      </c>
    </row>
    <row r="72" spans="2:18">
      <c r="D72" s="337" t="s">
        <v>63</v>
      </c>
      <c r="E72" s="874">
        <f>E56+E60+E64+E68</f>
        <v>6119.6033087524902</v>
      </c>
      <c r="F72" s="874"/>
      <c r="G72" s="335" t="s">
        <v>361</v>
      </c>
      <c r="O72" s="335">
        <f>O71/O70</f>
        <v>0.84033613445378152</v>
      </c>
    </row>
    <row r="74" spans="2:18">
      <c r="C74" s="341" t="s">
        <v>725</v>
      </c>
      <c r="D74" s="338" t="s">
        <v>63</v>
      </c>
      <c r="E74" s="335" t="s">
        <v>726</v>
      </c>
    </row>
    <row r="75" spans="2:18">
      <c r="D75" s="338" t="s">
        <v>63</v>
      </c>
      <c r="E75" s="874">
        <f>O10-E72</f>
        <v>16863.966083447987</v>
      </c>
      <c r="F75" s="874"/>
      <c r="G75" s="335" t="s">
        <v>361</v>
      </c>
    </row>
    <row r="76" spans="2:18">
      <c r="D76" s="338"/>
      <c r="E76" s="338"/>
      <c r="F76" s="338"/>
    </row>
    <row r="77" spans="2:18">
      <c r="B77" s="346" t="s">
        <v>727</v>
      </c>
    </row>
    <row r="78" spans="2:18">
      <c r="C78" s="341" t="s">
        <v>728</v>
      </c>
      <c r="D78" s="338" t="s">
        <v>63</v>
      </c>
      <c r="E78" s="335" t="s">
        <v>729</v>
      </c>
      <c r="K78" s="335" t="s">
        <v>730</v>
      </c>
    </row>
    <row r="79" spans="2:18">
      <c r="D79" s="338" t="s">
        <v>63</v>
      </c>
      <c r="E79" s="874">
        <f>E75-O11</f>
        <v>16023.512994057988</v>
      </c>
      <c r="F79" s="874"/>
      <c r="G79" s="335" t="s">
        <v>361</v>
      </c>
      <c r="J79" s="338"/>
      <c r="K79" s="335" t="s">
        <v>731</v>
      </c>
      <c r="O79" s="337" t="s">
        <v>63</v>
      </c>
      <c r="P79" s="800">
        <v>0.92</v>
      </c>
      <c r="Q79" s="800"/>
      <c r="R79" s="335" t="s">
        <v>732</v>
      </c>
    </row>
    <row r="80" spans="2:18">
      <c r="D80" s="338"/>
      <c r="E80" s="338"/>
      <c r="F80" s="338"/>
      <c r="O80" s="337"/>
      <c r="P80" s="800"/>
      <c r="Q80" s="800"/>
    </row>
    <row r="81" spans="1:19">
      <c r="C81" s="341" t="s">
        <v>581</v>
      </c>
      <c r="D81" s="338" t="s">
        <v>63</v>
      </c>
      <c r="E81" s="335" t="s">
        <v>733</v>
      </c>
    </row>
    <row r="82" spans="1:19">
      <c r="C82" s="341"/>
      <c r="D82" s="338" t="s">
        <v>63</v>
      </c>
      <c r="E82" s="874">
        <f>E79/P79</f>
        <v>17416.86195006303</v>
      </c>
      <c r="F82" s="874"/>
      <c r="G82" s="335" t="s">
        <v>151</v>
      </c>
      <c r="H82" s="335" t="s">
        <v>734</v>
      </c>
    </row>
    <row r="83" spans="1:19">
      <c r="C83" s="341"/>
      <c r="D83" s="338"/>
      <c r="E83" s="338"/>
      <c r="F83" s="338"/>
    </row>
    <row r="84" spans="1:19">
      <c r="C84" s="341"/>
      <c r="D84" s="338"/>
      <c r="E84" s="338"/>
      <c r="F84" s="338"/>
    </row>
    <row r="85" spans="1:19" ht="14.4" customHeight="1">
      <c r="A85" s="875" t="s">
        <v>735</v>
      </c>
      <c r="B85" s="875"/>
      <c r="C85" s="875"/>
      <c r="D85" s="875"/>
      <c r="E85" s="875"/>
      <c r="F85" s="875"/>
      <c r="G85" s="875"/>
      <c r="H85" s="875"/>
      <c r="I85" s="875"/>
      <c r="J85" s="875"/>
      <c r="K85" s="875"/>
      <c r="L85" s="875"/>
      <c r="M85" s="875"/>
      <c r="N85" s="875"/>
      <c r="O85" s="875"/>
      <c r="P85" s="875"/>
      <c r="Q85" s="875"/>
      <c r="R85" s="875"/>
      <c r="S85" s="875"/>
    </row>
    <row r="86" spans="1:19" ht="14.4" customHeight="1">
      <c r="A86" s="875"/>
      <c r="B86" s="875"/>
      <c r="C86" s="875"/>
      <c r="D86" s="875"/>
      <c r="E86" s="875"/>
      <c r="F86" s="875"/>
      <c r="G86" s="875"/>
      <c r="H86" s="875"/>
      <c r="I86" s="875"/>
      <c r="J86" s="875"/>
      <c r="K86" s="875"/>
      <c r="L86" s="875"/>
      <c r="M86" s="875"/>
      <c r="N86" s="875"/>
      <c r="O86" s="875"/>
      <c r="P86" s="875"/>
      <c r="Q86" s="875"/>
      <c r="R86" s="875"/>
      <c r="S86" s="875"/>
    </row>
    <row r="87" spans="1:19">
      <c r="B87" s="346" t="s">
        <v>736</v>
      </c>
    </row>
    <row r="97" spans="2:19">
      <c r="O97" s="335" t="s">
        <v>820</v>
      </c>
    </row>
    <row r="98" spans="2:19">
      <c r="B98" s="341"/>
      <c r="C98" s="341" t="s">
        <v>819</v>
      </c>
      <c r="D98" s="338" t="s">
        <v>63</v>
      </c>
      <c r="E98" s="335" t="s">
        <v>818</v>
      </c>
    </row>
    <row r="99" spans="2:19">
      <c r="B99" s="341"/>
      <c r="C99" s="341" t="s">
        <v>819</v>
      </c>
      <c r="D99" s="338" t="s">
        <v>63</v>
      </c>
      <c r="E99" s="876">
        <f>2.08*E7+438</f>
        <v>722.96</v>
      </c>
      <c r="F99" s="876"/>
      <c r="G99" s="349" t="s">
        <v>351</v>
      </c>
      <c r="H99" s="343"/>
    </row>
    <row r="100" spans="2:19">
      <c r="B100" s="341"/>
      <c r="C100" s="341" t="s">
        <v>737</v>
      </c>
      <c r="D100" s="338" t="s">
        <v>63</v>
      </c>
      <c r="E100" s="877">
        <v>700</v>
      </c>
      <c r="F100" s="877"/>
      <c r="G100" s="335" t="s">
        <v>351</v>
      </c>
    </row>
    <row r="101" spans="2:19">
      <c r="B101" s="341"/>
      <c r="C101" s="341" t="s">
        <v>738</v>
      </c>
      <c r="D101" s="338" t="s">
        <v>63</v>
      </c>
      <c r="E101" s="877">
        <v>600</v>
      </c>
      <c r="F101" s="877"/>
      <c r="G101" s="349" t="s">
        <v>351</v>
      </c>
      <c r="H101" s="343"/>
      <c r="I101" s="335" t="s">
        <v>739</v>
      </c>
    </row>
    <row r="102" spans="2:19">
      <c r="B102" s="341"/>
    </row>
    <row r="103" spans="2:19">
      <c r="B103" s="346" t="s">
        <v>740</v>
      </c>
      <c r="C103" s="346"/>
      <c r="D103" s="346"/>
      <c r="E103" s="346"/>
      <c r="F103" s="346"/>
      <c r="G103" s="346"/>
      <c r="H103" s="346"/>
      <c r="I103" s="346"/>
      <c r="J103" s="346"/>
    </row>
    <row r="104" spans="2:19">
      <c r="B104" s="872" t="s">
        <v>821</v>
      </c>
      <c r="C104" s="878"/>
      <c r="D104" s="878"/>
      <c r="E104" s="878"/>
      <c r="F104" s="878"/>
      <c r="G104" s="878"/>
      <c r="H104" s="878"/>
      <c r="I104" s="878"/>
      <c r="J104" s="878"/>
      <c r="K104" s="878"/>
      <c r="L104" s="878"/>
      <c r="M104" s="878"/>
      <c r="N104" s="878"/>
      <c r="O104" s="878"/>
      <c r="P104" s="878"/>
      <c r="Q104" s="878"/>
      <c r="R104" s="878"/>
      <c r="S104" s="878"/>
    </row>
    <row r="105" spans="2:19">
      <c r="B105" s="878"/>
      <c r="C105" s="878"/>
      <c r="D105" s="878"/>
      <c r="E105" s="878"/>
      <c r="F105" s="878"/>
      <c r="G105" s="878"/>
      <c r="H105" s="878"/>
      <c r="I105" s="878"/>
      <c r="J105" s="878"/>
      <c r="K105" s="878"/>
      <c r="L105" s="878"/>
      <c r="M105" s="878"/>
      <c r="N105" s="878"/>
      <c r="O105" s="878"/>
      <c r="P105" s="878"/>
      <c r="Q105" s="878"/>
      <c r="R105" s="878"/>
      <c r="S105" s="878"/>
    </row>
    <row r="106" spans="2:19">
      <c r="B106" s="878"/>
      <c r="C106" s="878"/>
      <c r="D106" s="878"/>
      <c r="E106" s="878"/>
      <c r="F106" s="878"/>
      <c r="G106" s="878"/>
      <c r="H106" s="878"/>
      <c r="I106" s="878"/>
      <c r="J106" s="878"/>
      <c r="K106" s="878"/>
      <c r="L106" s="878"/>
      <c r="M106" s="878"/>
      <c r="N106" s="878"/>
      <c r="O106" s="878"/>
      <c r="P106" s="878"/>
      <c r="Q106" s="878"/>
      <c r="R106" s="878"/>
      <c r="S106" s="878"/>
    </row>
    <row r="107" spans="2:19">
      <c r="B107" s="878"/>
      <c r="C107" s="878"/>
      <c r="D107" s="878"/>
      <c r="E107" s="878"/>
      <c r="F107" s="878"/>
      <c r="G107" s="878"/>
      <c r="H107" s="878"/>
      <c r="I107" s="878"/>
      <c r="J107" s="878"/>
      <c r="K107" s="878"/>
      <c r="L107" s="878"/>
      <c r="M107" s="878"/>
      <c r="N107" s="878"/>
      <c r="O107" s="878"/>
      <c r="P107" s="878"/>
      <c r="Q107" s="878"/>
      <c r="R107" s="878"/>
      <c r="S107" s="878"/>
    </row>
    <row r="108" spans="2:19">
      <c r="B108" s="335" t="s">
        <v>741</v>
      </c>
    </row>
    <row r="109" spans="2:19">
      <c r="B109" s="335" t="s">
        <v>276</v>
      </c>
      <c r="C109" s="335" t="s">
        <v>577</v>
      </c>
      <c r="D109" s="335" t="s">
        <v>742</v>
      </c>
      <c r="H109" s="335" t="s">
        <v>815</v>
      </c>
    </row>
    <row r="110" spans="2:19">
      <c r="C110" s="335" t="s">
        <v>63</v>
      </c>
      <c r="D110" s="335">
        <f>0.5+(E75/20000)</f>
        <v>1.3431983041723994</v>
      </c>
      <c r="E110" s="335" t="s">
        <v>4</v>
      </c>
    </row>
    <row r="112" spans="2:19">
      <c r="B112" s="335" t="s">
        <v>743</v>
      </c>
    </row>
    <row r="122" spans="2:12">
      <c r="C122" s="341" t="s">
        <v>745</v>
      </c>
      <c r="D122" s="338" t="s">
        <v>63</v>
      </c>
      <c r="E122" s="335" t="s">
        <v>744</v>
      </c>
    </row>
    <row r="123" spans="2:12">
      <c r="C123" s="341" t="s">
        <v>744</v>
      </c>
      <c r="D123" s="338" t="s">
        <v>63</v>
      </c>
      <c r="E123" s="335" t="s">
        <v>822</v>
      </c>
    </row>
    <row r="124" spans="2:12">
      <c r="C124" s="341" t="s">
        <v>744</v>
      </c>
      <c r="D124" s="338" t="s">
        <v>63</v>
      </c>
      <c r="E124" s="800">
        <f>(32*E10)+(190*(E12)^(1/2))</f>
        <v>1357.6384333468607</v>
      </c>
      <c r="F124" s="800"/>
      <c r="G124" s="335" t="s">
        <v>351</v>
      </c>
      <c r="L124" s="335" t="s">
        <v>641</v>
      </c>
    </row>
    <row r="125" spans="2:12">
      <c r="C125" s="341" t="s">
        <v>746</v>
      </c>
      <c r="D125" s="338" t="s">
        <v>63</v>
      </c>
      <c r="E125" s="874">
        <v>1.325</v>
      </c>
      <c r="F125" s="874"/>
      <c r="G125" s="335" t="s">
        <v>4</v>
      </c>
      <c r="I125" s="341"/>
    </row>
    <row r="126" spans="2:12">
      <c r="I126" s="341"/>
    </row>
    <row r="127" spans="2:12">
      <c r="B127" s="346" t="s">
        <v>747</v>
      </c>
      <c r="C127" s="346"/>
      <c r="D127" s="346"/>
      <c r="E127" s="346"/>
      <c r="F127" s="346"/>
      <c r="G127" s="346"/>
      <c r="H127" s="346"/>
      <c r="I127" s="346"/>
      <c r="J127" s="346"/>
    </row>
    <row r="128" spans="2:12">
      <c r="C128" s="346" t="s">
        <v>748</v>
      </c>
      <c r="D128" s="346"/>
      <c r="E128" s="346"/>
      <c r="F128" s="346"/>
      <c r="G128" s="346"/>
      <c r="H128" s="346"/>
      <c r="I128" s="346"/>
      <c r="J128" s="346"/>
    </row>
    <row r="129" spans="4:19" ht="14.4" customHeight="1">
      <c r="D129" s="879" t="s">
        <v>749</v>
      </c>
      <c r="E129" s="879"/>
      <c r="F129" s="879"/>
      <c r="G129" s="879"/>
      <c r="H129" s="879"/>
      <c r="I129" s="879"/>
      <c r="J129" s="879"/>
      <c r="K129" s="879"/>
      <c r="L129" s="879"/>
      <c r="M129" s="879"/>
      <c r="N129" s="879"/>
      <c r="O129" s="879"/>
      <c r="P129" s="879"/>
      <c r="Q129" s="879"/>
      <c r="R129" s="879"/>
      <c r="S129" s="879"/>
    </row>
    <row r="130" spans="4:19">
      <c r="D130" s="879"/>
      <c r="E130" s="879"/>
      <c r="F130" s="879"/>
      <c r="G130" s="879"/>
      <c r="H130" s="879"/>
      <c r="I130" s="879"/>
      <c r="J130" s="879"/>
      <c r="K130" s="879"/>
      <c r="L130" s="879"/>
      <c r="M130" s="879"/>
      <c r="N130" s="879"/>
      <c r="O130" s="879"/>
      <c r="P130" s="879"/>
      <c r="Q130" s="879"/>
      <c r="R130" s="879"/>
      <c r="S130" s="879"/>
    </row>
    <row r="132" spans="4:19">
      <c r="F132" s="341" t="s">
        <v>750</v>
      </c>
      <c r="G132" s="338" t="s">
        <v>63</v>
      </c>
      <c r="H132" s="800">
        <f>0.35*E12</f>
        <v>3.4814499999999997</v>
      </c>
      <c r="I132" s="800"/>
      <c r="J132" s="335" t="s">
        <v>4</v>
      </c>
    </row>
    <row r="133" spans="4:19">
      <c r="F133" s="350" t="s">
        <v>751</v>
      </c>
      <c r="G133" s="338" t="s">
        <v>63</v>
      </c>
      <c r="H133" s="800">
        <f>H132+3*E101/1000</f>
        <v>5.2814499999999995</v>
      </c>
      <c r="I133" s="800"/>
      <c r="J133" s="335" t="s">
        <v>4</v>
      </c>
    </row>
    <row r="134" spans="4:19">
      <c r="F134" s="341" t="s">
        <v>737</v>
      </c>
      <c r="G134" s="338" t="s">
        <v>63</v>
      </c>
      <c r="H134" s="874">
        <v>4.8</v>
      </c>
      <c r="I134" s="874"/>
      <c r="J134" s="335" t="s">
        <v>4</v>
      </c>
    </row>
    <row r="148" spans="3:33">
      <c r="C148" s="346" t="s">
        <v>752</v>
      </c>
      <c r="D148" s="346"/>
      <c r="E148" s="346"/>
      <c r="F148" s="346"/>
      <c r="G148" s="346"/>
      <c r="H148" s="346"/>
      <c r="I148" s="346"/>
      <c r="J148" s="346"/>
    </row>
    <row r="149" spans="3:33" ht="14.4" customHeight="1">
      <c r="C149" s="351" t="s">
        <v>753</v>
      </c>
      <c r="E149" s="345"/>
      <c r="F149" s="345"/>
      <c r="G149" s="345"/>
      <c r="H149" s="345"/>
      <c r="I149" s="345"/>
      <c r="J149" s="345"/>
      <c r="K149" s="345"/>
      <c r="L149" s="345"/>
      <c r="M149" s="345"/>
      <c r="N149" s="345"/>
      <c r="O149" s="345"/>
      <c r="P149" s="345"/>
      <c r="Q149" s="345"/>
      <c r="R149" s="352"/>
      <c r="S149" s="345"/>
    </row>
    <row r="150" spans="3:33" ht="15" customHeight="1">
      <c r="C150" s="352" t="s">
        <v>754</v>
      </c>
      <c r="E150" s="345"/>
      <c r="F150" s="345"/>
      <c r="G150" s="345"/>
      <c r="H150" s="345"/>
      <c r="I150" s="345"/>
      <c r="J150" s="345"/>
      <c r="K150" s="345"/>
      <c r="L150" s="345"/>
      <c r="M150" s="345"/>
      <c r="N150" s="345"/>
      <c r="O150" s="345"/>
      <c r="P150" s="345"/>
      <c r="Q150" s="345"/>
      <c r="R150" s="345"/>
      <c r="S150" s="345"/>
      <c r="AG150" s="366"/>
    </row>
    <row r="151" spans="3:33" ht="15" customHeight="1">
      <c r="C151" s="339"/>
      <c r="D151" s="345"/>
      <c r="E151" s="345"/>
      <c r="F151" s="345"/>
      <c r="G151" s="345"/>
      <c r="H151" s="345"/>
      <c r="I151" s="345"/>
      <c r="J151" s="345"/>
      <c r="K151" s="345"/>
      <c r="L151" s="345"/>
      <c r="M151" s="345"/>
      <c r="N151" s="345"/>
      <c r="O151" s="345"/>
      <c r="P151" s="345"/>
      <c r="Q151" s="345"/>
      <c r="R151" s="345"/>
      <c r="S151" s="345"/>
      <c r="AG151" s="366"/>
    </row>
    <row r="152" spans="3:33">
      <c r="D152" s="351" t="s">
        <v>755</v>
      </c>
      <c r="F152" s="353"/>
      <c r="G152" s="353"/>
      <c r="H152" s="353"/>
      <c r="I152" s="353"/>
      <c r="J152" s="353"/>
      <c r="K152" s="353"/>
      <c r="L152" s="353"/>
      <c r="AG152" s="366"/>
    </row>
    <row r="153" spans="3:33">
      <c r="D153" s="351"/>
      <c r="F153" s="353"/>
      <c r="G153" s="353"/>
      <c r="H153" s="353"/>
      <c r="I153" s="353"/>
      <c r="J153" s="353"/>
      <c r="K153" s="353"/>
      <c r="L153" s="353"/>
      <c r="AG153" s="366"/>
    </row>
    <row r="154" spans="3:33">
      <c r="F154" s="341" t="s">
        <v>756</v>
      </c>
      <c r="G154" s="337" t="s">
        <v>63</v>
      </c>
      <c r="H154" s="800">
        <f>0.18*$E$7</f>
        <v>24.66</v>
      </c>
      <c r="I154" s="800"/>
      <c r="J154" s="353" t="s">
        <v>4</v>
      </c>
      <c r="K154" s="353"/>
      <c r="L154" s="353"/>
      <c r="AG154" s="366"/>
    </row>
    <row r="155" spans="3:33">
      <c r="C155" s="335" t="s">
        <v>823</v>
      </c>
      <c r="E155" s="341"/>
      <c r="F155" s="337"/>
      <c r="G155" s="335" t="s">
        <v>63</v>
      </c>
      <c r="H155" s="800">
        <v>20373</v>
      </c>
      <c r="I155" s="800"/>
      <c r="J155" s="344" t="s">
        <v>351</v>
      </c>
      <c r="K155" s="353"/>
      <c r="L155" s="353"/>
    </row>
    <row r="156" spans="3:33">
      <c r="D156" s="335" t="s">
        <v>824</v>
      </c>
      <c r="G156" s="335" t="s">
        <v>63</v>
      </c>
      <c r="H156" s="800">
        <v>700</v>
      </c>
      <c r="I156" s="800"/>
      <c r="J156" s="335" t="s">
        <v>351</v>
      </c>
      <c r="L156" s="347"/>
      <c r="M156" s="353"/>
    </row>
    <row r="157" spans="3:33">
      <c r="D157" s="335" t="s">
        <v>825</v>
      </c>
      <c r="E157" s="341"/>
      <c r="F157" s="337"/>
      <c r="G157" s="335" t="s">
        <v>63</v>
      </c>
      <c r="H157" s="800">
        <f>H155/700</f>
        <v>29.104285714285716</v>
      </c>
      <c r="I157" s="800"/>
    </row>
    <row r="158" spans="3:33">
      <c r="E158" s="341"/>
      <c r="F158" s="337"/>
      <c r="G158" s="367" t="s">
        <v>63</v>
      </c>
      <c r="H158" s="868">
        <v>29</v>
      </c>
      <c r="I158" s="868"/>
    </row>
    <row r="159" spans="3:33">
      <c r="C159" s="335" t="s">
        <v>826</v>
      </c>
      <c r="G159" s="335" t="s">
        <v>63</v>
      </c>
      <c r="H159" s="800">
        <v>20300</v>
      </c>
      <c r="I159" s="800"/>
      <c r="J159" s="335" t="s">
        <v>351</v>
      </c>
    </row>
    <row r="160" spans="3:33">
      <c r="E160" s="341"/>
      <c r="F160" s="337"/>
      <c r="G160" s="353"/>
      <c r="H160" s="353"/>
      <c r="I160" s="353"/>
    </row>
    <row r="161" spans="3:19">
      <c r="C161" s="346" t="s">
        <v>757</v>
      </c>
      <c r="D161" s="346"/>
      <c r="E161" s="346"/>
      <c r="F161" s="346"/>
      <c r="G161" s="346"/>
      <c r="H161" s="346"/>
      <c r="I161" s="346"/>
      <c r="J161" s="346"/>
      <c r="K161" s="346"/>
    </row>
    <row r="162" spans="3:19" ht="15.6" customHeight="1">
      <c r="D162" s="336" t="s">
        <v>758</v>
      </c>
      <c r="E162" s="354"/>
      <c r="F162" s="354"/>
      <c r="G162" s="354"/>
      <c r="H162" s="354"/>
      <c r="I162" s="354"/>
      <c r="J162" s="354"/>
      <c r="K162" s="354"/>
      <c r="L162" s="354"/>
      <c r="M162" s="354"/>
      <c r="N162" s="354"/>
      <c r="O162" s="354"/>
      <c r="P162" s="354"/>
      <c r="Q162" s="354"/>
      <c r="R162" s="354"/>
      <c r="S162" s="354"/>
    </row>
    <row r="163" spans="3:19" ht="15.6" customHeight="1">
      <c r="D163" s="352" t="s">
        <v>759</v>
      </c>
      <c r="E163" s="354"/>
      <c r="F163" s="354"/>
      <c r="G163" s="354"/>
      <c r="H163" s="354"/>
      <c r="I163" s="354"/>
      <c r="J163" s="354"/>
      <c r="K163" s="354"/>
      <c r="L163" s="354"/>
      <c r="M163" s="354"/>
      <c r="N163" s="354"/>
      <c r="O163" s="354"/>
      <c r="P163" s="354"/>
      <c r="Q163" s="354"/>
      <c r="R163" s="354"/>
      <c r="S163" s="354"/>
    </row>
    <row r="164" spans="3:19" ht="15.6" customHeight="1">
      <c r="D164" s="354"/>
      <c r="E164" s="354"/>
      <c r="F164" s="354"/>
      <c r="G164" s="354"/>
      <c r="H164" s="354"/>
      <c r="I164" s="354"/>
      <c r="J164" s="354"/>
      <c r="K164" s="354"/>
      <c r="L164" s="354"/>
      <c r="M164" s="354"/>
      <c r="N164" s="354"/>
      <c r="O164" s="354"/>
      <c r="P164" s="354"/>
      <c r="Q164" s="354"/>
      <c r="R164" s="354"/>
      <c r="S164" s="354"/>
    </row>
    <row r="165" spans="3:19">
      <c r="E165" s="341" t="s">
        <v>760</v>
      </c>
      <c r="F165" s="337" t="s">
        <v>63</v>
      </c>
      <c r="G165" s="800">
        <f>0.05*$E$7</f>
        <v>6.8500000000000005</v>
      </c>
      <c r="H165" s="800"/>
      <c r="I165" s="353" t="s">
        <v>4</v>
      </c>
    </row>
    <row r="166" spans="3:19">
      <c r="E166" s="341" t="s">
        <v>761</v>
      </c>
      <c r="F166" s="337" t="s">
        <v>63</v>
      </c>
      <c r="G166" s="800">
        <f>0.06*$E$7</f>
        <v>8.2199999999999989</v>
      </c>
      <c r="H166" s="800"/>
      <c r="I166" s="353" t="s">
        <v>4</v>
      </c>
    </row>
    <row r="167" spans="3:19">
      <c r="E167" s="341" t="s">
        <v>762</v>
      </c>
      <c r="F167" s="337" t="s">
        <v>63</v>
      </c>
      <c r="G167" s="800">
        <f>0.07*$E$7</f>
        <v>9.5900000000000016</v>
      </c>
      <c r="H167" s="800"/>
      <c r="I167" s="353" t="s">
        <v>4</v>
      </c>
    </row>
    <row r="168" spans="3:19">
      <c r="E168" s="341" t="s">
        <v>763</v>
      </c>
      <c r="F168" s="337" t="s">
        <v>63</v>
      </c>
      <c r="G168" s="800">
        <f>0.08*$E$7</f>
        <v>10.96</v>
      </c>
      <c r="H168" s="800"/>
      <c r="I168" s="353" t="s">
        <v>4</v>
      </c>
    </row>
    <row r="169" spans="3:19">
      <c r="E169" s="341"/>
      <c r="F169" s="337"/>
      <c r="G169" s="338"/>
      <c r="H169" s="338"/>
      <c r="I169" s="353"/>
    </row>
    <row r="170" spans="3:19">
      <c r="E170" s="341" t="s">
        <v>737</v>
      </c>
      <c r="F170" s="337" t="s">
        <v>63</v>
      </c>
      <c r="G170" s="800">
        <f>0.08*$E$7</f>
        <v>10.96</v>
      </c>
      <c r="H170" s="800"/>
      <c r="I170" s="353" t="s">
        <v>4</v>
      </c>
    </row>
    <row r="171" spans="3:19">
      <c r="E171" s="341"/>
      <c r="F171" s="337"/>
      <c r="G171" s="353"/>
      <c r="H171" s="353"/>
      <c r="I171" s="353"/>
    </row>
    <row r="172" spans="3:19">
      <c r="C172" s="346" t="s">
        <v>764</v>
      </c>
      <c r="D172" s="346"/>
      <c r="E172" s="346"/>
      <c r="F172" s="346"/>
      <c r="G172" s="346"/>
      <c r="H172" s="346"/>
      <c r="I172" s="346"/>
      <c r="J172" s="346"/>
      <c r="K172" s="346"/>
    </row>
    <row r="198" spans="2:19">
      <c r="E198" s="341" t="s">
        <v>196</v>
      </c>
      <c r="F198" s="337" t="s">
        <v>63</v>
      </c>
      <c r="G198" s="800">
        <f>E7</f>
        <v>137</v>
      </c>
      <c r="H198" s="800"/>
      <c r="I198" s="335" t="s">
        <v>4</v>
      </c>
    </row>
    <row r="199" spans="2:19">
      <c r="D199" s="335" t="s">
        <v>765</v>
      </c>
      <c r="E199" s="341"/>
      <c r="F199" s="337"/>
      <c r="G199" s="338"/>
      <c r="H199" s="338"/>
    </row>
    <row r="200" spans="2:19">
      <c r="D200" s="335" t="s">
        <v>1068</v>
      </c>
      <c r="E200" s="341"/>
      <c r="F200" s="337"/>
      <c r="G200" s="338"/>
      <c r="H200" s="338"/>
    </row>
    <row r="201" spans="2:19">
      <c r="D201" s="335" t="s">
        <v>766</v>
      </c>
      <c r="E201" s="355"/>
      <c r="F201" s="355"/>
      <c r="G201" s="355"/>
      <c r="H201" s="355"/>
      <c r="I201" s="355"/>
      <c r="J201" s="355"/>
      <c r="K201" s="355"/>
      <c r="L201" s="355"/>
      <c r="M201" s="355"/>
      <c r="N201" s="355"/>
      <c r="O201" s="355"/>
      <c r="P201" s="355"/>
      <c r="Q201" s="355"/>
      <c r="R201" s="355"/>
      <c r="S201" s="355"/>
    </row>
    <row r="202" spans="2:19">
      <c r="E202" s="355"/>
      <c r="F202" s="355"/>
      <c r="G202" s="355"/>
      <c r="H202" s="355"/>
      <c r="I202" s="355"/>
      <c r="J202" s="355"/>
      <c r="K202" s="355"/>
      <c r="L202" s="355"/>
      <c r="M202" s="355"/>
      <c r="N202" s="355"/>
      <c r="O202" s="355"/>
      <c r="P202" s="355"/>
      <c r="Q202" s="355"/>
      <c r="R202" s="355"/>
      <c r="S202" s="355"/>
    </row>
    <row r="203" spans="2:19">
      <c r="C203" s="341"/>
      <c r="E203" s="341" t="s">
        <v>737</v>
      </c>
      <c r="F203" s="337" t="s">
        <v>63</v>
      </c>
      <c r="G203" s="340">
        <v>7</v>
      </c>
      <c r="I203" s="335">
        <v>7</v>
      </c>
    </row>
    <row r="205" spans="2:19" ht="14.4" customHeight="1">
      <c r="B205" s="346" t="s">
        <v>1308</v>
      </c>
      <c r="D205" s="341"/>
      <c r="E205" s="337"/>
      <c r="F205" s="338"/>
      <c r="G205" s="338"/>
      <c r="H205" s="338"/>
    </row>
    <row r="206" spans="2:19">
      <c r="B206" s="872" t="s">
        <v>767</v>
      </c>
      <c r="C206" s="872"/>
      <c r="D206" s="872"/>
      <c r="E206" s="872"/>
      <c r="F206" s="872"/>
      <c r="G206" s="872"/>
      <c r="H206" s="872"/>
      <c r="I206" s="872"/>
      <c r="J206" s="872"/>
      <c r="K206" s="872"/>
      <c r="L206" s="872"/>
      <c r="M206" s="872"/>
      <c r="N206" s="872"/>
      <c r="O206" s="872"/>
      <c r="P206" s="872"/>
      <c r="Q206" s="872"/>
      <c r="R206" s="872"/>
      <c r="S206" s="872"/>
    </row>
    <row r="207" spans="2:19">
      <c r="B207" s="872"/>
      <c r="C207" s="872"/>
      <c r="D207" s="872"/>
      <c r="E207" s="872"/>
      <c r="F207" s="872"/>
      <c r="G207" s="872"/>
      <c r="H207" s="872"/>
      <c r="I207" s="872"/>
      <c r="J207" s="872"/>
      <c r="K207" s="872"/>
      <c r="L207" s="872"/>
      <c r="M207" s="872"/>
      <c r="N207" s="872"/>
      <c r="O207" s="872"/>
      <c r="P207" s="872"/>
      <c r="Q207" s="872"/>
      <c r="R207" s="872"/>
      <c r="S207" s="872"/>
    </row>
    <row r="208" spans="2:19">
      <c r="B208" s="341" t="s">
        <v>79</v>
      </c>
      <c r="C208" s="335" t="s">
        <v>430</v>
      </c>
      <c r="D208" s="336" t="s">
        <v>768</v>
      </c>
      <c r="E208" s="337"/>
      <c r="F208" s="338"/>
      <c r="G208" s="338"/>
      <c r="H208" s="338"/>
    </row>
    <row r="209" spans="2:23">
      <c r="B209" s="341"/>
      <c r="C209" s="335" t="s">
        <v>577</v>
      </c>
      <c r="D209" s="873">
        <f>0.03*E79</f>
        <v>480.70538982173963</v>
      </c>
      <c r="E209" s="873"/>
      <c r="F209" s="338" t="s">
        <v>26</v>
      </c>
      <c r="G209" s="338"/>
      <c r="H209" s="338"/>
    </row>
    <row r="210" spans="2:23">
      <c r="C210" s="335" t="s">
        <v>430</v>
      </c>
      <c r="D210" s="800">
        <f>D209/P79</f>
        <v>522.50585850189088</v>
      </c>
      <c r="E210" s="800"/>
      <c r="F210" s="338" t="s">
        <v>151</v>
      </c>
      <c r="G210" s="338"/>
    </row>
    <row r="211" spans="2:23">
      <c r="D211" s="341"/>
      <c r="E211" s="337"/>
      <c r="F211" s="338"/>
      <c r="G211" s="338"/>
    </row>
    <row r="212" spans="2:23" ht="14.25" customHeight="1">
      <c r="B212" s="346" t="s">
        <v>1309</v>
      </c>
      <c r="C212" s="346"/>
      <c r="D212" s="346"/>
      <c r="E212" s="346"/>
      <c r="F212" s="346"/>
      <c r="G212" s="346"/>
      <c r="H212" s="346"/>
      <c r="I212" s="346"/>
    </row>
    <row r="213" spans="2:23" ht="16.2">
      <c r="D213" s="358" t="s">
        <v>771</v>
      </c>
      <c r="E213" s="337" t="s">
        <v>63</v>
      </c>
      <c r="F213" s="800">
        <f>'DOC 2 ATTACH'!E163</f>
        <v>1.730092</v>
      </c>
      <c r="G213" s="800"/>
      <c r="H213" s="338" t="s">
        <v>571</v>
      </c>
      <c r="J213" s="335" t="s">
        <v>772</v>
      </c>
    </row>
    <row r="214" spans="2:23">
      <c r="B214" s="346" t="s">
        <v>1310</v>
      </c>
      <c r="C214" s="346"/>
      <c r="D214" s="346"/>
      <c r="E214" s="346"/>
      <c r="F214" s="346"/>
      <c r="G214" s="346"/>
      <c r="H214" s="346"/>
      <c r="I214" s="346"/>
    </row>
    <row r="215" spans="2:23" ht="16.2">
      <c r="B215" s="340"/>
      <c r="C215" s="340"/>
      <c r="D215" s="364" t="s">
        <v>773</v>
      </c>
      <c r="E215" s="337" t="s">
        <v>63</v>
      </c>
      <c r="F215" s="800">
        <f>'DOC 2 ATTACH'!F167</f>
        <v>22.734375</v>
      </c>
      <c r="G215" s="800"/>
      <c r="H215" s="338" t="s">
        <v>571</v>
      </c>
      <c r="K215" s="356"/>
      <c r="M215" s="341"/>
      <c r="N215" s="337"/>
      <c r="T215" s="338"/>
      <c r="U215" s="338"/>
      <c r="W215" s="338"/>
    </row>
    <row r="216" spans="2:23">
      <c r="B216" s="356"/>
      <c r="C216" s="338"/>
      <c r="D216" s="341"/>
      <c r="E216" s="337"/>
      <c r="F216" s="356"/>
      <c r="G216" s="356"/>
      <c r="K216" s="344"/>
      <c r="L216" s="344"/>
      <c r="M216" s="344"/>
      <c r="N216" s="344"/>
      <c r="O216" s="344"/>
      <c r="P216" s="344"/>
    </row>
    <row r="217" spans="2:23" ht="14.4" customHeight="1">
      <c r="B217" s="346" t="s">
        <v>1311</v>
      </c>
      <c r="C217" s="346"/>
      <c r="D217" s="346"/>
      <c r="E217" s="346"/>
      <c r="F217" s="346"/>
      <c r="G217" s="346"/>
      <c r="H217" s="346"/>
      <c r="I217" s="346"/>
    </row>
    <row r="218" spans="2:23">
      <c r="B218" s="872" t="s">
        <v>774</v>
      </c>
      <c r="C218" s="872"/>
      <c r="D218" s="872"/>
      <c r="E218" s="872"/>
      <c r="F218" s="872"/>
      <c r="G218" s="872"/>
      <c r="H218" s="872"/>
      <c r="I218" s="872"/>
      <c r="J218" s="872"/>
      <c r="K218" s="872"/>
      <c r="L218" s="872"/>
      <c r="M218" s="872"/>
      <c r="N218" s="872"/>
      <c r="O218" s="872"/>
      <c r="P218" s="872"/>
      <c r="Q218" s="872"/>
      <c r="R218" s="872"/>
      <c r="S218" s="872"/>
    </row>
    <row r="219" spans="2:23">
      <c r="B219" s="872"/>
      <c r="C219" s="872"/>
      <c r="D219" s="872"/>
      <c r="E219" s="872"/>
      <c r="F219" s="872"/>
      <c r="G219" s="872"/>
      <c r="H219" s="872"/>
      <c r="I219" s="872"/>
      <c r="J219" s="872"/>
      <c r="K219" s="872"/>
      <c r="L219" s="872"/>
      <c r="M219" s="872"/>
      <c r="N219" s="872"/>
      <c r="O219" s="872"/>
      <c r="P219" s="872"/>
      <c r="Q219" s="872"/>
      <c r="R219" s="872"/>
      <c r="S219" s="872"/>
    </row>
    <row r="220" spans="2:23">
      <c r="B220" s="872"/>
      <c r="C220" s="872"/>
      <c r="D220" s="872"/>
      <c r="E220" s="872"/>
      <c r="F220" s="872"/>
      <c r="G220" s="872"/>
      <c r="H220" s="872"/>
      <c r="I220" s="872"/>
      <c r="J220" s="872"/>
      <c r="K220" s="872"/>
      <c r="L220" s="872"/>
      <c r="M220" s="872"/>
      <c r="N220" s="872"/>
      <c r="O220" s="872"/>
      <c r="P220" s="872"/>
      <c r="Q220" s="872"/>
      <c r="R220" s="872"/>
      <c r="S220" s="872"/>
    </row>
    <row r="230" spans="3:9" ht="14.4" customHeight="1"/>
    <row r="234" spans="3:9" ht="14.4" customHeight="1">
      <c r="D234" s="335" t="s">
        <v>775</v>
      </c>
      <c r="E234" s="337" t="s">
        <v>63</v>
      </c>
      <c r="F234" s="335" t="s">
        <v>776</v>
      </c>
      <c r="I234" s="338" t="s">
        <v>571</v>
      </c>
    </row>
    <row r="235" spans="3:9">
      <c r="D235" s="335" t="s">
        <v>777</v>
      </c>
      <c r="E235" s="338"/>
    </row>
    <row r="236" spans="3:9">
      <c r="D236" s="335" t="s">
        <v>595</v>
      </c>
      <c r="E236" s="337" t="s">
        <v>63</v>
      </c>
      <c r="F236" s="800">
        <v>0.01</v>
      </c>
      <c r="G236" s="800"/>
    </row>
    <row r="237" spans="3:9" ht="14.4" customHeight="1">
      <c r="D237" s="335" t="s">
        <v>778</v>
      </c>
      <c r="E237" s="337" t="s">
        <v>63</v>
      </c>
      <c r="F237" s="800">
        <v>28.71</v>
      </c>
      <c r="G237" s="800"/>
      <c r="H237" s="336" t="s">
        <v>26</v>
      </c>
    </row>
    <row r="238" spans="3:9">
      <c r="D238" s="335" t="s">
        <v>779</v>
      </c>
      <c r="E238" s="337" t="s">
        <v>63</v>
      </c>
      <c r="F238" s="800">
        <v>20</v>
      </c>
      <c r="G238" s="800"/>
      <c r="H238" s="336" t="s">
        <v>573</v>
      </c>
    </row>
    <row r="239" spans="3:9" ht="16.2">
      <c r="C239" s="340"/>
      <c r="D239" s="340" t="s">
        <v>775</v>
      </c>
      <c r="E239" s="337" t="s">
        <v>63</v>
      </c>
      <c r="F239" s="800">
        <f>F236*F237*F238</f>
        <v>5.7420000000000009</v>
      </c>
      <c r="G239" s="800"/>
      <c r="H239" s="338" t="s">
        <v>780</v>
      </c>
    </row>
    <row r="240" spans="3:9" ht="14.4" customHeight="1"/>
    <row r="242" spans="2:25">
      <c r="B242" s="348" t="s">
        <v>1312</v>
      </c>
      <c r="C242" s="348"/>
      <c r="D242" s="348"/>
      <c r="E242" s="348"/>
      <c r="F242" s="348"/>
      <c r="G242" s="348"/>
      <c r="H242" s="348"/>
      <c r="I242" s="348"/>
    </row>
    <row r="243" spans="2:25">
      <c r="C243" s="336" t="s">
        <v>781</v>
      </c>
      <c r="D243" s="354"/>
      <c r="E243" s="354"/>
      <c r="F243" s="354"/>
      <c r="G243" s="354"/>
      <c r="H243" s="354"/>
      <c r="I243" s="354"/>
      <c r="J243" s="354"/>
      <c r="K243" s="354"/>
      <c r="L243" s="354"/>
      <c r="M243" s="354"/>
      <c r="N243" s="354"/>
      <c r="O243" s="354"/>
      <c r="P243" s="354"/>
      <c r="Q243" s="354"/>
      <c r="R243" s="354"/>
      <c r="S243" s="354"/>
    </row>
    <row r="244" spans="2:25">
      <c r="C244" s="336" t="s">
        <v>782</v>
      </c>
      <c r="D244" s="354"/>
      <c r="E244" s="354"/>
      <c r="F244" s="354"/>
      <c r="G244" s="354"/>
      <c r="H244" s="354"/>
      <c r="I244" s="354"/>
      <c r="J244" s="354"/>
      <c r="K244" s="354"/>
      <c r="L244" s="354"/>
      <c r="M244" s="354"/>
      <c r="N244" s="354"/>
      <c r="O244" s="354"/>
      <c r="P244" s="354"/>
      <c r="Q244" s="354"/>
      <c r="R244" s="354"/>
      <c r="S244" s="354"/>
    </row>
    <row r="245" spans="2:25">
      <c r="C245" s="336" t="s">
        <v>783</v>
      </c>
      <c r="D245" s="354"/>
      <c r="E245" s="354"/>
      <c r="F245" s="354"/>
      <c r="G245" s="354"/>
      <c r="H245" s="354"/>
      <c r="I245" s="354"/>
      <c r="J245" s="354"/>
      <c r="K245" s="354"/>
      <c r="L245" s="354"/>
      <c r="M245" s="354"/>
      <c r="N245" s="354"/>
      <c r="O245" s="354"/>
      <c r="P245" s="354"/>
      <c r="Q245" s="354"/>
      <c r="R245" s="354"/>
      <c r="S245" s="354"/>
    </row>
    <row r="246" spans="2:25">
      <c r="D246" s="341" t="s">
        <v>784</v>
      </c>
      <c r="E246" s="338" t="s">
        <v>785</v>
      </c>
      <c r="F246" s="335" t="s">
        <v>786</v>
      </c>
    </row>
    <row r="247" spans="2:25">
      <c r="D247" s="335" t="s">
        <v>787</v>
      </c>
    </row>
    <row r="248" spans="2:25">
      <c r="D248" s="341" t="s">
        <v>784</v>
      </c>
      <c r="E248" s="337" t="s">
        <v>63</v>
      </c>
      <c r="F248" s="335" t="s">
        <v>788</v>
      </c>
    </row>
    <row r="249" spans="2:25">
      <c r="D249" s="341" t="s">
        <v>789</v>
      </c>
      <c r="E249" s="337" t="s">
        <v>63</v>
      </c>
      <c r="F249" s="336" t="s">
        <v>790</v>
      </c>
      <c r="G249" s="354"/>
      <c r="H249" s="354"/>
      <c r="I249" s="354"/>
      <c r="J249" s="354"/>
      <c r="K249" s="354"/>
      <c r="L249" s="354"/>
      <c r="M249" s="354"/>
      <c r="N249" s="354"/>
      <c r="O249" s="354"/>
      <c r="P249" s="354"/>
      <c r="Q249" s="354"/>
      <c r="R249" s="354"/>
      <c r="S249" s="354"/>
    </row>
    <row r="250" spans="2:25">
      <c r="D250" s="341"/>
      <c r="F250" s="336" t="s">
        <v>791</v>
      </c>
      <c r="G250" s="354"/>
      <c r="H250" s="354"/>
      <c r="I250" s="354"/>
      <c r="J250" s="354"/>
      <c r="K250" s="354"/>
      <c r="L250" s="354"/>
      <c r="M250" s="354"/>
      <c r="N250" s="354"/>
      <c r="O250" s="354"/>
      <c r="P250" s="354"/>
      <c r="Q250" s="354"/>
      <c r="R250" s="354"/>
      <c r="S250" s="354"/>
    </row>
    <row r="251" spans="2:25" ht="14.4" customHeight="1">
      <c r="D251" s="341" t="s">
        <v>792</v>
      </c>
      <c r="E251" s="337" t="s">
        <v>63</v>
      </c>
      <c r="F251" s="352" t="s">
        <v>793</v>
      </c>
      <c r="G251" s="352"/>
      <c r="H251" s="352"/>
      <c r="I251" s="352"/>
      <c r="J251" s="352"/>
      <c r="K251" s="352"/>
      <c r="L251" s="352"/>
      <c r="M251" s="352"/>
      <c r="N251" s="352"/>
      <c r="O251" s="352"/>
      <c r="P251" s="352"/>
      <c r="Q251" s="352"/>
      <c r="R251" s="352"/>
      <c r="S251" s="352"/>
    </row>
    <row r="252" spans="2:25">
      <c r="D252" s="336" t="s">
        <v>794</v>
      </c>
      <c r="E252" s="337" t="s">
        <v>63</v>
      </c>
      <c r="F252" s="872" t="s">
        <v>795</v>
      </c>
      <c r="G252" s="872"/>
      <c r="H252" s="872"/>
      <c r="I252" s="872"/>
      <c r="J252" s="872"/>
      <c r="K252" s="872"/>
      <c r="L252" s="872"/>
      <c r="M252" s="872"/>
      <c r="N252" s="872"/>
      <c r="O252" s="872"/>
      <c r="P252" s="872"/>
      <c r="Q252" s="872"/>
      <c r="R252" s="872"/>
      <c r="S252" s="872"/>
    </row>
    <row r="253" spans="2:25" ht="14.4" customHeight="1">
      <c r="F253" s="872"/>
      <c r="G253" s="872"/>
      <c r="H253" s="872"/>
      <c r="I253" s="872"/>
      <c r="J253" s="872"/>
      <c r="K253" s="872"/>
      <c r="L253" s="872"/>
      <c r="M253" s="872"/>
      <c r="N253" s="872"/>
      <c r="O253" s="872"/>
      <c r="P253" s="872"/>
      <c r="Q253" s="872"/>
      <c r="R253" s="872"/>
      <c r="S253" s="872"/>
    </row>
    <row r="254" spans="2:25">
      <c r="F254" s="872"/>
      <c r="G254" s="872"/>
      <c r="H254" s="872"/>
      <c r="I254" s="872"/>
      <c r="J254" s="872"/>
      <c r="K254" s="872"/>
      <c r="L254" s="872"/>
      <c r="M254" s="872"/>
      <c r="N254" s="872"/>
      <c r="O254" s="872"/>
      <c r="P254" s="872"/>
      <c r="Q254" s="872"/>
      <c r="R254" s="872"/>
      <c r="S254" s="872"/>
    </row>
    <row r="255" spans="2:25" ht="14.4" customHeight="1">
      <c r="F255" s="354"/>
      <c r="G255" s="354"/>
      <c r="H255" s="354"/>
      <c r="I255" s="354"/>
      <c r="J255" s="354"/>
      <c r="K255" s="354"/>
      <c r="L255" s="354"/>
      <c r="M255" s="354"/>
      <c r="N255" s="354"/>
      <c r="O255" s="354"/>
      <c r="P255" s="354"/>
      <c r="Q255" s="354"/>
      <c r="R255" s="354"/>
      <c r="S255" s="354"/>
    </row>
    <row r="256" spans="2:25">
      <c r="D256" s="335" t="s">
        <v>796</v>
      </c>
      <c r="E256" s="341" t="s">
        <v>789</v>
      </c>
      <c r="F256" s="337" t="s">
        <v>63</v>
      </c>
      <c r="G256" s="800">
        <v>0.06</v>
      </c>
      <c r="H256" s="800"/>
      <c r="I256" s="336" t="s">
        <v>797</v>
      </c>
      <c r="J256" s="354"/>
      <c r="K256" s="354"/>
      <c r="N256" s="354"/>
      <c r="O256" s="354"/>
      <c r="P256" s="354"/>
      <c r="Y256" s="354"/>
    </row>
    <row r="257" spans="2:19">
      <c r="E257" s="341" t="s">
        <v>792</v>
      </c>
      <c r="F257" s="337" t="s">
        <v>63</v>
      </c>
      <c r="G257" s="800">
        <v>20</v>
      </c>
      <c r="H257" s="800"/>
      <c r="I257" s="335" t="s">
        <v>798</v>
      </c>
    </row>
    <row r="258" spans="2:19">
      <c r="E258" s="341" t="s">
        <v>794</v>
      </c>
      <c r="F258" s="337" t="s">
        <v>63</v>
      </c>
      <c r="G258" s="800">
        <v>10</v>
      </c>
      <c r="H258" s="800"/>
      <c r="I258" s="336" t="s">
        <v>799</v>
      </c>
    </row>
    <row r="259" spans="2:19" ht="16.2">
      <c r="E259" s="361" t="s">
        <v>784</v>
      </c>
      <c r="F259" s="337" t="s">
        <v>1053</v>
      </c>
      <c r="G259" s="800">
        <f>G256*G257*G258</f>
        <v>12</v>
      </c>
      <c r="H259" s="800"/>
      <c r="I259" s="338" t="s">
        <v>571</v>
      </c>
    </row>
    <row r="262" spans="2:19" ht="14.4" customHeight="1">
      <c r="B262" s="346" t="s">
        <v>1313</v>
      </c>
      <c r="C262" s="346"/>
      <c r="D262" s="346"/>
      <c r="E262" s="346"/>
      <c r="F262" s="346"/>
      <c r="G262" s="346"/>
      <c r="H262" s="346"/>
      <c r="I262" s="346"/>
    </row>
    <row r="263" spans="2:19">
      <c r="B263" s="872" t="s">
        <v>800</v>
      </c>
      <c r="C263" s="872"/>
      <c r="D263" s="872"/>
      <c r="E263" s="872"/>
      <c r="F263" s="872"/>
      <c r="G263" s="872"/>
      <c r="H263" s="872"/>
      <c r="I263" s="872"/>
      <c r="J263" s="872"/>
      <c r="K263" s="872"/>
      <c r="L263" s="872"/>
      <c r="M263" s="872"/>
      <c r="N263" s="872"/>
      <c r="O263" s="872"/>
      <c r="P263" s="872"/>
      <c r="Q263" s="872"/>
      <c r="R263" s="872"/>
      <c r="S263" s="872"/>
    </row>
    <row r="264" spans="2:19">
      <c r="B264" s="872"/>
      <c r="C264" s="872"/>
      <c r="D264" s="872"/>
      <c r="E264" s="872"/>
      <c r="F264" s="872"/>
      <c r="G264" s="872"/>
      <c r="H264" s="872"/>
      <c r="I264" s="872"/>
      <c r="J264" s="872"/>
      <c r="K264" s="872"/>
      <c r="L264" s="872"/>
      <c r="M264" s="872"/>
      <c r="N264" s="872"/>
      <c r="O264" s="872"/>
      <c r="P264" s="872"/>
      <c r="Q264" s="872"/>
      <c r="R264" s="872"/>
      <c r="S264" s="872"/>
    </row>
    <row r="265" spans="2:19">
      <c r="B265" s="872"/>
      <c r="C265" s="872"/>
      <c r="D265" s="872"/>
      <c r="E265" s="872"/>
      <c r="F265" s="872"/>
      <c r="G265" s="872"/>
      <c r="H265" s="872"/>
      <c r="I265" s="872"/>
      <c r="J265" s="872"/>
      <c r="K265" s="872"/>
      <c r="L265" s="872"/>
      <c r="M265" s="872"/>
      <c r="N265" s="872"/>
      <c r="O265" s="872"/>
      <c r="P265" s="872"/>
      <c r="Q265" s="872"/>
      <c r="R265" s="872"/>
      <c r="S265" s="872"/>
    </row>
    <row r="266" spans="2:19">
      <c r="B266" s="335" t="s">
        <v>801</v>
      </c>
    </row>
    <row r="267" spans="2:19">
      <c r="C267" s="869" t="s">
        <v>802</v>
      </c>
      <c r="D267" s="870"/>
      <c r="E267" s="870"/>
      <c r="F267" s="870"/>
      <c r="G267" s="870"/>
      <c r="H267" s="871"/>
      <c r="I267" s="869" t="s">
        <v>803</v>
      </c>
      <c r="J267" s="870"/>
      <c r="K267" s="871"/>
    </row>
    <row r="268" spans="2:19">
      <c r="C268" s="869" t="s">
        <v>804</v>
      </c>
      <c r="D268" s="870"/>
      <c r="E268" s="870"/>
      <c r="F268" s="870"/>
      <c r="G268" s="870"/>
      <c r="H268" s="871"/>
      <c r="I268" s="869">
        <v>4</v>
      </c>
      <c r="J268" s="870"/>
      <c r="K268" s="871"/>
    </row>
    <row r="269" spans="2:19">
      <c r="C269" s="869" t="s">
        <v>805</v>
      </c>
      <c r="D269" s="870"/>
      <c r="E269" s="870"/>
      <c r="F269" s="870"/>
      <c r="G269" s="870"/>
      <c r="H269" s="871"/>
      <c r="I269" s="869" t="s">
        <v>806</v>
      </c>
      <c r="J269" s="870"/>
      <c r="K269" s="871"/>
    </row>
    <row r="270" spans="2:19">
      <c r="D270" s="341" t="s">
        <v>807</v>
      </c>
      <c r="E270" s="337" t="s">
        <v>63</v>
      </c>
      <c r="F270" s="335" t="s">
        <v>808</v>
      </c>
    </row>
    <row r="271" spans="2:19">
      <c r="D271" s="341" t="s">
        <v>809</v>
      </c>
      <c r="E271" s="337" t="s">
        <v>63</v>
      </c>
      <c r="F271" s="800">
        <f>O7</f>
        <v>8400</v>
      </c>
      <c r="G271" s="800"/>
      <c r="H271" s="336" t="s">
        <v>250</v>
      </c>
    </row>
    <row r="272" spans="2:19">
      <c r="D272" s="341"/>
      <c r="E272" s="337"/>
      <c r="F272" s="338"/>
      <c r="G272" s="338"/>
      <c r="H272" s="336"/>
    </row>
    <row r="273" spans="2:13">
      <c r="C273" s="335" t="s">
        <v>810</v>
      </c>
      <c r="J273" s="338"/>
      <c r="K273" s="338"/>
      <c r="L273" s="338"/>
      <c r="M273" s="338"/>
    </row>
    <row r="274" spans="2:13" ht="16.2">
      <c r="C274" s="338"/>
      <c r="D274" s="365" t="s">
        <v>79</v>
      </c>
      <c r="E274" s="337" t="s">
        <v>63</v>
      </c>
      <c r="F274" s="800">
        <f>F271/250</f>
        <v>33.6</v>
      </c>
      <c r="G274" s="800"/>
      <c r="H274" s="338" t="s">
        <v>571</v>
      </c>
      <c r="J274" s="338"/>
      <c r="K274" s="362"/>
      <c r="L274" s="338"/>
      <c r="M274" s="362"/>
    </row>
    <row r="275" spans="2:13">
      <c r="C275" s="338"/>
      <c r="D275" s="661"/>
      <c r="E275" s="337"/>
      <c r="F275" s="338"/>
      <c r="H275" s="338"/>
      <c r="J275" s="338"/>
      <c r="K275" s="362"/>
      <c r="L275" s="338"/>
      <c r="M275" s="362"/>
    </row>
    <row r="276" spans="2:13">
      <c r="C276" s="338"/>
      <c r="D276" s="661"/>
      <c r="E276" s="337"/>
      <c r="F276" s="338"/>
      <c r="G276" s="338"/>
      <c r="H276" s="338"/>
      <c r="J276" s="338"/>
      <c r="K276" s="362"/>
      <c r="L276" s="338"/>
      <c r="M276" s="362"/>
    </row>
    <row r="277" spans="2:13">
      <c r="C277" s="338"/>
      <c r="D277" s="350"/>
      <c r="E277" s="337"/>
      <c r="F277" s="338"/>
      <c r="G277" s="338"/>
      <c r="H277" s="338"/>
      <c r="J277" s="338"/>
      <c r="K277" s="362"/>
      <c r="L277" s="338"/>
      <c r="M277" s="362"/>
    </row>
    <row r="278" spans="2:13">
      <c r="D278" s="341"/>
      <c r="E278" s="337"/>
      <c r="F278" s="338"/>
      <c r="G278" s="338"/>
      <c r="M278" s="338"/>
    </row>
    <row r="279" spans="2:13">
      <c r="B279" s="346" t="s">
        <v>1314</v>
      </c>
      <c r="C279" s="346"/>
      <c r="D279" s="346"/>
      <c r="E279" s="346"/>
      <c r="F279" s="346"/>
      <c r="G279" s="346"/>
      <c r="H279" s="346"/>
      <c r="I279" s="346"/>
      <c r="J279" s="336"/>
      <c r="M279" s="338"/>
    </row>
    <row r="280" spans="2:13">
      <c r="B280" s="335" t="s">
        <v>811</v>
      </c>
      <c r="C280" s="346"/>
      <c r="D280" s="346"/>
      <c r="E280" s="346"/>
      <c r="F280" s="346"/>
      <c r="G280" s="346"/>
      <c r="H280" s="346"/>
      <c r="I280" s="346"/>
      <c r="J280" s="336"/>
      <c r="M280" s="338"/>
    </row>
    <row r="281" spans="2:13" ht="14.4" customHeight="1">
      <c r="B281" s="335" t="s">
        <v>812</v>
      </c>
      <c r="J281" s="336"/>
      <c r="M281" s="338"/>
    </row>
    <row r="282" spans="2:13">
      <c r="B282" s="340" t="s">
        <v>813</v>
      </c>
      <c r="C282" s="340"/>
      <c r="D282" s="340"/>
      <c r="E282" s="337" t="s">
        <v>63</v>
      </c>
      <c r="F282" s="335" t="s">
        <v>814</v>
      </c>
    </row>
    <row r="283" spans="2:13" ht="16.2">
      <c r="E283" s="337" t="s">
        <v>63</v>
      </c>
      <c r="F283" s="800">
        <f>O7/750</f>
        <v>11.2</v>
      </c>
      <c r="G283" s="800"/>
      <c r="H283" s="338" t="s">
        <v>571</v>
      </c>
    </row>
    <row r="284" spans="2:13">
      <c r="E284" s="337"/>
      <c r="F284" s="338"/>
      <c r="G284" s="338"/>
      <c r="H284" s="338"/>
    </row>
    <row r="285" spans="2:13">
      <c r="D285" s="341"/>
      <c r="E285" s="337"/>
      <c r="F285" s="338"/>
      <c r="G285" s="338"/>
    </row>
    <row r="286" spans="2:13">
      <c r="B286" s="346"/>
    </row>
    <row r="295" ht="14.4" customHeight="1"/>
  </sheetData>
  <mergeCells count="83">
    <mergeCell ref="G256:H256"/>
    <mergeCell ref="G257:H257"/>
    <mergeCell ref="G258:H258"/>
    <mergeCell ref="G259:H259"/>
    <mergeCell ref="A1:S2"/>
    <mergeCell ref="E7:F7"/>
    <mergeCell ref="O7:P7"/>
    <mergeCell ref="E8:F8"/>
    <mergeCell ref="O8:P8"/>
    <mergeCell ref="E9:F9"/>
    <mergeCell ref="O9:P9"/>
    <mergeCell ref="E14:F14"/>
    <mergeCell ref="E15:F15"/>
    <mergeCell ref="A18:S19"/>
    <mergeCell ref="B21:S22"/>
    <mergeCell ref="M26:N26"/>
    <mergeCell ref="M27:N27"/>
    <mergeCell ref="E10:F10"/>
    <mergeCell ref="O10:P10"/>
    <mergeCell ref="E11:F11"/>
    <mergeCell ref="O11:P11"/>
    <mergeCell ref="E12:F12"/>
    <mergeCell ref="E13:F13"/>
    <mergeCell ref="E16:F16"/>
    <mergeCell ref="E79:F79"/>
    <mergeCell ref="M28:N28"/>
    <mergeCell ref="M29:N29"/>
    <mergeCell ref="G31:H31"/>
    <mergeCell ref="B36:S37"/>
    <mergeCell ref="I55:J55"/>
    <mergeCell ref="E56:F56"/>
    <mergeCell ref="P79:Q79"/>
    <mergeCell ref="E60:F60"/>
    <mergeCell ref="E64:F64"/>
    <mergeCell ref="E68:F68"/>
    <mergeCell ref="E72:F72"/>
    <mergeCell ref="E75:F75"/>
    <mergeCell ref="H133:I133"/>
    <mergeCell ref="H134:I134"/>
    <mergeCell ref="E101:F101"/>
    <mergeCell ref="B104:S107"/>
    <mergeCell ref="E124:F124"/>
    <mergeCell ref="E125:F125"/>
    <mergeCell ref="D129:S130"/>
    <mergeCell ref="H132:I132"/>
    <mergeCell ref="P80:Q80"/>
    <mergeCell ref="E82:F82"/>
    <mergeCell ref="A85:S86"/>
    <mergeCell ref="E99:F99"/>
    <mergeCell ref="E100:F100"/>
    <mergeCell ref="G165:H165"/>
    <mergeCell ref="G166:H166"/>
    <mergeCell ref="G167:H167"/>
    <mergeCell ref="G168:H168"/>
    <mergeCell ref="G170:H170"/>
    <mergeCell ref="G198:H198"/>
    <mergeCell ref="B206:S207"/>
    <mergeCell ref="D209:E209"/>
    <mergeCell ref="D210:E210"/>
    <mergeCell ref="F213:G213"/>
    <mergeCell ref="F215:G215"/>
    <mergeCell ref="F252:S254"/>
    <mergeCell ref="B218:S220"/>
    <mergeCell ref="F236:G236"/>
    <mergeCell ref="F237:G237"/>
    <mergeCell ref="F238:G238"/>
    <mergeCell ref="F239:G239"/>
    <mergeCell ref="B263:S265"/>
    <mergeCell ref="C267:H267"/>
    <mergeCell ref="I267:K267"/>
    <mergeCell ref="C268:H268"/>
    <mergeCell ref="I268:K268"/>
    <mergeCell ref="F283:G283"/>
    <mergeCell ref="C269:H269"/>
    <mergeCell ref="I269:K269"/>
    <mergeCell ref="F271:G271"/>
    <mergeCell ref="F274:G274"/>
    <mergeCell ref="H155:I155"/>
    <mergeCell ref="H156:I156"/>
    <mergeCell ref="H154:I154"/>
    <mergeCell ref="H157:I157"/>
    <mergeCell ref="H159:I159"/>
    <mergeCell ref="H158:I158"/>
  </mergeCells>
  <pageMargins left="1" right="1" top="1" bottom="1" header="0.5" footer="0.5"/>
  <pageSetup paperSize="9" scale="86" orientation="portrait" horizontalDpi="300" verticalDpi="300" r:id="rId1"/>
  <headerFooter>
    <oddHeader>&amp;LAttachment No. 3 : Tank Capacity and Payload&amp;R(Doc. No. 03 – 421 18 41 023 - TC)
Rev. No. 0</oddHeader>
  </headerFooter>
  <rowBreaks count="1" manualBreakCount="1">
    <brk id="284"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6EBE-30DF-4FF4-84FF-30ADB025E53D}">
  <dimension ref="A2:EK288"/>
  <sheetViews>
    <sheetView topLeftCell="A126" zoomScaleNormal="100" zoomScaleSheetLayoutView="100" zoomScalePageLayoutView="70" workbookViewId="0">
      <selection activeCell="D116" sqref="D116:E116"/>
    </sheetView>
  </sheetViews>
  <sheetFormatPr defaultColWidth="9.109375" defaultRowHeight="14.4"/>
  <cols>
    <col min="1" max="1" width="10.33203125" style="369" customWidth="1"/>
    <col min="2" max="2" width="9.6640625" style="369" customWidth="1"/>
    <col min="3" max="4" width="9.109375" style="369"/>
    <col min="5" max="5" width="11.88671875" style="369" customWidth="1"/>
    <col min="6" max="13" width="9.109375" style="369"/>
    <col min="14" max="14" width="13.88671875" style="369" customWidth="1"/>
    <col min="15" max="19" width="9.109375" style="369"/>
    <col min="20" max="20" width="9.109375" style="368"/>
    <col min="21" max="16384" width="9.109375" style="369"/>
  </cols>
  <sheetData>
    <row r="2" spans="1:11" ht="15.6">
      <c r="A2" s="4" t="s">
        <v>1</v>
      </c>
      <c r="B2" s="4"/>
      <c r="C2" s="4"/>
      <c r="D2" s="4"/>
      <c r="E2" s="4"/>
      <c r="F2" s="4"/>
      <c r="G2" s="3" t="s">
        <v>2</v>
      </c>
      <c r="H2" s="4"/>
    </row>
    <row r="3" spans="1:11" ht="15.6">
      <c r="A3" s="4" t="s">
        <v>3</v>
      </c>
      <c r="B3" s="4"/>
      <c r="C3" s="4"/>
      <c r="D3" s="4"/>
      <c r="E3" s="4"/>
      <c r="F3" s="4"/>
      <c r="G3" s="36">
        <f>HOLTROP!G4</f>
        <v>137</v>
      </c>
      <c r="H3" s="4" t="s">
        <v>4</v>
      </c>
    </row>
    <row r="4" spans="1:11" ht="15.6">
      <c r="A4" s="4" t="s">
        <v>5</v>
      </c>
      <c r="B4" s="4"/>
      <c r="C4" s="4"/>
      <c r="D4" s="4"/>
      <c r="E4" s="4"/>
      <c r="F4" s="4"/>
      <c r="G4" s="4">
        <f>HOLTROP!G5</f>
        <v>142.47999999999999</v>
      </c>
      <c r="H4" s="4" t="s">
        <v>4</v>
      </c>
    </row>
    <row r="5" spans="1:11" ht="15.6">
      <c r="A5" s="4" t="s">
        <v>6</v>
      </c>
      <c r="B5" s="4"/>
      <c r="C5" s="4"/>
      <c r="D5" s="4"/>
      <c r="E5" s="4"/>
      <c r="F5" s="4"/>
      <c r="G5" s="4">
        <f>HOLTROP!G6</f>
        <v>23.7</v>
      </c>
      <c r="H5" s="4" t="s">
        <v>4</v>
      </c>
    </row>
    <row r="6" spans="1:11" ht="15.6">
      <c r="A6" s="4" t="s">
        <v>7</v>
      </c>
      <c r="B6" s="4"/>
      <c r="C6" s="4"/>
      <c r="D6" s="4"/>
      <c r="E6" s="4"/>
      <c r="F6" s="4"/>
      <c r="G6" s="4">
        <f>HOLTROP!G7</f>
        <v>13.34</v>
      </c>
      <c r="H6" s="4" t="s">
        <v>4</v>
      </c>
      <c r="K6" s="5" t="s">
        <v>9</v>
      </c>
    </row>
    <row r="7" spans="1:11" ht="15.6">
      <c r="A7" s="4" t="s">
        <v>8</v>
      </c>
      <c r="B7" s="4"/>
      <c r="C7" s="4"/>
      <c r="D7" s="4"/>
      <c r="E7" s="4"/>
      <c r="F7" s="4"/>
      <c r="G7" s="4">
        <f>HOLTROP!G8</f>
        <v>9.9469999999999992</v>
      </c>
      <c r="H7" s="4" t="s">
        <v>4</v>
      </c>
    </row>
    <row r="8" spans="1:11" ht="15.6">
      <c r="A8" s="4" t="s">
        <v>10</v>
      </c>
      <c r="B8" s="4"/>
      <c r="C8" s="4"/>
      <c r="D8" s="4"/>
      <c r="E8" s="4"/>
      <c r="F8" s="4"/>
      <c r="G8" s="4">
        <f>HOLTROP!G9</f>
        <v>16</v>
      </c>
      <c r="H8" s="4" t="s">
        <v>11</v>
      </c>
    </row>
    <row r="9" spans="1:11" ht="15.6">
      <c r="A9" s="4" t="s">
        <v>12</v>
      </c>
      <c r="B9" s="4"/>
      <c r="C9" s="4"/>
      <c r="D9" s="4"/>
      <c r="E9" s="4"/>
      <c r="F9" s="4"/>
      <c r="G9" s="4">
        <f>HOLTROP!G10</f>
        <v>0.68</v>
      </c>
      <c r="H9" s="4"/>
    </row>
    <row r="10" spans="1:11" ht="15.6">
      <c r="A10" s="4" t="s">
        <v>13</v>
      </c>
      <c r="B10" s="4"/>
      <c r="C10" s="4"/>
      <c r="D10" s="4"/>
      <c r="E10" s="4"/>
      <c r="F10" s="4"/>
      <c r="G10" s="4">
        <f>HOLTROP!G11</f>
        <v>0.98199999999999998</v>
      </c>
      <c r="H10" s="4"/>
    </row>
    <row r="11" spans="1:11" ht="15.6">
      <c r="A11" s="4" t="s">
        <v>14</v>
      </c>
      <c r="B11" s="4"/>
      <c r="C11" s="4"/>
      <c r="D11" s="4"/>
      <c r="E11" s="4"/>
      <c r="F11" s="4"/>
      <c r="G11" s="6">
        <f>HOLTROP!G12</f>
        <v>0.69</v>
      </c>
      <c r="H11" s="4"/>
    </row>
    <row r="12" spans="1:11" ht="16.2">
      <c r="A12" s="4" t="s">
        <v>15</v>
      </c>
      <c r="B12" s="4"/>
      <c r="C12" s="4"/>
      <c r="D12" s="4"/>
      <c r="E12" s="4"/>
      <c r="F12" s="4"/>
      <c r="G12" s="4">
        <f>G27</f>
        <v>22401.13975848</v>
      </c>
      <c r="H12" s="4" t="s">
        <v>16</v>
      </c>
    </row>
    <row r="13" spans="1:11" ht="15.6">
      <c r="A13" s="1"/>
      <c r="B13" s="1"/>
      <c r="C13" s="1"/>
      <c r="D13" s="1"/>
      <c r="E13" s="1"/>
      <c r="F13" s="1"/>
      <c r="G13" s="1"/>
      <c r="H13" s="1"/>
    </row>
    <row r="14" spans="1:11" ht="15.6">
      <c r="A14" s="815" t="s">
        <v>17</v>
      </c>
      <c r="B14" s="815"/>
      <c r="C14" s="815"/>
      <c r="D14" s="815"/>
      <c r="E14" s="815"/>
      <c r="F14" s="815"/>
      <c r="G14" s="815"/>
      <c r="H14" s="815"/>
    </row>
    <row r="15" spans="1:11" ht="15.6">
      <c r="A15" s="1"/>
      <c r="B15" s="1"/>
      <c r="C15" s="1"/>
      <c r="D15" s="1"/>
      <c r="E15" s="1"/>
      <c r="F15" s="1"/>
      <c r="G15" s="1"/>
      <c r="H15" s="1"/>
    </row>
    <row r="16" spans="1:11" ht="15.6">
      <c r="A16" s="1" t="s">
        <v>18</v>
      </c>
      <c r="B16" s="1"/>
      <c r="C16" s="1"/>
      <c r="D16" s="1"/>
      <c r="E16" s="1"/>
      <c r="F16" s="1"/>
      <c r="G16" s="1"/>
      <c r="H16" s="1"/>
    </row>
    <row r="17" spans="1:11" ht="15.6">
      <c r="A17" s="1"/>
      <c r="B17" s="1"/>
      <c r="C17" s="1"/>
      <c r="D17" s="1"/>
      <c r="E17" s="1"/>
      <c r="F17" s="1"/>
      <c r="G17" s="1"/>
      <c r="H17" s="1"/>
    </row>
    <row r="18" spans="1:11" ht="15.6">
      <c r="A18" s="4" t="s">
        <v>12</v>
      </c>
      <c r="B18" s="687"/>
      <c r="C18" s="806"/>
      <c r="D18" s="806"/>
      <c r="E18" s="806"/>
      <c r="F18" s="688"/>
      <c r="G18" s="4">
        <f>G9</f>
        <v>0.68</v>
      </c>
      <c r="H18" s="4"/>
    </row>
    <row r="19" spans="1:11" ht="15.6">
      <c r="A19" s="4" t="s">
        <v>13</v>
      </c>
      <c r="B19" s="687"/>
      <c r="C19" s="806"/>
      <c r="D19" s="806"/>
      <c r="E19" s="806"/>
      <c r="F19" s="688"/>
      <c r="G19" s="4">
        <f>G10</f>
        <v>0.98199999999999998</v>
      </c>
      <c r="H19" s="4"/>
    </row>
    <row r="20" spans="1:11" ht="15.6">
      <c r="A20" s="4" t="s">
        <v>14</v>
      </c>
      <c r="B20" s="687"/>
      <c r="C20" s="806"/>
      <c r="D20" s="806"/>
      <c r="E20" s="806"/>
      <c r="F20" s="688"/>
      <c r="G20" s="4">
        <f>G11</f>
        <v>0.69</v>
      </c>
      <c r="H20" s="4"/>
    </row>
    <row r="21" spans="1:11" ht="15.6">
      <c r="A21" s="4" t="s">
        <v>20</v>
      </c>
      <c r="B21" s="687"/>
      <c r="C21" s="806"/>
      <c r="D21" s="806"/>
      <c r="E21" s="806"/>
      <c r="F21" s="688"/>
      <c r="G21" s="4">
        <f>G19*G5*G7</f>
        <v>231.50050979999997</v>
      </c>
      <c r="H21" s="4"/>
    </row>
    <row r="22" spans="1:11" ht="15.6">
      <c r="A22" s="803" t="s">
        <v>21</v>
      </c>
      <c r="B22" s="807"/>
      <c r="C22" s="808"/>
      <c r="D22" s="808"/>
      <c r="E22" s="808"/>
      <c r="F22" s="809"/>
      <c r="G22" s="4">
        <f>1/2*(G3+G4)</f>
        <v>139.74</v>
      </c>
      <c r="H22" s="4" t="s">
        <v>4</v>
      </c>
    </row>
    <row r="23" spans="1:11" ht="15.6">
      <c r="A23" s="803"/>
      <c r="B23" s="810"/>
      <c r="C23" s="811"/>
      <c r="D23" s="811"/>
      <c r="E23" s="811"/>
      <c r="F23" s="812"/>
      <c r="G23" s="7">
        <f>G22*3.28084</f>
        <v>458.46458160000003</v>
      </c>
      <c r="H23" s="4" t="s">
        <v>22</v>
      </c>
    </row>
    <row r="24" spans="1:11" ht="15" customHeight="1">
      <c r="A24" s="803" t="s">
        <v>23</v>
      </c>
      <c r="B24" s="807"/>
      <c r="C24" s="808"/>
      <c r="D24" s="808"/>
      <c r="E24" s="808"/>
      <c r="F24" s="809"/>
      <c r="G24" s="964">
        <f>G8/G23^(1/2)</f>
        <v>0.74725200256610036</v>
      </c>
      <c r="H24" s="966"/>
    </row>
    <row r="25" spans="1:11" ht="15" customHeight="1">
      <c r="A25" s="803"/>
      <c r="B25" s="810"/>
      <c r="C25" s="811"/>
      <c r="D25" s="811"/>
      <c r="E25" s="811"/>
      <c r="F25" s="812"/>
      <c r="G25" s="965"/>
      <c r="H25" s="967"/>
    </row>
    <row r="26" spans="1:11" ht="15.6">
      <c r="A26" s="8" t="s">
        <v>20</v>
      </c>
      <c r="B26" s="687"/>
      <c r="C26" s="806"/>
      <c r="D26" s="806"/>
      <c r="E26" s="806"/>
      <c r="F26" s="688"/>
      <c r="G26" s="4">
        <f>G19*G5*G7</f>
        <v>231.50050979999997</v>
      </c>
      <c r="H26" s="4" t="s">
        <v>24</v>
      </c>
    </row>
    <row r="27" spans="1:11" ht="16.2">
      <c r="A27" s="8" t="s">
        <v>15</v>
      </c>
      <c r="B27" s="687"/>
      <c r="C27" s="806"/>
      <c r="D27" s="806"/>
      <c r="E27" s="806"/>
      <c r="F27" s="688"/>
      <c r="G27" s="4">
        <f>G18*G22*G5*G7</f>
        <v>22401.13975848</v>
      </c>
      <c r="H27" s="4" t="s">
        <v>16</v>
      </c>
    </row>
    <row r="28" spans="1:11" ht="15.6">
      <c r="A28" s="8" t="s">
        <v>25</v>
      </c>
      <c r="B28" s="687"/>
      <c r="C28" s="806"/>
      <c r="D28" s="806"/>
      <c r="E28" s="806"/>
      <c r="F28" s="688"/>
      <c r="G28" s="4">
        <f>G27*1.025</f>
        <v>22961.168252441999</v>
      </c>
      <c r="H28" s="4" t="s">
        <v>26</v>
      </c>
    </row>
    <row r="29" spans="1:11" ht="15.6">
      <c r="A29" s="8" t="s">
        <v>28</v>
      </c>
      <c r="B29" s="687"/>
      <c r="C29" s="806"/>
      <c r="D29" s="806"/>
      <c r="E29" s="806"/>
      <c r="F29" s="688"/>
      <c r="G29" s="4">
        <f>1.025*G3*((G9*G5)+(1.7*G7))</f>
        <v>4637.6620074999983</v>
      </c>
      <c r="H29" s="4" t="s">
        <v>24</v>
      </c>
    </row>
    <row r="30" spans="1:11" ht="15" customHeight="1">
      <c r="A30" s="963" t="s">
        <v>29</v>
      </c>
      <c r="B30" s="807"/>
      <c r="C30" s="808"/>
      <c r="D30" s="808"/>
      <c r="E30" s="808"/>
      <c r="F30" s="809"/>
      <c r="G30" s="964">
        <f>19*(G9*(G5/G4))^2</f>
        <v>0.24308620046085061</v>
      </c>
      <c r="H30" s="966"/>
    </row>
    <row r="31" spans="1:11" ht="15" customHeight="1">
      <c r="A31" s="963"/>
      <c r="B31" s="810"/>
      <c r="C31" s="811"/>
      <c r="D31" s="811"/>
      <c r="E31" s="811"/>
      <c r="F31" s="812"/>
      <c r="G31" s="965"/>
      <c r="H31" s="967"/>
      <c r="J31" s="961" t="s">
        <v>845</v>
      </c>
      <c r="K31" s="961"/>
    </row>
    <row r="32" spans="1:11" ht="15.6">
      <c r="A32" s="8" t="s">
        <v>30</v>
      </c>
      <c r="B32" s="687"/>
      <c r="C32" s="806"/>
      <c r="D32" s="806"/>
      <c r="E32" s="806"/>
      <c r="F32" s="688"/>
      <c r="G32" s="11">
        <v>5.0000000000000001E-3</v>
      </c>
      <c r="H32" s="4"/>
      <c r="J32" s="961"/>
      <c r="K32" s="961"/>
    </row>
    <row r="36" spans="1:141">
      <c r="A36" s="962" t="s">
        <v>846</v>
      </c>
      <c r="B36" s="962"/>
      <c r="C36" s="962"/>
      <c r="D36" s="962"/>
      <c r="E36" s="962"/>
      <c r="F36" s="962"/>
      <c r="G36" s="962"/>
      <c r="H36" s="962"/>
      <c r="I36" s="962"/>
      <c r="J36" s="962"/>
      <c r="K36" s="962"/>
      <c r="L36" s="962"/>
      <c r="M36" s="962"/>
      <c r="N36" s="962"/>
      <c r="O36" s="962"/>
      <c r="P36" s="962"/>
      <c r="Q36" s="962"/>
      <c r="R36" s="962"/>
      <c r="S36" s="962"/>
      <c r="T36" s="433"/>
      <c r="U36" s="425"/>
      <c r="V36" s="425"/>
      <c r="W36" s="425"/>
      <c r="X36" s="425"/>
      <c r="Y36" s="425"/>
      <c r="Z36" s="425"/>
      <c r="AA36" s="425"/>
      <c r="AB36" s="425"/>
      <c r="AC36" s="425"/>
      <c r="AD36" s="425"/>
      <c r="AE36" s="425"/>
      <c r="AF36" s="425"/>
      <c r="AG36" s="425"/>
      <c r="AH36" s="425"/>
      <c r="AI36" s="425"/>
      <c r="AJ36" s="425"/>
      <c r="AK36" s="425"/>
      <c r="AL36" s="425"/>
      <c r="AM36" s="962" t="s">
        <v>847</v>
      </c>
      <c r="AN36" s="962"/>
      <c r="AO36" s="962"/>
      <c r="AP36" s="962"/>
      <c r="AQ36" s="962"/>
      <c r="AR36" s="962"/>
      <c r="AS36" s="962"/>
      <c r="AT36" s="962"/>
      <c r="AU36" s="962"/>
      <c r="AV36" s="962"/>
      <c r="AW36" s="962"/>
      <c r="AX36" s="962"/>
      <c r="AY36" s="962"/>
      <c r="AZ36" s="962"/>
      <c r="BA36" s="962"/>
      <c r="BB36" s="962"/>
      <c r="BC36" s="962"/>
      <c r="BD36" s="962"/>
      <c r="BE36" s="962"/>
      <c r="BF36" s="962" t="s">
        <v>848</v>
      </c>
      <c r="BG36" s="962"/>
      <c r="BH36" s="962"/>
      <c r="BI36" s="962"/>
      <c r="BJ36" s="962"/>
      <c r="BK36" s="962"/>
      <c r="BL36" s="962"/>
      <c r="BM36" s="962"/>
      <c r="BN36" s="962"/>
      <c r="BO36" s="962"/>
      <c r="BP36" s="962"/>
      <c r="BQ36" s="962"/>
      <c r="BR36" s="962"/>
      <c r="BS36" s="962"/>
      <c r="BT36" s="962"/>
      <c r="BU36" s="962"/>
      <c r="BV36" s="962"/>
      <c r="BW36" s="962"/>
      <c r="BX36" s="962"/>
      <c r="BY36" s="370"/>
      <c r="BZ36" s="370"/>
      <c r="CA36" s="370"/>
      <c r="CB36" s="370"/>
      <c r="CC36" s="370"/>
      <c r="CD36" s="371"/>
      <c r="CE36" s="371"/>
      <c r="CF36" s="371"/>
      <c r="CG36" s="371"/>
      <c r="CH36" s="371"/>
      <c r="CI36" s="371"/>
      <c r="CJ36" s="371"/>
      <c r="CK36" s="371"/>
      <c r="CL36" s="371"/>
      <c r="CM36" s="371"/>
      <c r="CN36" s="371"/>
      <c r="CO36" s="371"/>
      <c r="CP36" s="371"/>
      <c r="CQ36" s="371"/>
      <c r="CR36" s="371"/>
      <c r="CS36" s="371"/>
      <c r="CT36" s="371"/>
      <c r="CU36" s="371"/>
      <c r="CV36" s="371"/>
      <c r="CW36" s="372"/>
      <c r="CX36" s="371"/>
      <c r="CY36" s="371"/>
      <c r="CZ36" s="371"/>
      <c r="DA36" s="371"/>
      <c r="DB36" s="371"/>
      <c r="DC36" s="371"/>
      <c r="DD36" s="371"/>
      <c r="DE36" s="371"/>
      <c r="DF36" s="371"/>
      <c r="DG36" s="371"/>
      <c r="DH36" s="371"/>
      <c r="DI36" s="371"/>
      <c r="DJ36" s="371"/>
      <c r="DK36" s="371"/>
      <c r="DL36" s="371"/>
      <c r="DM36" s="371"/>
      <c r="DN36" s="371"/>
      <c r="DO36" s="371"/>
      <c r="DP36" s="371"/>
    </row>
    <row r="37" spans="1:141">
      <c r="A37" s="925" t="s">
        <v>849</v>
      </c>
      <c r="B37" s="926"/>
      <c r="C37" s="926"/>
      <c r="D37" s="926"/>
      <c r="E37" s="926"/>
      <c r="F37" s="926"/>
      <c r="G37" s="926"/>
      <c r="H37" s="926"/>
      <c r="I37" s="926"/>
      <c r="J37" s="926"/>
      <c r="K37" s="926"/>
      <c r="L37" s="926"/>
      <c r="M37" s="926"/>
      <c r="N37" s="926"/>
      <c r="O37" s="926"/>
      <c r="P37" s="926"/>
      <c r="Q37" s="926"/>
      <c r="R37" s="926"/>
      <c r="S37" s="926"/>
      <c r="T37" s="434"/>
      <c r="U37" s="371"/>
      <c r="V37" s="371"/>
      <c r="W37" s="371"/>
      <c r="X37" s="371"/>
      <c r="Y37" s="371"/>
      <c r="Z37" s="371"/>
      <c r="AA37" s="371"/>
      <c r="AB37" s="371"/>
      <c r="AC37" s="371"/>
      <c r="AD37" s="371"/>
      <c r="AE37" s="371"/>
      <c r="AF37" s="371"/>
      <c r="AG37" s="371"/>
      <c r="AH37" s="371"/>
      <c r="AI37" s="371"/>
      <c r="AJ37" s="371"/>
      <c r="AK37" s="371"/>
      <c r="AL37" s="371"/>
      <c r="AM37" s="926" t="s">
        <v>849</v>
      </c>
      <c r="AN37" s="926"/>
      <c r="AO37" s="926"/>
      <c r="AP37" s="926"/>
      <c r="AQ37" s="926"/>
      <c r="AR37" s="926"/>
      <c r="AS37" s="926"/>
      <c r="AT37" s="926"/>
      <c r="AU37" s="926"/>
      <c r="AV37" s="926"/>
      <c r="AW37" s="926"/>
      <c r="AX37" s="926"/>
      <c r="AY37" s="926"/>
      <c r="AZ37" s="926"/>
      <c r="BA37" s="926"/>
      <c r="BB37" s="926"/>
      <c r="BC37" s="926"/>
      <c r="BD37" s="926"/>
      <c r="BE37" s="960"/>
      <c r="BF37" s="925" t="s">
        <v>849</v>
      </c>
      <c r="BG37" s="926"/>
      <c r="BH37" s="926"/>
      <c r="BI37" s="926"/>
      <c r="BJ37" s="926"/>
      <c r="BK37" s="926"/>
      <c r="BL37" s="926"/>
      <c r="BM37" s="926"/>
      <c r="BN37" s="926"/>
      <c r="BO37" s="926"/>
      <c r="BP37" s="926"/>
      <c r="BQ37" s="926"/>
      <c r="BR37" s="926"/>
      <c r="BS37" s="926"/>
      <c r="BT37" s="926"/>
      <c r="BU37" s="926"/>
      <c r="BV37" s="926"/>
      <c r="BW37" s="926"/>
      <c r="BX37" s="926"/>
      <c r="BY37" s="370"/>
      <c r="BZ37" s="370"/>
      <c r="CA37" s="370"/>
      <c r="CB37" s="370"/>
      <c r="CC37" s="370"/>
      <c r="CD37" s="371"/>
      <c r="CE37" s="371"/>
      <c r="CF37" s="371"/>
      <c r="CG37" s="371"/>
      <c r="CH37" s="371"/>
      <c r="CI37" s="371"/>
      <c r="CJ37" s="371"/>
      <c r="CK37" s="371"/>
      <c r="CL37" s="371"/>
      <c r="CM37" s="371"/>
      <c r="CN37" s="371"/>
      <c r="CO37" s="371"/>
      <c r="CP37" s="371"/>
      <c r="CQ37" s="371"/>
      <c r="CR37" s="371"/>
      <c r="CS37" s="371"/>
      <c r="CT37" s="371"/>
      <c r="CU37" s="371"/>
      <c r="CV37" s="371"/>
      <c r="CW37" s="372"/>
      <c r="CX37" s="371"/>
      <c r="CY37" s="371"/>
      <c r="CZ37" s="371"/>
      <c r="DA37" s="371"/>
      <c r="DB37" s="371"/>
      <c r="DC37" s="371"/>
      <c r="DD37" s="371"/>
      <c r="DE37" s="371"/>
      <c r="DF37" s="371"/>
      <c r="DG37" s="371"/>
      <c r="DH37" s="371"/>
      <c r="DI37" s="371"/>
      <c r="DJ37" s="371"/>
      <c r="DK37" s="371"/>
      <c r="DL37" s="371"/>
      <c r="DM37" s="371"/>
      <c r="DN37" s="371"/>
      <c r="DO37" s="371"/>
      <c r="DP37" s="371"/>
      <c r="DR37" s="372"/>
      <c r="DS37" s="888"/>
      <c r="DT37" s="888"/>
      <c r="DU37" s="888"/>
      <c r="DV37" s="888"/>
      <c r="DW37" s="888"/>
      <c r="DX37" s="888"/>
      <c r="DY37" s="888"/>
      <c r="DZ37" s="888"/>
      <c r="EA37" s="888"/>
      <c r="EB37" s="888"/>
      <c r="EC37" s="888"/>
      <c r="ED37" s="888"/>
      <c r="EE37" s="888"/>
      <c r="EF37" s="888"/>
      <c r="EG37" s="888"/>
      <c r="EH37" s="888"/>
      <c r="EI37" s="888"/>
      <c r="EJ37" s="888"/>
      <c r="EK37" s="888"/>
    </row>
    <row r="38" spans="1:141">
      <c r="A38" s="161" t="s">
        <v>850</v>
      </c>
      <c r="B38" s="5" t="s">
        <v>851</v>
      </c>
      <c r="C38" s="5"/>
      <c r="D38" s="5"/>
      <c r="E38" s="5"/>
      <c r="F38" s="5"/>
      <c r="G38" s="5"/>
      <c r="H38" s="5"/>
      <c r="I38" s="5"/>
      <c r="J38" s="5"/>
      <c r="K38" s="5"/>
      <c r="L38" s="5"/>
      <c r="M38" s="5"/>
      <c r="N38" s="5"/>
      <c r="O38" s="5"/>
      <c r="P38" s="5"/>
      <c r="Q38" s="5"/>
      <c r="R38" s="5"/>
      <c r="S38" s="5"/>
      <c r="T38" s="374" t="s">
        <v>1020</v>
      </c>
      <c r="U38" s="5"/>
      <c r="V38" s="5"/>
      <c r="W38" s="5" t="s">
        <v>1027</v>
      </c>
      <c r="X38" s="5"/>
      <c r="Y38" s="5"/>
      <c r="Z38" s="5"/>
      <c r="AA38" s="5"/>
      <c r="AB38" s="5"/>
      <c r="AC38" s="5"/>
      <c r="AD38" s="5"/>
      <c r="AE38" s="5"/>
      <c r="AF38" s="5"/>
      <c r="AG38" s="5"/>
      <c r="AH38" s="5"/>
      <c r="AI38" s="5"/>
      <c r="AJ38" s="5"/>
      <c r="AK38" s="5"/>
      <c r="AL38" s="5"/>
      <c r="AM38" s="161" t="s">
        <v>850</v>
      </c>
      <c r="AN38" s="5" t="s">
        <v>851</v>
      </c>
      <c r="AO38" s="5"/>
      <c r="AP38" s="5"/>
      <c r="AQ38" s="5"/>
      <c r="AR38" s="5"/>
      <c r="AS38" s="5"/>
      <c r="AT38" s="5"/>
      <c r="AU38" s="5"/>
      <c r="AV38" s="5"/>
      <c r="AW38" s="5"/>
      <c r="AX38" s="5"/>
      <c r="AY38" s="5"/>
      <c r="AZ38" s="5"/>
      <c r="BA38" s="5"/>
      <c r="BB38" s="5"/>
      <c r="BC38" s="5"/>
      <c r="BD38" s="5"/>
      <c r="BE38" s="373"/>
      <c r="BF38" s="161" t="s">
        <v>850</v>
      </c>
      <c r="BG38" s="5" t="s">
        <v>851</v>
      </c>
      <c r="BH38" s="5"/>
      <c r="BI38" s="5"/>
      <c r="BJ38" s="5"/>
      <c r="BK38" s="5"/>
      <c r="BL38" s="5"/>
      <c r="BM38" s="5"/>
      <c r="BN38" s="5"/>
      <c r="BO38" s="5"/>
      <c r="BP38" s="5"/>
      <c r="BQ38" s="5"/>
      <c r="BR38" s="5"/>
      <c r="BS38" s="5"/>
      <c r="BT38" s="5"/>
      <c r="BU38" s="5"/>
      <c r="BV38" s="5"/>
      <c r="BW38" s="5"/>
      <c r="BX38" s="373"/>
      <c r="BY38" s="5"/>
      <c r="BZ38" s="5"/>
      <c r="CA38" s="5"/>
      <c r="CB38" s="5"/>
      <c r="CC38" s="5"/>
      <c r="CD38" s="161"/>
      <c r="CE38" s="5"/>
      <c r="CF38" s="5"/>
      <c r="CG38" s="5"/>
      <c r="CH38" s="5"/>
      <c r="CI38" s="5"/>
      <c r="CJ38" s="5"/>
      <c r="CK38" s="5"/>
      <c r="CL38" s="5"/>
      <c r="CM38" s="5"/>
      <c r="CN38" s="5"/>
      <c r="CO38" s="5"/>
      <c r="CP38" s="5"/>
      <c r="CQ38" s="5"/>
      <c r="CR38" s="5"/>
      <c r="CS38" s="5"/>
      <c r="CT38" s="5"/>
      <c r="CU38" s="5"/>
      <c r="CV38" s="5"/>
      <c r="CW38" s="372"/>
      <c r="CX38" s="161"/>
      <c r="CY38" s="5"/>
      <c r="CZ38" s="5"/>
      <c r="DA38" s="5"/>
      <c r="DB38" s="5"/>
      <c r="DC38" s="5"/>
      <c r="DD38" s="5"/>
      <c r="DE38" s="5"/>
      <c r="DF38" s="5"/>
      <c r="DG38" s="5"/>
      <c r="DH38" s="5"/>
      <c r="DI38" s="5"/>
      <c r="DJ38" s="5"/>
      <c r="DK38" s="5"/>
      <c r="DL38" s="5"/>
      <c r="DM38" s="5"/>
      <c r="DN38" s="5"/>
      <c r="DO38" s="5"/>
      <c r="DP38" s="5"/>
      <c r="DR38" s="372"/>
      <c r="DS38" s="161"/>
      <c r="DT38" s="5"/>
      <c r="DU38" s="5"/>
      <c r="DV38" s="5"/>
      <c r="DW38" s="5"/>
      <c r="DX38" s="5"/>
      <c r="DY38" s="5"/>
      <c r="DZ38" s="5"/>
      <c r="EA38" s="5"/>
      <c r="EB38" s="5"/>
      <c r="EC38" s="5"/>
      <c r="ED38" s="5"/>
      <c r="EE38" s="5"/>
      <c r="EF38" s="5"/>
      <c r="EG38" s="5"/>
      <c r="EH38" s="5"/>
      <c r="EI38" s="5"/>
      <c r="EJ38" s="5"/>
      <c r="EK38" s="5"/>
    </row>
    <row r="39" spans="1:141" ht="16.2">
      <c r="A39" s="5"/>
      <c r="B39" s="5" t="s">
        <v>852</v>
      </c>
      <c r="C39" s="161" t="s">
        <v>63</v>
      </c>
      <c r="D39" s="5" t="s">
        <v>853</v>
      </c>
      <c r="E39" s="5"/>
      <c r="F39" s="5"/>
      <c r="G39" s="5" t="s">
        <v>854</v>
      </c>
      <c r="H39" s="5"/>
      <c r="I39" s="5"/>
      <c r="J39" s="5"/>
      <c r="L39" s="5"/>
      <c r="M39" s="5"/>
      <c r="N39" s="5"/>
      <c r="O39" s="5"/>
      <c r="P39" s="5"/>
      <c r="Q39" s="5"/>
      <c r="R39" s="5"/>
      <c r="S39" s="5"/>
      <c r="T39" s="374" t="s">
        <v>1021</v>
      </c>
      <c r="U39" s="397">
        <f>4800*178*24*10^-6 *1.5</f>
        <v>30.758399999999995</v>
      </c>
      <c r="V39" s="161" t="s">
        <v>26</v>
      </c>
      <c r="W39" s="5"/>
      <c r="X39" s="5" t="s">
        <v>878</v>
      </c>
      <c r="Y39" s="5"/>
      <c r="Z39" s="5">
        <v>0.95</v>
      </c>
      <c r="AA39" s="5" t="s">
        <v>732</v>
      </c>
      <c r="AB39" s="5"/>
      <c r="AC39" s="5"/>
      <c r="AE39" s="5"/>
      <c r="AF39" s="5"/>
      <c r="AG39" s="5"/>
      <c r="AH39" s="5"/>
      <c r="AI39" s="5"/>
      <c r="AJ39" s="5"/>
      <c r="AK39" s="5"/>
      <c r="AL39" s="5"/>
      <c r="AM39" s="5"/>
      <c r="AN39" s="5" t="s">
        <v>852</v>
      </c>
      <c r="AO39" s="161" t="s">
        <v>63</v>
      </c>
      <c r="AP39" s="5" t="s">
        <v>853</v>
      </c>
      <c r="AQ39" s="5"/>
      <c r="AR39" s="5"/>
      <c r="AS39" s="5" t="s">
        <v>854</v>
      </c>
      <c r="AT39" s="5"/>
      <c r="AU39" s="5"/>
      <c r="AV39" s="5"/>
      <c r="AX39" s="5"/>
      <c r="AY39" s="5"/>
      <c r="AZ39" s="5"/>
      <c r="BA39" s="5"/>
      <c r="BB39" s="5"/>
      <c r="BC39" s="5"/>
      <c r="BD39" s="5"/>
      <c r="BE39" s="373"/>
      <c r="BF39" s="5"/>
      <c r="BG39" s="5" t="s">
        <v>852</v>
      </c>
      <c r="BH39" s="161" t="s">
        <v>63</v>
      </c>
      <c r="BI39" s="5" t="s">
        <v>853</v>
      </c>
      <c r="BJ39" s="5"/>
      <c r="BK39" s="5"/>
      <c r="BL39" s="5" t="s">
        <v>854</v>
      </c>
      <c r="BM39" s="5"/>
      <c r="BN39" s="5"/>
      <c r="BO39" s="5"/>
      <c r="BQ39" s="5"/>
      <c r="BR39" s="5"/>
      <c r="BS39" s="5"/>
      <c r="BT39" s="5"/>
      <c r="BU39" s="5"/>
      <c r="BV39" s="5"/>
      <c r="BW39" s="5"/>
      <c r="BX39" s="373"/>
      <c r="BY39" s="5"/>
      <c r="BZ39" s="5"/>
      <c r="CA39" s="5"/>
      <c r="CB39" s="5"/>
      <c r="CC39" s="5"/>
      <c r="CD39" s="5"/>
      <c r="CE39" s="5"/>
      <c r="CF39" s="161"/>
      <c r="CG39" s="5"/>
      <c r="CH39" s="5"/>
      <c r="CI39" s="5"/>
      <c r="CJ39" s="5"/>
      <c r="CK39" s="5"/>
      <c r="CL39" s="5"/>
      <c r="CM39" s="5"/>
      <c r="CN39" s="5"/>
      <c r="CO39" s="5"/>
      <c r="CP39" s="5"/>
      <c r="CQ39" s="5"/>
      <c r="CR39" s="5"/>
      <c r="CS39" s="5"/>
      <c r="CT39" s="5"/>
      <c r="CU39" s="5"/>
      <c r="CV39" s="5"/>
      <c r="CW39" s="372"/>
      <c r="CX39" s="5"/>
      <c r="CY39" s="5"/>
      <c r="CZ39" s="161"/>
      <c r="DA39" s="5"/>
      <c r="DB39" s="5"/>
      <c r="DC39" s="5"/>
      <c r="DD39" s="5"/>
      <c r="DE39" s="5"/>
      <c r="DF39" s="5"/>
      <c r="DG39" s="5"/>
      <c r="DH39" s="5"/>
      <c r="DI39" s="5"/>
      <c r="DJ39" s="5"/>
      <c r="DK39" s="5"/>
      <c r="DL39" s="5"/>
      <c r="DM39" s="5"/>
      <c r="DN39" s="5"/>
      <c r="DO39" s="5"/>
      <c r="DP39" s="5"/>
      <c r="DR39" s="372"/>
      <c r="DS39" s="5"/>
      <c r="DT39" s="5"/>
      <c r="DU39" s="161"/>
      <c r="DV39" s="5"/>
      <c r="DW39" s="5"/>
      <c r="DX39" s="5"/>
      <c r="DY39" s="5"/>
      <c r="DZ39" s="5"/>
      <c r="EA39" s="5"/>
      <c r="EB39" s="5"/>
      <c r="EC39" s="5"/>
      <c r="ED39" s="5"/>
      <c r="EE39" s="5"/>
      <c r="EF39" s="5"/>
      <c r="EG39" s="5"/>
      <c r="EH39" s="5"/>
      <c r="EI39" s="5"/>
      <c r="EJ39" s="5"/>
      <c r="EK39" s="5"/>
    </row>
    <row r="40" spans="1:141" ht="15.6">
      <c r="A40" s="5"/>
      <c r="B40" s="5" t="s">
        <v>855</v>
      </c>
      <c r="C40" s="161"/>
      <c r="D40" s="5"/>
      <c r="E40" s="374" t="s">
        <v>856</v>
      </c>
      <c r="F40" s="5"/>
      <c r="G40" s="161" t="s">
        <v>63</v>
      </c>
      <c r="H40" s="5" t="s">
        <v>857</v>
      </c>
      <c r="I40" s="5"/>
      <c r="J40" s="5"/>
      <c r="K40" s="5"/>
      <c r="L40" s="5"/>
      <c r="M40" s="5"/>
      <c r="N40" s="5" t="s">
        <v>858</v>
      </c>
      <c r="O40" s="5">
        <f>O45/K46</f>
        <v>260.84615384615387</v>
      </c>
      <c r="P40" s="5" t="s">
        <v>859</v>
      </c>
      <c r="Q40" s="5"/>
      <c r="R40" s="5"/>
      <c r="S40" s="5"/>
      <c r="T40" s="374" t="s">
        <v>1022</v>
      </c>
      <c r="U40" s="5">
        <f>U39/Z39</f>
        <v>32.377263157894731</v>
      </c>
      <c r="V40" s="161" t="s">
        <v>151</v>
      </c>
      <c r="W40" s="5"/>
      <c r="X40" s="374"/>
      <c r="Y40" s="5"/>
      <c r="Z40" s="161"/>
      <c r="AA40" s="5"/>
      <c r="AB40" s="5"/>
      <c r="AC40" s="5"/>
      <c r="AD40" s="5"/>
      <c r="AE40" s="5"/>
      <c r="AF40" s="5"/>
      <c r="AG40" s="5"/>
      <c r="AH40" s="5"/>
      <c r="AI40" s="5"/>
      <c r="AJ40" s="5"/>
      <c r="AK40" s="5"/>
      <c r="AL40" s="5"/>
      <c r="AM40" s="5"/>
      <c r="AN40" s="5" t="s">
        <v>855</v>
      </c>
      <c r="AO40" s="161"/>
      <c r="AP40" s="5"/>
      <c r="AQ40" s="374" t="s">
        <v>856</v>
      </c>
      <c r="AR40" s="5"/>
      <c r="AS40" s="161" t="s">
        <v>63</v>
      </c>
      <c r="AT40" s="5" t="s">
        <v>857</v>
      </c>
      <c r="AU40" s="5"/>
      <c r="AV40" s="5"/>
      <c r="AW40" s="5"/>
      <c r="AX40" s="5"/>
      <c r="AY40" s="5"/>
      <c r="AZ40" s="5" t="s">
        <v>858</v>
      </c>
      <c r="BA40" s="5">
        <f>BA45/AW46</f>
        <v>260.84615384615387</v>
      </c>
      <c r="BB40" s="5" t="s">
        <v>859</v>
      </c>
      <c r="BC40" s="5"/>
      <c r="BD40" s="5"/>
      <c r="BE40" s="373"/>
      <c r="BF40" s="5"/>
      <c r="BG40" s="5" t="s">
        <v>855</v>
      </c>
      <c r="BH40" s="161"/>
      <c r="BI40" s="5"/>
      <c r="BJ40" s="374" t="s">
        <v>856</v>
      </c>
      <c r="BK40" s="5"/>
      <c r="BL40" s="161" t="s">
        <v>63</v>
      </c>
      <c r="BM40" s="5" t="s">
        <v>857</v>
      </c>
      <c r="BN40" s="5"/>
      <c r="BO40" s="5"/>
      <c r="BP40" s="5"/>
      <c r="BQ40" s="5"/>
      <c r="BR40" s="5"/>
      <c r="BS40" s="5" t="s">
        <v>858</v>
      </c>
      <c r="BT40" s="5">
        <f>BT45/BP46</f>
        <v>260.84615384615387</v>
      </c>
      <c r="BU40" s="5" t="s">
        <v>859</v>
      </c>
      <c r="BV40" s="5"/>
      <c r="BW40" s="5"/>
      <c r="BX40" s="373"/>
      <c r="BY40" s="5"/>
      <c r="BZ40" s="5"/>
      <c r="CA40" s="5"/>
      <c r="CB40" s="5"/>
      <c r="CC40" s="5"/>
      <c r="CD40" s="5"/>
      <c r="CE40" s="5"/>
      <c r="CF40" s="161"/>
      <c r="CG40" s="5"/>
      <c r="CH40" s="374"/>
      <c r="CI40" s="5"/>
      <c r="CJ40" s="161"/>
      <c r="CK40" s="5"/>
      <c r="CL40" s="5"/>
      <c r="CM40" s="5"/>
      <c r="CN40" s="5"/>
      <c r="CO40" s="5"/>
      <c r="CP40" s="5"/>
      <c r="CQ40" s="5"/>
      <c r="CR40" s="5"/>
      <c r="CS40" s="5"/>
      <c r="CT40" s="5"/>
      <c r="CU40" s="5"/>
      <c r="CV40" s="5"/>
      <c r="CW40" s="372"/>
      <c r="CX40" s="5"/>
      <c r="CY40" s="5"/>
      <c r="CZ40" s="161"/>
      <c r="DA40" s="5"/>
      <c r="DB40" s="374"/>
      <c r="DC40" s="5"/>
      <c r="DD40" s="161"/>
      <c r="DE40" s="5"/>
      <c r="DF40" s="5"/>
      <c r="DG40" s="5"/>
      <c r="DH40" s="5"/>
      <c r="DI40" s="5"/>
      <c r="DJ40" s="5"/>
      <c r="DK40" s="5"/>
      <c r="DL40" s="5"/>
      <c r="DM40" s="5"/>
      <c r="DN40" s="5"/>
      <c r="DO40" s="5"/>
      <c r="DP40" s="5"/>
      <c r="DR40" s="372"/>
      <c r="DS40" s="5"/>
      <c r="DT40" s="5"/>
      <c r="DU40" s="161"/>
      <c r="DV40" s="5"/>
      <c r="DW40" s="374"/>
      <c r="DX40" s="5"/>
      <c r="DY40" s="161"/>
      <c r="DZ40" s="5"/>
      <c r="EA40" s="5"/>
      <c r="EB40" s="5"/>
      <c r="EC40" s="5"/>
      <c r="ED40" s="5"/>
      <c r="EE40" s="5"/>
      <c r="EF40" s="5"/>
      <c r="EG40" s="5"/>
      <c r="EH40" s="5"/>
      <c r="EI40" s="5"/>
      <c r="EJ40" s="5"/>
      <c r="EK40" s="5"/>
    </row>
    <row r="41" spans="1:141" ht="15.6">
      <c r="A41" s="5"/>
      <c r="B41" s="5"/>
      <c r="C41" s="5"/>
      <c r="D41" s="5"/>
      <c r="E41" s="374" t="s">
        <v>860</v>
      </c>
      <c r="F41" s="5"/>
      <c r="G41" s="161" t="s">
        <v>63</v>
      </c>
      <c r="H41" s="375" t="s">
        <v>861</v>
      </c>
      <c r="I41" s="5"/>
      <c r="J41" s="5"/>
      <c r="K41" s="5"/>
      <c r="L41" s="5"/>
      <c r="M41" s="5"/>
      <c r="N41" s="5"/>
      <c r="O41" s="5">
        <f>O44/K45</f>
        <v>260.84615384615387</v>
      </c>
      <c r="P41" s="5"/>
      <c r="Q41" s="5"/>
      <c r="R41" s="5"/>
      <c r="S41" s="5"/>
      <c r="T41" s="374"/>
      <c r="U41" s="5"/>
      <c r="V41" s="5"/>
      <c r="W41" s="5"/>
      <c r="X41" s="374"/>
      <c r="Y41" s="5"/>
      <c r="Z41" s="161"/>
      <c r="AA41" s="375"/>
      <c r="AB41" s="5"/>
      <c r="AC41" s="5"/>
      <c r="AD41" s="5"/>
      <c r="AE41" s="5"/>
      <c r="AF41" s="5"/>
      <c r="AG41" s="5"/>
      <c r="AH41" s="5"/>
      <c r="AI41" s="5"/>
      <c r="AJ41" s="5"/>
      <c r="AK41" s="5"/>
      <c r="AL41" s="5"/>
      <c r="AM41" s="5"/>
      <c r="AN41" s="5"/>
      <c r="AO41" s="5"/>
      <c r="AP41" s="5"/>
      <c r="AQ41" s="374" t="s">
        <v>860</v>
      </c>
      <c r="AR41" s="5"/>
      <c r="AS41" s="161" t="s">
        <v>63</v>
      </c>
      <c r="AT41" s="375" t="s">
        <v>861</v>
      </c>
      <c r="AU41" s="5"/>
      <c r="AV41" s="5"/>
      <c r="AW41" s="5"/>
      <c r="AX41" s="5"/>
      <c r="AY41" s="5"/>
      <c r="AZ41" s="5"/>
      <c r="BA41" s="5">
        <f>BA44/AW45</f>
        <v>260.84615384615387</v>
      </c>
      <c r="BB41" s="5"/>
      <c r="BC41" s="5"/>
      <c r="BD41" s="5"/>
      <c r="BE41" s="5"/>
      <c r="BF41" s="5"/>
      <c r="BG41" s="5"/>
      <c r="BH41" s="5"/>
      <c r="BI41" s="5"/>
      <c r="BJ41" s="374" t="s">
        <v>860</v>
      </c>
      <c r="BK41" s="5"/>
      <c r="BL41" s="161" t="s">
        <v>63</v>
      </c>
      <c r="BM41" s="375" t="s">
        <v>861</v>
      </c>
      <c r="BN41" s="5"/>
      <c r="BO41" s="5"/>
      <c r="BP41" s="5"/>
      <c r="BQ41" s="5"/>
      <c r="BR41" s="5"/>
      <c r="BS41" s="5"/>
      <c r="BT41" s="5">
        <f>BT44/BP45</f>
        <v>260.84615384615387</v>
      </c>
      <c r="BU41" s="5"/>
      <c r="BV41" s="5"/>
      <c r="BW41" s="5"/>
      <c r="BX41" s="5"/>
      <c r="BY41" s="5"/>
      <c r="BZ41" s="5"/>
      <c r="CA41" s="5"/>
      <c r="CB41" s="5"/>
      <c r="CC41" s="5"/>
      <c r="CD41" s="5"/>
      <c r="CE41" s="5"/>
      <c r="CF41" s="5"/>
      <c r="CG41" s="5"/>
      <c r="CH41" s="374"/>
      <c r="CI41" s="5"/>
      <c r="CJ41" s="161"/>
      <c r="CK41" s="375"/>
      <c r="CL41" s="5"/>
      <c r="CM41" s="5"/>
      <c r="CN41" s="5"/>
      <c r="CO41" s="5"/>
      <c r="CP41" s="5"/>
      <c r="CQ41" s="5"/>
      <c r="CR41" s="5"/>
      <c r="CS41" s="5"/>
      <c r="CT41" s="5"/>
      <c r="CU41" s="5"/>
      <c r="CV41" s="5"/>
      <c r="CW41" s="372"/>
      <c r="CX41" s="5"/>
      <c r="CY41" s="5"/>
      <c r="CZ41" s="5"/>
      <c r="DA41" s="5"/>
      <c r="DB41" s="374"/>
      <c r="DC41" s="5"/>
      <c r="DD41" s="161"/>
      <c r="DE41" s="375"/>
      <c r="DF41" s="5"/>
      <c r="DG41" s="5"/>
      <c r="DH41" s="5"/>
      <c r="DI41" s="5"/>
      <c r="DJ41" s="5"/>
      <c r="DK41" s="5"/>
      <c r="DL41" s="5"/>
      <c r="DM41" s="5"/>
      <c r="DN41" s="5"/>
      <c r="DO41" s="5"/>
      <c r="DP41" s="5"/>
      <c r="DR41" s="372"/>
      <c r="DS41" s="5"/>
      <c r="DT41" s="5"/>
      <c r="DU41" s="5"/>
      <c r="DV41" s="5"/>
      <c r="DW41" s="374"/>
      <c r="DX41" s="5"/>
      <c r="DY41" s="161"/>
      <c r="DZ41" s="5"/>
      <c r="EA41" s="5"/>
      <c r="EB41" s="5"/>
      <c r="EC41" s="5"/>
      <c r="ED41" s="5"/>
      <c r="EE41" s="5"/>
      <c r="EF41" s="5"/>
      <c r="EG41" s="5"/>
      <c r="EH41" s="5"/>
      <c r="EI41" s="5"/>
      <c r="EJ41" s="5"/>
      <c r="EK41" s="5"/>
    </row>
    <row r="42" spans="1:141">
      <c r="A42" s="5"/>
      <c r="B42" s="5"/>
      <c r="C42" s="5"/>
      <c r="D42" s="5"/>
      <c r="E42" s="374" t="s">
        <v>819</v>
      </c>
      <c r="F42" s="5"/>
      <c r="G42" s="161" t="s">
        <v>63</v>
      </c>
      <c r="H42" s="5" t="s">
        <v>862</v>
      </c>
      <c r="I42" s="5"/>
      <c r="J42" s="5"/>
      <c r="K42" s="5"/>
      <c r="L42" s="5"/>
      <c r="M42" s="5"/>
      <c r="O42" s="369">
        <f>O41/24</f>
        <v>10.868589743589745</v>
      </c>
      <c r="P42" s="369" t="s">
        <v>573</v>
      </c>
      <c r="Q42" s="5"/>
      <c r="R42" s="5"/>
      <c r="S42" s="5"/>
      <c r="T42" s="374" t="s">
        <v>1023</v>
      </c>
      <c r="U42" s="5"/>
      <c r="V42" s="5"/>
      <c r="W42" s="5" t="s">
        <v>1026</v>
      </c>
      <c r="X42" s="374"/>
      <c r="Y42" s="5"/>
      <c r="Z42" s="161"/>
      <c r="AA42" s="5"/>
      <c r="AB42" s="5"/>
      <c r="AC42" s="5"/>
      <c r="AD42" s="5"/>
      <c r="AE42" s="5"/>
      <c r="AF42" s="5"/>
      <c r="AJ42" s="5"/>
      <c r="AK42" s="5"/>
      <c r="AL42" s="5"/>
      <c r="AM42" s="5"/>
      <c r="AN42" s="5"/>
      <c r="AO42" s="5"/>
      <c r="AP42" s="5"/>
      <c r="AQ42" s="374" t="s">
        <v>819</v>
      </c>
      <c r="AR42" s="5"/>
      <c r="AS42" s="161" t="s">
        <v>63</v>
      </c>
      <c r="AT42" s="5" t="s">
        <v>862</v>
      </c>
      <c r="AU42" s="5"/>
      <c r="AV42" s="5"/>
      <c r="AW42" s="5"/>
      <c r="AX42" s="5"/>
      <c r="AY42" s="5"/>
      <c r="BA42" s="369">
        <f>BA41/24</f>
        <v>10.868589743589745</v>
      </c>
      <c r="BB42" s="369" t="s">
        <v>573</v>
      </c>
      <c r="BC42" s="5"/>
      <c r="BD42" s="5"/>
      <c r="BE42" s="373"/>
      <c r="BF42" s="5"/>
      <c r="BG42" s="5"/>
      <c r="BH42" s="5"/>
      <c r="BI42" s="5"/>
      <c r="BJ42" s="374" t="s">
        <v>819</v>
      </c>
      <c r="BK42" s="5"/>
      <c r="BL42" s="161" t="s">
        <v>63</v>
      </c>
      <c r="BM42" s="5" t="s">
        <v>862</v>
      </c>
      <c r="BN42" s="5"/>
      <c r="BO42" s="5"/>
      <c r="BP42" s="5"/>
      <c r="BQ42" s="5"/>
      <c r="BR42" s="5"/>
      <c r="BT42" s="369">
        <f>BT41/24</f>
        <v>10.868589743589745</v>
      </c>
      <c r="BU42" s="369" t="s">
        <v>573</v>
      </c>
      <c r="BV42" s="5"/>
      <c r="BW42" s="5"/>
      <c r="BX42" s="373"/>
      <c r="BY42" s="5"/>
      <c r="BZ42" s="5"/>
      <c r="CA42" s="5"/>
      <c r="CB42" s="5"/>
      <c r="CC42" s="5"/>
      <c r="CD42" s="5"/>
      <c r="CE42" s="5"/>
      <c r="CF42" s="5"/>
      <c r="CG42" s="5"/>
      <c r="CH42" s="374"/>
      <c r="CI42" s="5"/>
      <c r="CJ42" s="161"/>
      <c r="CK42" s="5"/>
      <c r="CL42" s="5"/>
      <c r="CM42" s="5"/>
      <c r="CN42" s="5"/>
      <c r="CO42" s="5"/>
      <c r="CP42" s="5"/>
      <c r="CQ42" s="5"/>
      <c r="CR42" s="5"/>
      <c r="CS42" s="5"/>
      <c r="CT42" s="5"/>
      <c r="CU42" s="5"/>
      <c r="CV42" s="5"/>
      <c r="CW42" s="372"/>
      <c r="CX42" s="5"/>
      <c r="CY42" s="5"/>
      <c r="CZ42" s="5"/>
      <c r="DA42" s="5"/>
      <c r="DB42" s="374"/>
      <c r="DC42" s="5"/>
      <c r="DD42" s="161"/>
      <c r="DE42" s="5"/>
      <c r="DF42" s="5"/>
      <c r="DG42" s="5"/>
      <c r="DH42" s="5"/>
      <c r="DI42" s="5"/>
      <c r="DJ42" s="5"/>
      <c r="DK42" s="5"/>
      <c r="DL42" s="5"/>
      <c r="DM42" s="5"/>
      <c r="DN42" s="5"/>
      <c r="DO42" s="5"/>
      <c r="DP42" s="5"/>
      <c r="DR42" s="372"/>
      <c r="DS42" s="5"/>
      <c r="DT42" s="5"/>
      <c r="DU42" s="5"/>
      <c r="DV42" s="5"/>
      <c r="DW42" s="374"/>
      <c r="DX42" s="5"/>
      <c r="DY42" s="161"/>
      <c r="DZ42" s="5"/>
      <c r="EA42" s="5"/>
      <c r="EB42" s="5"/>
      <c r="EC42" s="5"/>
      <c r="ED42" s="5"/>
      <c r="EE42" s="5"/>
      <c r="EF42" s="5"/>
      <c r="EG42" s="5"/>
      <c r="EH42" s="5"/>
      <c r="EI42" s="5"/>
      <c r="EJ42" s="5"/>
      <c r="EK42" s="5"/>
    </row>
    <row r="43" spans="1:141">
      <c r="A43" s="5"/>
      <c r="B43" s="5"/>
      <c r="C43" s="5"/>
      <c r="D43" s="5"/>
      <c r="E43" s="374" t="s">
        <v>10</v>
      </c>
      <c r="F43" s="5"/>
      <c r="G43" s="161" t="s">
        <v>63</v>
      </c>
      <c r="H43" s="5" t="s">
        <v>863</v>
      </c>
      <c r="I43" s="5"/>
      <c r="J43" s="5"/>
      <c r="K43" s="5"/>
      <c r="L43" s="5"/>
      <c r="M43" s="5"/>
      <c r="Q43" s="5"/>
      <c r="R43" s="5"/>
      <c r="S43" s="5"/>
      <c r="T43" s="374" t="s">
        <v>1024</v>
      </c>
      <c r="U43" s="5">
        <f>4800*178*8*10^-6 *1.5</f>
        <v>10.252799999999999</v>
      </c>
      <c r="V43" s="5"/>
      <c r="W43" s="5"/>
      <c r="X43" s="374"/>
      <c r="Y43" s="5"/>
      <c r="Z43" s="161"/>
      <c r="AA43" s="5"/>
      <c r="AB43" s="5"/>
      <c r="AC43" s="5"/>
      <c r="AD43" s="5"/>
      <c r="AE43" s="5"/>
      <c r="AF43" s="5"/>
      <c r="AJ43" s="5"/>
      <c r="AK43" s="5"/>
      <c r="AL43" s="5"/>
      <c r="AM43" s="5"/>
      <c r="AN43" s="5"/>
      <c r="AO43" s="5"/>
      <c r="AP43" s="5"/>
      <c r="AQ43" s="374" t="s">
        <v>10</v>
      </c>
      <c r="AR43" s="5"/>
      <c r="AS43" s="161" t="s">
        <v>63</v>
      </c>
      <c r="AT43" s="5" t="s">
        <v>863</v>
      </c>
      <c r="AU43" s="5"/>
      <c r="AV43" s="5"/>
      <c r="AW43" s="5"/>
      <c r="AX43" s="5"/>
      <c r="AY43" s="5"/>
      <c r="BC43" s="5"/>
      <c r="BD43" s="5"/>
      <c r="BE43" s="373"/>
      <c r="BF43" s="5"/>
      <c r="BG43" s="5"/>
      <c r="BH43" s="5"/>
      <c r="BI43" s="5"/>
      <c r="BJ43" s="374" t="s">
        <v>10</v>
      </c>
      <c r="BK43" s="5"/>
      <c r="BL43" s="161" t="s">
        <v>63</v>
      </c>
      <c r="BM43" s="5" t="s">
        <v>863</v>
      </c>
      <c r="BN43" s="5"/>
      <c r="BO43" s="5"/>
      <c r="BP43" s="5"/>
      <c r="BQ43" s="5"/>
      <c r="BR43" s="5"/>
      <c r="BV43" s="5"/>
      <c r="BW43" s="5"/>
      <c r="BX43" s="373"/>
      <c r="BY43" s="5"/>
      <c r="BZ43" s="5"/>
      <c r="CA43" s="5"/>
      <c r="CB43" s="5"/>
      <c r="CC43" s="5"/>
      <c r="CD43" s="5"/>
      <c r="CE43" s="5"/>
      <c r="CF43" s="5"/>
      <c r="CG43" s="5"/>
      <c r="CH43" s="374"/>
      <c r="CI43" s="5"/>
      <c r="CJ43" s="161"/>
      <c r="CK43" s="5"/>
      <c r="CL43" s="5"/>
      <c r="CM43" s="5"/>
      <c r="CN43" s="5"/>
      <c r="CO43" s="5"/>
      <c r="CP43" s="5"/>
      <c r="CQ43" s="5"/>
      <c r="CR43" s="5"/>
      <c r="CS43" s="5"/>
      <c r="CT43" s="5"/>
      <c r="CU43" s="5"/>
      <c r="CV43" s="5"/>
      <c r="CW43" s="372"/>
      <c r="CX43" s="5"/>
      <c r="CY43" s="5"/>
      <c r="CZ43" s="5"/>
      <c r="DA43" s="5"/>
      <c r="DB43" s="374"/>
      <c r="DC43" s="5"/>
      <c r="DD43" s="161"/>
      <c r="DE43" s="5"/>
      <c r="DF43" s="5"/>
      <c r="DG43" s="5"/>
      <c r="DH43" s="5"/>
      <c r="DI43" s="5"/>
      <c r="DJ43" s="5"/>
      <c r="DK43" s="5"/>
      <c r="DL43" s="5"/>
      <c r="DM43" s="5"/>
      <c r="DN43" s="5"/>
      <c r="DO43" s="5"/>
      <c r="DP43" s="5"/>
      <c r="DR43" s="372"/>
      <c r="DS43" s="5"/>
      <c r="DT43" s="5"/>
      <c r="DU43" s="5"/>
      <c r="DV43" s="5"/>
      <c r="DW43" s="374"/>
      <c r="DX43" s="5"/>
      <c r="DY43" s="161"/>
      <c r="DZ43" s="5"/>
      <c r="EA43" s="5"/>
      <c r="EB43" s="5"/>
      <c r="EC43" s="5"/>
      <c r="ED43" s="5"/>
      <c r="EE43" s="5"/>
      <c r="EF43" s="5"/>
      <c r="EG43" s="5"/>
      <c r="EH43" s="5"/>
      <c r="EI43" s="5"/>
      <c r="EJ43" s="5"/>
      <c r="EK43" s="5"/>
    </row>
    <row r="44" spans="1:141">
      <c r="A44" s="5"/>
      <c r="B44" s="5"/>
      <c r="C44" s="5"/>
      <c r="D44" s="5"/>
      <c r="E44" s="374" t="s">
        <v>864</v>
      </c>
      <c r="F44" s="5"/>
      <c r="G44" s="161" t="s">
        <v>63</v>
      </c>
      <c r="H44" s="5" t="s">
        <v>865</v>
      </c>
      <c r="I44" s="5"/>
      <c r="J44" s="5"/>
      <c r="K44" s="5"/>
      <c r="L44" s="5"/>
      <c r="M44" s="5"/>
      <c r="N44" s="376" t="s">
        <v>72</v>
      </c>
      <c r="O44" s="5">
        <v>3391</v>
      </c>
      <c r="P44" s="5" t="s">
        <v>866</v>
      </c>
      <c r="Q44" s="5"/>
      <c r="R44" s="5"/>
      <c r="S44" s="5"/>
      <c r="T44" s="374" t="s">
        <v>1025</v>
      </c>
      <c r="U44" s="5">
        <f>U43/Z39</f>
        <v>10.792421052631578</v>
      </c>
      <c r="V44" s="5" t="s">
        <v>151</v>
      </c>
      <c r="W44" s="5"/>
      <c r="X44" s="374"/>
      <c r="Y44" s="5"/>
      <c r="Z44" s="161"/>
      <c r="AA44" s="5"/>
      <c r="AB44" s="5"/>
      <c r="AC44" s="5"/>
      <c r="AD44" s="5"/>
      <c r="AE44" s="5"/>
      <c r="AF44" s="5"/>
      <c r="AG44" s="376"/>
      <c r="AH44" s="5"/>
      <c r="AI44" s="5"/>
      <c r="AJ44" s="5"/>
      <c r="AK44" s="5"/>
      <c r="AL44" s="5"/>
      <c r="AM44" s="5"/>
      <c r="AN44" s="5"/>
      <c r="AO44" s="5"/>
      <c r="AP44" s="5"/>
      <c r="AQ44" s="374" t="s">
        <v>864</v>
      </c>
      <c r="AR44" s="5"/>
      <c r="AS44" s="161" t="s">
        <v>63</v>
      </c>
      <c r="AT44" s="5" t="s">
        <v>865</v>
      </c>
      <c r="AU44" s="5"/>
      <c r="AV44" s="5"/>
      <c r="AW44" s="5"/>
      <c r="AX44" s="5"/>
      <c r="AY44" s="5"/>
      <c r="AZ44" s="376" t="s">
        <v>72</v>
      </c>
      <c r="BA44" s="5">
        <v>3391</v>
      </c>
      <c r="BB44" s="5" t="s">
        <v>866</v>
      </c>
      <c r="BC44" s="5"/>
      <c r="BD44" s="5"/>
      <c r="BE44" s="373"/>
      <c r="BF44" s="5"/>
      <c r="BG44" s="5"/>
      <c r="BH44" s="5"/>
      <c r="BI44" s="5"/>
      <c r="BJ44" s="374" t="s">
        <v>864</v>
      </c>
      <c r="BK44" s="5"/>
      <c r="BL44" s="161" t="s">
        <v>63</v>
      </c>
      <c r="BM44" s="5" t="s">
        <v>865</v>
      </c>
      <c r="BN44" s="5"/>
      <c r="BO44" s="5"/>
      <c r="BP44" s="5"/>
      <c r="BQ44" s="5"/>
      <c r="BR44" s="5"/>
      <c r="BS44" s="376" t="s">
        <v>72</v>
      </c>
      <c r="BT44" s="5">
        <v>3391</v>
      </c>
      <c r="BU44" s="5" t="s">
        <v>866</v>
      </c>
      <c r="BV44" s="5"/>
      <c r="BW44" s="5"/>
      <c r="BX44" s="373"/>
      <c r="BY44" s="5"/>
      <c r="BZ44" s="5"/>
      <c r="CA44" s="5"/>
      <c r="CB44" s="5"/>
      <c r="CC44" s="5"/>
      <c r="CD44" s="5"/>
      <c r="CE44" s="5"/>
      <c r="CF44" s="5"/>
      <c r="CG44" s="5"/>
      <c r="CH44" s="374"/>
      <c r="CI44" s="5"/>
      <c r="CJ44" s="161"/>
      <c r="CK44" s="5"/>
      <c r="CL44" s="5"/>
      <c r="CM44" s="5"/>
      <c r="CN44" s="5"/>
      <c r="CO44" s="5"/>
      <c r="CP44" s="5"/>
      <c r="CQ44" s="5"/>
      <c r="CR44" s="5"/>
      <c r="CS44" s="5"/>
      <c r="CT44" s="5"/>
      <c r="CU44" s="5"/>
      <c r="CV44" s="5"/>
      <c r="CW44" s="372"/>
      <c r="CX44" s="5"/>
      <c r="CY44" s="5"/>
      <c r="CZ44" s="5"/>
      <c r="DA44" s="5"/>
      <c r="DB44" s="374"/>
      <c r="DC44" s="5"/>
      <c r="DD44" s="161"/>
      <c r="DE44" s="5"/>
      <c r="DF44" s="5"/>
      <c r="DG44" s="5"/>
      <c r="DH44" s="5"/>
      <c r="DI44" s="5"/>
      <c r="DJ44" s="5"/>
      <c r="DK44" s="5"/>
      <c r="DL44" s="5"/>
      <c r="DM44" s="5"/>
      <c r="DN44" s="5"/>
      <c r="DO44" s="5"/>
      <c r="DP44" s="5"/>
      <c r="DR44" s="372"/>
      <c r="DS44" s="5"/>
      <c r="DT44" s="5"/>
      <c r="DU44" s="5"/>
      <c r="DV44" s="5"/>
      <c r="DW44" s="374"/>
      <c r="DX44" s="5"/>
      <c r="DY44" s="161"/>
      <c r="DZ44" s="5"/>
      <c r="EA44" s="5"/>
      <c r="EB44" s="5"/>
      <c r="EC44" s="5"/>
      <c r="ED44" s="5"/>
      <c r="EE44" s="5"/>
      <c r="EF44" s="5"/>
      <c r="EG44" s="5"/>
      <c r="EH44" s="5"/>
      <c r="EI44" s="5"/>
      <c r="EJ44" s="5"/>
      <c r="EK44" s="5"/>
    </row>
    <row r="45" spans="1:141" ht="16.2">
      <c r="A45" s="5"/>
      <c r="B45" s="5" t="s">
        <v>852</v>
      </c>
      <c r="C45" s="161" t="s">
        <v>63</v>
      </c>
      <c r="D45" s="5" t="s">
        <v>853</v>
      </c>
      <c r="E45" s="5"/>
      <c r="F45" s="5"/>
      <c r="G45" s="5"/>
      <c r="H45" s="5"/>
      <c r="I45" s="5"/>
      <c r="J45" s="376" t="s">
        <v>248</v>
      </c>
      <c r="K45" s="5">
        <v>13</v>
      </c>
      <c r="L45" s="5" t="s">
        <v>11</v>
      </c>
      <c r="M45" s="5"/>
      <c r="N45" s="376" t="s">
        <v>63</v>
      </c>
      <c r="O45" s="5">
        <f>O44*1.852</f>
        <v>6280.1320000000005</v>
      </c>
      <c r="P45" s="5" t="s">
        <v>867</v>
      </c>
      <c r="Q45" s="5"/>
      <c r="R45" s="5"/>
      <c r="S45" s="5"/>
      <c r="T45" s="374"/>
      <c r="U45" s="5"/>
      <c r="V45" s="161"/>
      <c r="W45" s="5"/>
      <c r="X45" s="5"/>
      <c r="Y45" s="5"/>
      <c r="Z45" s="5"/>
      <c r="AA45" s="5"/>
      <c r="AB45" s="5"/>
      <c r="AC45" s="376"/>
      <c r="AD45" s="5"/>
      <c r="AE45" s="5"/>
      <c r="AF45" s="5"/>
      <c r="AG45" s="376"/>
      <c r="AH45" s="5"/>
      <c r="AI45" s="5"/>
      <c r="AJ45" s="5"/>
      <c r="AK45" s="5"/>
      <c r="AL45" s="5"/>
      <c r="AM45" s="5"/>
      <c r="AN45" s="5" t="s">
        <v>852</v>
      </c>
      <c r="AO45" s="161" t="s">
        <v>63</v>
      </c>
      <c r="AP45" s="5" t="s">
        <v>853</v>
      </c>
      <c r="AQ45" s="5"/>
      <c r="AR45" s="5"/>
      <c r="AS45" s="5"/>
      <c r="AT45" s="5"/>
      <c r="AU45" s="5"/>
      <c r="AV45" s="376" t="s">
        <v>248</v>
      </c>
      <c r="AW45" s="5">
        <v>13</v>
      </c>
      <c r="AX45" s="5" t="s">
        <v>11</v>
      </c>
      <c r="AY45" s="5"/>
      <c r="AZ45" s="376" t="s">
        <v>63</v>
      </c>
      <c r="BA45" s="5">
        <f>BA44*1.852</f>
        <v>6280.1320000000005</v>
      </c>
      <c r="BB45" s="5" t="s">
        <v>867</v>
      </c>
      <c r="BC45" s="5"/>
      <c r="BD45" s="5"/>
      <c r="BE45" s="373"/>
      <c r="BF45" s="5"/>
      <c r="BG45" s="5" t="s">
        <v>852</v>
      </c>
      <c r="BH45" s="161" t="s">
        <v>63</v>
      </c>
      <c r="BI45" s="5" t="s">
        <v>853</v>
      </c>
      <c r="BJ45" s="5"/>
      <c r="BK45" s="5"/>
      <c r="BL45" s="5"/>
      <c r="BM45" s="5"/>
      <c r="BN45" s="5"/>
      <c r="BO45" s="376" t="s">
        <v>248</v>
      </c>
      <c r="BP45" s="5">
        <v>13</v>
      </c>
      <c r="BQ45" s="5" t="s">
        <v>11</v>
      </c>
      <c r="BR45" s="5"/>
      <c r="BS45" s="376" t="s">
        <v>63</v>
      </c>
      <c r="BT45" s="5">
        <f>BT44*1.852</f>
        <v>6280.1320000000005</v>
      </c>
      <c r="BU45" s="5" t="s">
        <v>867</v>
      </c>
      <c r="BV45" s="5"/>
      <c r="BW45" s="5"/>
      <c r="BX45" s="373"/>
      <c r="BY45" s="5"/>
      <c r="BZ45" s="5"/>
      <c r="CA45" s="5"/>
      <c r="CB45" s="5"/>
      <c r="CC45" s="5"/>
      <c r="CD45" s="5"/>
      <c r="CE45" s="5"/>
      <c r="CF45" s="161"/>
      <c r="CG45" s="5"/>
      <c r="CH45" s="5"/>
      <c r="CI45" s="5"/>
      <c r="CJ45" s="5"/>
      <c r="CK45" s="5"/>
      <c r="CL45" s="5"/>
      <c r="CM45" s="5"/>
      <c r="CN45" s="5"/>
      <c r="CO45" s="5"/>
      <c r="CP45" s="5"/>
      <c r="CQ45" s="5"/>
      <c r="CR45" s="5"/>
      <c r="CS45" s="5"/>
      <c r="CT45" s="5"/>
      <c r="CU45" s="5"/>
      <c r="CV45" s="5"/>
      <c r="CW45" s="372"/>
      <c r="CX45" s="5"/>
      <c r="CY45" s="5"/>
      <c r="CZ45" s="161"/>
      <c r="DA45" s="5"/>
      <c r="DB45" s="5"/>
      <c r="DC45" s="5"/>
      <c r="DD45" s="5"/>
      <c r="DE45" s="5"/>
      <c r="DF45" s="5"/>
      <c r="DG45" s="5"/>
      <c r="DH45" s="5"/>
      <c r="DI45" s="5"/>
      <c r="DJ45" s="5"/>
      <c r="DK45" s="5"/>
      <c r="DL45" s="5"/>
      <c r="DM45" s="5"/>
      <c r="DN45" s="5"/>
      <c r="DO45" s="5"/>
      <c r="DP45" s="5"/>
      <c r="DR45" s="372"/>
      <c r="DS45" s="5"/>
      <c r="DT45" s="5"/>
      <c r="DU45" s="161"/>
      <c r="DV45" s="5"/>
      <c r="DW45" s="5"/>
      <c r="DX45" s="5"/>
      <c r="DY45" s="5"/>
      <c r="DZ45" s="5"/>
      <c r="EA45" s="5"/>
      <c r="EB45" s="5"/>
      <c r="EC45" s="5"/>
      <c r="ED45" s="5"/>
      <c r="EE45" s="5"/>
      <c r="EF45" s="5"/>
      <c r="EG45" s="5"/>
      <c r="EH45" s="5"/>
      <c r="EI45" s="5"/>
      <c r="EJ45" s="5"/>
      <c r="EK45" s="5"/>
    </row>
    <row r="46" spans="1:141" ht="16.2">
      <c r="A46" s="5"/>
      <c r="B46" s="5"/>
      <c r="C46" s="161" t="s">
        <v>63</v>
      </c>
      <c r="D46" s="375" t="s">
        <v>868</v>
      </c>
      <c r="E46" s="5"/>
      <c r="F46" s="5"/>
      <c r="G46" s="5"/>
      <c r="H46" s="5"/>
      <c r="I46" s="5"/>
      <c r="J46" s="376" t="s">
        <v>63</v>
      </c>
      <c r="K46" s="5">
        <f>K45*1.852</f>
        <v>24.076000000000001</v>
      </c>
      <c r="L46" s="5" t="s">
        <v>869</v>
      </c>
      <c r="T46" s="374"/>
      <c r="U46" s="5"/>
      <c r="V46" s="161"/>
      <c r="W46" s="375"/>
      <c r="X46" s="5"/>
      <c r="Y46" s="5"/>
      <c r="Z46" s="5"/>
      <c r="AA46" s="5"/>
      <c r="AB46" s="5"/>
      <c r="AC46" s="376"/>
      <c r="AD46" s="5"/>
      <c r="AE46" s="5"/>
      <c r="AM46" s="5"/>
      <c r="AN46" s="5"/>
      <c r="AO46" s="161" t="s">
        <v>63</v>
      </c>
      <c r="AP46" s="375" t="s">
        <v>870</v>
      </c>
      <c r="AQ46" s="5"/>
      <c r="AR46" s="5"/>
      <c r="AS46" s="5"/>
      <c r="AT46" s="5"/>
      <c r="AU46" s="5"/>
      <c r="AV46" s="376" t="s">
        <v>63</v>
      </c>
      <c r="AW46" s="5">
        <f>AW45*1.852</f>
        <v>24.076000000000001</v>
      </c>
      <c r="AX46" s="5" t="s">
        <v>869</v>
      </c>
      <c r="BF46" s="5"/>
      <c r="BG46" s="5"/>
      <c r="BH46" s="161" t="s">
        <v>63</v>
      </c>
      <c r="BI46" s="375" t="s">
        <v>871</v>
      </c>
      <c r="BJ46" s="5"/>
      <c r="BK46" s="5"/>
      <c r="BL46" s="5"/>
      <c r="BM46" s="5"/>
      <c r="BN46" s="5"/>
      <c r="BO46" s="376" t="s">
        <v>63</v>
      </c>
      <c r="BP46" s="5">
        <f>BP45*1.852</f>
        <v>24.076000000000001</v>
      </c>
      <c r="BQ46" s="5" t="s">
        <v>869</v>
      </c>
      <c r="CD46" s="5"/>
      <c r="CE46" s="5"/>
      <c r="CF46" s="161"/>
      <c r="CG46" s="375"/>
      <c r="CH46" s="5"/>
      <c r="CI46" s="5"/>
      <c r="CJ46" s="5"/>
      <c r="CK46" s="5"/>
      <c r="CL46" s="5"/>
      <c r="CM46" s="5"/>
      <c r="CN46" s="5"/>
      <c r="CO46" s="5"/>
      <c r="CP46" s="5"/>
      <c r="CQ46" s="5"/>
      <c r="CR46" s="5"/>
      <c r="CS46" s="5"/>
      <c r="CT46" s="5"/>
      <c r="CU46" s="5"/>
      <c r="CV46" s="5"/>
      <c r="CW46" s="372"/>
      <c r="CX46" s="5"/>
      <c r="CY46" s="5"/>
      <c r="CZ46" s="161"/>
      <c r="DA46" s="375"/>
      <c r="DB46" s="5"/>
      <c r="DC46" s="5"/>
      <c r="DD46" s="5"/>
      <c r="DE46" s="5"/>
      <c r="DF46" s="5"/>
      <c r="DG46" s="5"/>
      <c r="DH46" s="5"/>
      <c r="DI46" s="5"/>
      <c r="DJ46" s="5"/>
      <c r="DK46" s="5"/>
      <c r="DL46" s="5"/>
      <c r="DM46" s="5"/>
      <c r="DN46" s="5"/>
      <c r="DO46" s="5"/>
      <c r="DP46" s="5"/>
      <c r="DR46" s="372"/>
      <c r="DS46" s="5"/>
      <c r="DT46" s="5"/>
      <c r="DU46" s="161"/>
      <c r="DV46" s="5"/>
      <c r="DW46" s="5"/>
      <c r="DX46" s="5"/>
      <c r="DY46" s="5"/>
      <c r="DZ46" s="5"/>
      <c r="EA46" s="5"/>
      <c r="EB46" s="5"/>
      <c r="EC46" s="5"/>
      <c r="ED46" s="5"/>
      <c r="EE46" s="5"/>
      <c r="EF46" s="5"/>
      <c r="EG46" s="5"/>
      <c r="EH46" s="5"/>
      <c r="EI46" s="5"/>
      <c r="EJ46" s="5"/>
      <c r="EK46" s="5"/>
    </row>
    <row r="47" spans="1:141">
      <c r="A47" s="5"/>
      <c r="B47" s="5"/>
      <c r="C47" s="161" t="s">
        <v>63</v>
      </c>
      <c r="D47" s="931">
        <f>4800*178*(O44/K45)*10^-6 *1.5</f>
        <v>334.30043076923079</v>
      </c>
      <c r="E47" s="931"/>
      <c r="F47" s="5" t="s">
        <v>361</v>
      </c>
      <c r="G47" s="5"/>
      <c r="H47" s="931">
        <f>4480*178*(24)*10^-6 *1.5</f>
        <v>28.707839999999997</v>
      </c>
      <c r="I47" s="931"/>
      <c r="J47" s="5"/>
      <c r="K47" s="5"/>
      <c r="L47" s="5"/>
      <c r="T47" s="374"/>
      <c r="U47" s="5"/>
      <c r="V47" s="161"/>
      <c r="W47" s="426"/>
      <c r="X47" s="426"/>
      <c r="Y47" s="5"/>
      <c r="Z47" s="5"/>
      <c r="AA47" s="5"/>
      <c r="AB47" s="5"/>
      <c r="AC47" s="5"/>
      <c r="AD47" s="5"/>
      <c r="AE47" s="5"/>
      <c r="AM47" s="5"/>
      <c r="AN47" s="5"/>
      <c r="AO47" s="161" t="s">
        <v>63</v>
      </c>
      <c r="AP47" s="931">
        <f>3840*177*(BA44/AW45)*10^-6 *1.5</f>
        <v>265.93787076923076</v>
      </c>
      <c r="AQ47" s="931"/>
      <c r="AR47" s="5" t="s">
        <v>361</v>
      </c>
      <c r="AS47" s="5"/>
      <c r="AT47" s="5"/>
      <c r="AU47" s="5"/>
      <c r="AV47" s="5"/>
      <c r="AW47" s="5"/>
      <c r="AX47" s="5"/>
      <c r="BF47" s="5"/>
      <c r="BG47" s="5"/>
      <c r="BH47" s="161" t="s">
        <v>63</v>
      </c>
      <c r="BI47" s="931">
        <f>4060*185*(BT44/BP45)*10^-6 *1.5</f>
        <v>293.88231923076927</v>
      </c>
      <c r="BJ47" s="931"/>
      <c r="BK47" s="5" t="s">
        <v>361</v>
      </c>
      <c r="BL47" s="5"/>
      <c r="BM47" s="5"/>
      <c r="BN47" s="5"/>
      <c r="BO47" s="5"/>
      <c r="BP47" s="5"/>
      <c r="BQ47" s="5"/>
      <c r="CD47" s="5"/>
      <c r="CE47" s="5"/>
      <c r="CF47" s="161"/>
      <c r="CG47" s="377"/>
      <c r="CH47" s="377"/>
      <c r="CI47" s="5"/>
      <c r="CJ47" s="5"/>
      <c r="CK47" s="5"/>
      <c r="CL47" s="5"/>
      <c r="CM47" s="5"/>
      <c r="CN47" s="5"/>
      <c r="CO47" s="5"/>
      <c r="CP47" s="5"/>
      <c r="CQ47" s="5"/>
      <c r="CR47" s="5"/>
      <c r="CS47" s="5"/>
      <c r="CT47" s="5"/>
      <c r="CU47" s="5"/>
      <c r="CV47" s="5"/>
      <c r="CW47" s="372"/>
      <c r="CX47" s="5"/>
      <c r="CY47" s="5"/>
      <c r="CZ47" s="161"/>
      <c r="DA47" s="377"/>
      <c r="DB47" s="377"/>
      <c r="DC47" s="5"/>
      <c r="DD47" s="5"/>
      <c r="DE47" s="5"/>
      <c r="DF47" s="5"/>
      <c r="DG47" s="5"/>
      <c r="DH47" s="5"/>
      <c r="DI47" s="5"/>
      <c r="DJ47" s="5"/>
      <c r="DK47" s="5"/>
      <c r="DL47" s="5"/>
      <c r="DM47" s="5"/>
      <c r="DN47" s="5"/>
      <c r="DO47" s="5"/>
      <c r="DP47" s="5"/>
      <c r="DR47" s="372"/>
      <c r="DS47" s="5"/>
      <c r="DT47" s="5"/>
      <c r="DU47" s="161"/>
      <c r="DV47" s="910"/>
      <c r="DW47" s="910"/>
      <c r="DX47" s="5"/>
      <c r="DY47" s="5"/>
      <c r="DZ47" s="5"/>
      <c r="EA47" s="5"/>
      <c r="EB47" s="5"/>
      <c r="EC47" s="5"/>
      <c r="ED47" s="5"/>
      <c r="EE47" s="5"/>
      <c r="EF47" s="5"/>
      <c r="EG47" s="5"/>
      <c r="EH47" s="5"/>
      <c r="EI47" s="5"/>
      <c r="EJ47" s="5"/>
      <c r="EK47" s="5"/>
    </row>
    <row r="48" spans="1:141">
      <c r="A48" s="5"/>
      <c r="B48" s="5"/>
      <c r="C48" s="5"/>
      <c r="D48" s="716"/>
      <c r="E48" s="716"/>
      <c r="F48" s="5"/>
      <c r="G48" s="5"/>
      <c r="H48" s="5"/>
      <c r="I48" s="5"/>
      <c r="J48" s="5"/>
      <c r="K48" s="5"/>
      <c r="L48" s="5"/>
      <c r="M48" s="945" t="s">
        <v>872</v>
      </c>
      <c r="N48" s="945"/>
      <c r="O48" s="945"/>
      <c r="P48" s="945"/>
      <c r="Q48" s="945"/>
      <c r="R48" s="945"/>
      <c r="S48" s="945"/>
      <c r="T48" s="374"/>
      <c r="U48" s="5"/>
      <c r="V48" s="5"/>
      <c r="W48" s="5"/>
      <c r="X48" s="5"/>
      <c r="Y48" s="5"/>
      <c r="Z48" s="5"/>
      <c r="AA48" s="5"/>
      <c r="AB48" s="5"/>
      <c r="AC48" s="5"/>
      <c r="AD48" s="5"/>
      <c r="AE48" s="5"/>
      <c r="AF48" s="380"/>
      <c r="AG48" s="380"/>
      <c r="AH48" s="380"/>
      <c r="AI48" s="380"/>
      <c r="AJ48" s="380"/>
      <c r="AK48" s="380"/>
      <c r="AL48" s="380"/>
      <c r="AM48" s="5"/>
      <c r="AN48" s="5"/>
      <c r="AO48" s="5"/>
      <c r="AP48" s="716"/>
      <c r="AQ48" s="716"/>
      <c r="AR48" s="5"/>
      <c r="AS48" s="5"/>
      <c r="AT48" s="5"/>
      <c r="AU48" s="5"/>
      <c r="AV48" s="5"/>
      <c r="AW48" s="5"/>
      <c r="AX48" s="5"/>
      <c r="AY48" s="945" t="s">
        <v>872</v>
      </c>
      <c r="AZ48" s="945"/>
      <c r="BA48" s="945"/>
      <c r="BB48" s="945"/>
      <c r="BC48" s="945"/>
      <c r="BD48" s="945"/>
      <c r="BE48" s="945"/>
      <c r="BF48" s="5"/>
      <c r="BG48" s="5"/>
      <c r="BH48" s="5"/>
      <c r="BI48" s="716"/>
      <c r="BJ48" s="716"/>
      <c r="BK48" s="5"/>
      <c r="BL48" s="5"/>
      <c r="BM48" s="5"/>
      <c r="BN48" s="5"/>
      <c r="BO48" s="5"/>
      <c r="BP48" s="5"/>
      <c r="BQ48" s="5"/>
      <c r="BR48" s="945" t="s">
        <v>872</v>
      </c>
      <c r="BS48" s="945"/>
      <c r="BT48" s="945"/>
      <c r="BU48" s="945"/>
      <c r="BV48" s="945"/>
      <c r="BW48" s="945"/>
      <c r="BX48" s="945"/>
      <c r="BY48" s="378"/>
      <c r="BZ48" s="378"/>
      <c r="CA48" s="378"/>
      <c r="CB48" s="378"/>
      <c r="CC48" s="378"/>
      <c r="CD48" s="5"/>
      <c r="CE48" s="5"/>
      <c r="CF48" s="5"/>
      <c r="CG48" s="5"/>
      <c r="CH48" s="5"/>
      <c r="CI48" s="5"/>
      <c r="CJ48" s="5"/>
      <c r="CK48" s="5"/>
      <c r="CL48" s="5"/>
      <c r="CM48" s="5"/>
      <c r="CN48" s="5"/>
      <c r="CO48" s="5"/>
      <c r="CP48" s="5"/>
      <c r="CQ48" s="5"/>
      <c r="CR48" s="5"/>
      <c r="CS48" s="5"/>
      <c r="CT48" s="5"/>
      <c r="CU48" s="5"/>
      <c r="CV48" s="5"/>
      <c r="CW48" s="372"/>
      <c r="CX48" s="5"/>
      <c r="CY48" s="5"/>
      <c r="CZ48" s="5"/>
      <c r="DA48" s="5"/>
      <c r="DB48" s="5"/>
      <c r="DC48" s="5"/>
      <c r="DD48" s="5"/>
      <c r="DE48" s="5"/>
      <c r="DF48" s="5"/>
      <c r="DG48" s="5"/>
      <c r="DH48" s="5"/>
      <c r="DI48" s="5"/>
      <c r="DJ48" s="5"/>
      <c r="DK48" s="5"/>
      <c r="DL48" s="5"/>
      <c r="DM48" s="5"/>
      <c r="DN48" s="5"/>
      <c r="DO48" s="5"/>
      <c r="DP48" s="5"/>
      <c r="DR48" s="372"/>
      <c r="DS48" s="5"/>
      <c r="DT48" s="5"/>
      <c r="DU48" s="5"/>
      <c r="DV48" s="716"/>
      <c r="DW48" s="716"/>
      <c r="DX48" s="5"/>
      <c r="DY48" s="5"/>
      <c r="DZ48" s="5"/>
      <c r="EA48" s="5"/>
      <c r="EB48" s="5"/>
      <c r="EC48" s="5"/>
      <c r="ED48" s="5"/>
      <c r="EE48" s="5"/>
      <c r="EF48" s="5"/>
      <c r="EG48" s="5"/>
      <c r="EH48" s="5"/>
      <c r="EI48" s="5"/>
      <c r="EJ48" s="5"/>
      <c r="EK48" s="5"/>
    </row>
    <row r="49" spans="1:141">
      <c r="A49" s="161" t="s">
        <v>873</v>
      </c>
      <c r="B49" s="5" t="s">
        <v>874</v>
      </c>
      <c r="C49" s="5"/>
      <c r="D49" s="5"/>
      <c r="E49" s="5"/>
      <c r="F49" s="5"/>
      <c r="G49" s="5"/>
      <c r="H49" s="5"/>
      <c r="I49" s="5"/>
      <c r="J49" s="5"/>
      <c r="K49" s="5"/>
      <c r="L49" s="5"/>
      <c r="M49" s="945"/>
      <c r="N49" s="945"/>
      <c r="O49" s="945"/>
      <c r="P49" s="945"/>
      <c r="Q49" s="945"/>
      <c r="R49" s="945"/>
      <c r="S49" s="945"/>
      <c r="T49" s="374"/>
      <c r="U49" s="5"/>
      <c r="V49" s="5"/>
      <c r="W49" s="5"/>
      <c r="X49" s="5"/>
      <c r="Y49" s="5"/>
      <c r="Z49" s="5"/>
      <c r="AA49" s="5"/>
      <c r="AB49" s="5"/>
      <c r="AC49" s="5"/>
      <c r="AD49" s="5"/>
      <c r="AE49" s="5"/>
      <c r="AF49" s="380"/>
      <c r="AG49" s="380"/>
      <c r="AH49" s="380"/>
      <c r="AI49" s="380"/>
      <c r="AJ49" s="380"/>
      <c r="AK49" s="380"/>
      <c r="AL49" s="380"/>
      <c r="AM49" s="161" t="s">
        <v>873</v>
      </c>
      <c r="AN49" s="5" t="s">
        <v>874</v>
      </c>
      <c r="AO49" s="5"/>
      <c r="AP49" s="5"/>
      <c r="AQ49" s="5"/>
      <c r="AR49" s="5"/>
      <c r="AS49" s="5"/>
      <c r="AT49" s="5"/>
      <c r="AU49" s="5"/>
      <c r="AV49" s="5"/>
      <c r="AW49" s="5"/>
      <c r="AX49" s="5"/>
      <c r="AY49" s="945"/>
      <c r="AZ49" s="945"/>
      <c r="BA49" s="945"/>
      <c r="BB49" s="945"/>
      <c r="BC49" s="945"/>
      <c r="BD49" s="945"/>
      <c r="BE49" s="945"/>
      <c r="BF49" s="161" t="s">
        <v>873</v>
      </c>
      <c r="BG49" s="5" t="s">
        <v>874</v>
      </c>
      <c r="BH49" s="5"/>
      <c r="BI49" s="5"/>
      <c r="BJ49" s="5"/>
      <c r="BK49" s="5"/>
      <c r="BL49" s="5"/>
      <c r="BM49" s="5"/>
      <c r="BN49" s="5"/>
      <c r="BO49" s="5"/>
      <c r="BP49" s="5"/>
      <c r="BQ49" s="5"/>
      <c r="BR49" s="945"/>
      <c r="BS49" s="945"/>
      <c r="BT49" s="945"/>
      <c r="BU49" s="945"/>
      <c r="BV49" s="945"/>
      <c r="BW49" s="945"/>
      <c r="BX49" s="945"/>
      <c r="BY49" s="378"/>
      <c r="BZ49" s="378"/>
      <c r="CA49" s="378"/>
      <c r="CB49" s="378"/>
      <c r="CC49" s="378"/>
      <c r="CD49" s="161"/>
      <c r="CE49" s="5"/>
      <c r="CF49" s="5"/>
      <c r="CG49" s="5"/>
      <c r="CH49" s="5"/>
      <c r="CI49" s="5"/>
      <c r="CJ49" s="5"/>
      <c r="CK49" s="5"/>
      <c r="CL49" s="5"/>
      <c r="CM49" s="5"/>
      <c r="CN49" s="5"/>
      <c r="CO49" s="5"/>
      <c r="CP49" s="5"/>
      <c r="CQ49" s="5"/>
      <c r="CR49" s="5"/>
      <c r="CS49" s="5"/>
      <c r="CT49" s="5"/>
      <c r="CU49" s="5"/>
      <c r="CV49" s="5"/>
      <c r="CW49" s="372"/>
      <c r="CX49" s="161"/>
      <c r="CY49" s="5"/>
      <c r="CZ49" s="5"/>
      <c r="DA49" s="5"/>
      <c r="DB49" s="5"/>
      <c r="DC49" s="5"/>
      <c r="DD49" s="5"/>
      <c r="DE49" s="5"/>
      <c r="DF49" s="5"/>
      <c r="DG49" s="5"/>
      <c r="DH49" s="5"/>
      <c r="DI49" s="5"/>
      <c r="DJ49" s="5"/>
      <c r="DK49" s="5"/>
      <c r="DL49" s="5"/>
      <c r="DM49" s="5"/>
      <c r="DN49" s="5"/>
      <c r="DO49" s="5"/>
      <c r="DP49" s="5"/>
      <c r="DR49" s="372"/>
      <c r="DS49" s="161"/>
      <c r="DT49" s="5"/>
      <c r="DU49" s="5"/>
      <c r="DV49" s="5"/>
      <c r="DW49" s="5"/>
      <c r="DX49" s="5"/>
      <c r="DY49" s="5"/>
      <c r="DZ49" s="5"/>
      <c r="EA49" s="5"/>
      <c r="EB49" s="5"/>
      <c r="EC49" s="5"/>
      <c r="ED49" s="5"/>
      <c r="EE49" s="5"/>
      <c r="EF49" s="5"/>
      <c r="EG49" s="5"/>
      <c r="EH49" s="5"/>
      <c r="EI49" s="5"/>
      <c r="EJ49" s="5"/>
      <c r="EK49" s="5"/>
    </row>
    <row r="50" spans="1:141" ht="16.2">
      <c r="A50" s="5"/>
      <c r="B50" s="5" t="s">
        <v>875</v>
      </c>
      <c r="C50" s="5"/>
      <c r="D50" s="161" t="s">
        <v>63</v>
      </c>
      <c r="E50" s="375" t="s">
        <v>876</v>
      </c>
      <c r="F50" s="5"/>
      <c r="G50" s="161" t="s">
        <v>877</v>
      </c>
      <c r="H50" s="5"/>
      <c r="I50" s="5"/>
      <c r="J50" s="379"/>
      <c r="K50" s="380"/>
      <c r="L50" s="380"/>
      <c r="M50" s="380"/>
      <c r="N50" s="380"/>
      <c r="O50" s="380"/>
      <c r="P50" s="380"/>
      <c r="Q50" s="380"/>
      <c r="R50" s="380"/>
      <c r="S50" s="380"/>
      <c r="T50" s="374"/>
      <c r="U50" s="5"/>
      <c r="V50" s="5"/>
      <c r="W50" s="161"/>
      <c r="X50" s="375"/>
      <c r="Y50" s="5"/>
      <c r="Z50" s="161"/>
      <c r="AA50" s="5"/>
      <c r="AB50" s="5"/>
      <c r="AC50" s="379"/>
      <c r="AD50" s="380"/>
      <c r="AE50" s="380"/>
      <c r="AF50" s="380"/>
      <c r="AG50" s="380"/>
      <c r="AH50" s="380"/>
      <c r="AI50" s="380"/>
      <c r="AJ50" s="380"/>
      <c r="AK50" s="380"/>
      <c r="AL50" s="380"/>
      <c r="AM50" s="5"/>
      <c r="AN50" s="5" t="s">
        <v>875</v>
      </c>
      <c r="AO50" s="5"/>
      <c r="AP50" s="161" t="s">
        <v>63</v>
      </c>
      <c r="AQ50" s="375" t="s">
        <v>876</v>
      </c>
      <c r="AR50" s="5"/>
      <c r="AS50" s="161" t="s">
        <v>877</v>
      </c>
      <c r="AT50" s="5"/>
      <c r="AU50" s="5"/>
      <c r="AV50" s="379"/>
      <c r="AW50" s="380"/>
      <c r="AX50" s="380"/>
      <c r="AY50" s="380"/>
      <c r="AZ50" s="380"/>
      <c r="BA50" s="380"/>
      <c r="BB50" s="380"/>
      <c r="BC50" s="380"/>
      <c r="BD50" s="380"/>
      <c r="BE50" s="381"/>
      <c r="BF50" s="5"/>
      <c r="BG50" s="5" t="s">
        <v>875</v>
      </c>
      <c r="BH50" s="5"/>
      <c r="BI50" s="161" t="s">
        <v>63</v>
      </c>
      <c r="BJ50" s="375" t="s">
        <v>876</v>
      </c>
      <c r="BK50" s="5"/>
      <c r="BL50" s="161" t="s">
        <v>877</v>
      </c>
      <c r="BM50" s="5"/>
      <c r="BN50" s="5"/>
      <c r="BO50" s="379"/>
      <c r="BP50" s="380"/>
      <c r="BQ50" s="380"/>
      <c r="BR50" s="380"/>
      <c r="BS50" s="380"/>
      <c r="BT50" s="380"/>
      <c r="BU50" s="380"/>
      <c r="BV50" s="380"/>
      <c r="BW50" s="380"/>
      <c r="BX50" s="381"/>
      <c r="BY50" s="380"/>
      <c r="BZ50" s="380"/>
      <c r="CA50" s="380"/>
      <c r="CB50" s="380"/>
      <c r="CC50" s="380"/>
      <c r="CD50" s="5"/>
      <c r="CE50" s="5"/>
      <c r="CF50" s="5"/>
      <c r="CG50" s="161"/>
      <c r="CH50" s="5"/>
      <c r="CI50" s="5"/>
      <c r="CJ50" s="161"/>
      <c r="CK50" s="5"/>
      <c r="CL50" s="5"/>
      <c r="CM50" s="379"/>
      <c r="CN50" s="380"/>
      <c r="CO50" s="380"/>
      <c r="CP50" s="5"/>
      <c r="CQ50" s="5"/>
      <c r="CR50" s="5"/>
      <c r="CS50" s="5"/>
      <c r="CT50" s="5"/>
      <c r="CU50" s="5"/>
      <c r="CV50" s="5"/>
      <c r="CW50" s="372"/>
      <c r="CX50" s="5"/>
      <c r="CY50" s="5"/>
      <c r="CZ50" s="5"/>
      <c r="DA50" s="161"/>
      <c r="DB50" s="5"/>
      <c r="DC50" s="5"/>
      <c r="DD50" s="161"/>
      <c r="DE50" s="5"/>
      <c r="DF50" s="5"/>
      <c r="DG50" s="379"/>
      <c r="DH50" s="380"/>
      <c r="DI50" s="380"/>
      <c r="DJ50" s="5"/>
      <c r="DK50" s="5"/>
      <c r="DL50" s="5"/>
      <c r="DM50" s="5"/>
      <c r="DN50" s="5"/>
      <c r="DO50" s="5"/>
      <c r="DP50" s="5"/>
      <c r="DR50" s="372"/>
      <c r="DS50" s="5"/>
      <c r="DT50" s="5"/>
      <c r="DU50" s="5"/>
      <c r="DV50" s="161"/>
      <c r="DW50" s="5"/>
      <c r="DX50" s="5"/>
      <c r="DY50" s="161"/>
      <c r="DZ50" s="5"/>
      <c r="EA50" s="5"/>
      <c r="EB50" s="379"/>
      <c r="EC50" s="380"/>
      <c r="ED50" s="380"/>
      <c r="EE50" s="5"/>
      <c r="EF50" s="5"/>
      <c r="EG50" s="5"/>
      <c r="EH50" s="5"/>
      <c r="EI50" s="5"/>
      <c r="EJ50" s="5"/>
      <c r="EK50" s="5"/>
    </row>
    <row r="51" spans="1:141" ht="16.2">
      <c r="A51" s="5"/>
      <c r="B51" s="5" t="s">
        <v>878</v>
      </c>
      <c r="C51" s="5"/>
      <c r="D51" s="5"/>
      <c r="E51" s="161">
        <v>0.95</v>
      </c>
      <c r="F51" s="161"/>
      <c r="G51" s="5" t="s">
        <v>36</v>
      </c>
      <c r="I51" s="5"/>
      <c r="J51" s="380"/>
      <c r="K51" s="380"/>
      <c r="L51" s="380"/>
      <c r="M51" s="380"/>
      <c r="N51" s="380"/>
      <c r="O51" s="380"/>
      <c r="P51" s="380"/>
      <c r="Q51" s="5"/>
      <c r="R51" s="5"/>
      <c r="S51" s="5"/>
      <c r="T51" s="374"/>
      <c r="U51" s="5"/>
      <c r="V51" s="5"/>
      <c r="W51" s="5"/>
      <c r="X51" s="161"/>
      <c r="Y51" s="161"/>
      <c r="Z51" s="5"/>
      <c r="AB51" s="5"/>
      <c r="AC51" s="380"/>
      <c r="AD51" s="380"/>
      <c r="AE51" s="380"/>
      <c r="AF51" s="380"/>
      <c r="AG51" s="380"/>
      <c r="AH51" s="380"/>
      <c r="AI51" s="380"/>
      <c r="AJ51" s="5"/>
      <c r="AK51" s="5"/>
      <c r="AL51" s="5"/>
      <c r="AM51" s="5"/>
      <c r="AN51" s="5" t="s">
        <v>878</v>
      </c>
      <c r="AO51" s="5"/>
      <c r="AP51" s="5"/>
      <c r="AQ51" s="161">
        <v>0.95</v>
      </c>
      <c r="AR51" s="161"/>
      <c r="AS51" s="5" t="s">
        <v>36</v>
      </c>
      <c r="AU51" s="5"/>
      <c r="AV51" s="380"/>
      <c r="AW51" s="380"/>
      <c r="AX51" s="380"/>
      <c r="AY51" s="380"/>
      <c r="AZ51" s="380"/>
      <c r="BA51" s="380"/>
      <c r="BB51" s="380"/>
      <c r="BC51" s="5"/>
      <c r="BD51" s="5"/>
      <c r="BE51" s="373"/>
      <c r="BF51" s="5"/>
      <c r="BG51" s="5" t="s">
        <v>878</v>
      </c>
      <c r="BH51" s="5"/>
      <c r="BI51" s="5"/>
      <c r="BJ51" s="161">
        <v>0.95</v>
      </c>
      <c r="BK51" s="161"/>
      <c r="BL51" s="5" t="s">
        <v>36</v>
      </c>
      <c r="BN51" s="5"/>
      <c r="BO51" s="380"/>
      <c r="BP51" s="380"/>
      <c r="BQ51" s="380"/>
      <c r="BR51" s="380"/>
      <c r="BS51" s="380"/>
      <c r="BT51" s="380"/>
      <c r="BU51" s="380"/>
      <c r="BV51" s="5"/>
      <c r="BW51" s="5"/>
      <c r="BX51" s="373"/>
      <c r="BY51" s="5"/>
      <c r="BZ51" s="5"/>
      <c r="CA51" s="5"/>
      <c r="CB51" s="5"/>
      <c r="CC51" s="5"/>
      <c r="CD51" s="5"/>
      <c r="CE51" s="5"/>
      <c r="CF51" s="5"/>
      <c r="CG51" s="5"/>
      <c r="CH51" s="5"/>
      <c r="CI51" s="5"/>
      <c r="CJ51" s="5"/>
      <c r="CK51" s="5"/>
      <c r="CL51" s="5"/>
      <c r="CM51" s="380"/>
      <c r="CN51" s="380"/>
      <c r="CO51" s="380"/>
      <c r="CP51" s="5"/>
      <c r="CQ51" s="5"/>
      <c r="CR51" s="5"/>
      <c r="CS51" s="5"/>
      <c r="CT51" s="5"/>
      <c r="CU51" s="5"/>
      <c r="CV51" s="5"/>
      <c r="CW51" s="372"/>
      <c r="CX51" s="5"/>
      <c r="CY51" s="5"/>
      <c r="CZ51" s="5"/>
      <c r="DA51" s="5"/>
      <c r="DB51" s="5"/>
      <c r="DC51" s="5"/>
      <c r="DD51" s="5"/>
      <c r="DE51" s="5"/>
      <c r="DF51" s="5"/>
      <c r="DG51" s="380"/>
      <c r="DH51" s="380"/>
      <c r="DI51" s="380"/>
      <c r="DJ51" s="5"/>
      <c r="DK51" s="5"/>
      <c r="DL51" s="5"/>
      <c r="DM51" s="5"/>
      <c r="DN51" s="5"/>
      <c r="DO51" s="5"/>
      <c r="DP51" s="5"/>
      <c r="DR51" s="372"/>
      <c r="DS51" s="5"/>
      <c r="DT51" s="5"/>
      <c r="DU51" s="5"/>
      <c r="DV51" s="5"/>
      <c r="DW51" s="5"/>
      <c r="DX51" s="716"/>
      <c r="DY51" s="716"/>
      <c r="DZ51" s="5"/>
      <c r="EA51" s="5"/>
      <c r="EB51" s="380"/>
      <c r="EC51" s="380"/>
      <c r="ED51" s="380"/>
      <c r="EE51" s="5"/>
      <c r="EF51" s="5"/>
      <c r="EG51" s="5"/>
      <c r="EH51" s="5"/>
      <c r="EI51" s="5"/>
      <c r="EJ51" s="5"/>
      <c r="EK51" s="5"/>
    </row>
    <row r="52" spans="1:141">
      <c r="A52" s="5"/>
      <c r="B52" s="5"/>
      <c r="C52" s="5"/>
      <c r="D52" s="5"/>
      <c r="E52" s="5"/>
      <c r="F52" s="5"/>
      <c r="G52" s="5"/>
      <c r="H52" s="5"/>
      <c r="I52" s="5"/>
      <c r="J52" s="5"/>
      <c r="K52" s="5"/>
      <c r="L52" s="5"/>
      <c r="M52" s="5"/>
      <c r="N52" s="5"/>
      <c r="O52" s="5"/>
      <c r="P52" s="5"/>
      <c r="Q52" s="5"/>
      <c r="R52" s="5"/>
      <c r="S52" s="5"/>
      <c r="T52" s="374"/>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373"/>
      <c r="BF52" s="5"/>
      <c r="BG52" s="5"/>
      <c r="BH52" s="5"/>
      <c r="BI52" s="5"/>
      <c r="BJ52" s="5"/>
      <c r="BK52" s="5"/>
      <c r="BL52" s="5"/>
      <c r="BM52" s="5"/>
      <c r="BN52" s="5"/>
      <c r="BO52" s="5"/>
      <c r="BP52" s="5"/>
      <c r="BQ52" s="5"/>
      <c r="BR52" s="5"/>
      <c r="BS52" s="5"/>
      <c r="BT52" s="5"/>
      <c r="BU52" s="5"/>
      <c r="BV52" s="5"/>
      <c r="BW52" s="5"/>
      <c r="BX52" s="373"/>
      <c r="BY52" s="5"/>
      <c r="BZ52" s="5"/>
      <c r="CA52" s="5"/>
      <c r="CB52" s="5"/>
      <c r="CC52" s="5"/>
      <c r="CD52" s="5"/>
      <c r="CE52" s="5"/>
      <c r="CF52" s="5"/>
      <c r="CG52" s="5"/>
      <c r="CH52" s="5"/>
      <c r="CI52" s="5"/>
      <c r="CJ52" s="5"/>
      <c r="CK52" s="5"/>
      <c r="CL52" s="5"/>
      <c r="CM52" s="5"/>
      <c r="CN52" s="5"/>
      <c r="CO52" s="5"/>
      <c r="CP52" s="5"/>
      <c r="CQ52" s="5"/>
      <c r="CR52" s="5"/>
      <c r="CS52" s="5"/>
      <c r="CT52" s="5"/>
      <c r="CU52" s="5"/>
      <c r="CV52" s="5"/>
      <c r="CW52" s="372"/>
      <c r="CX52" s="5"/>
      <c r="CY52" s="5"/>
      <c r="CZ52" s="5"/>
      <c r="DA52" s="5"/>
      <c r="DB52" s="5"/>
      <c r="DC52" s="5"/>
      <c r="DD52" s="5"/>
      <c r="DE52" s="5"/>
      <c r="DF52" s="5"/>
      <c r="DG52" s="5"/>
      <c r="DH52" s="5"/>
      <c r="DI52" s="5"/>
      <c r="DJ52" s="5"/>
      <c r="DK52" s="5"/>
      <c r="DL52" s="5"/>
      <c r="DM52" s="5"/>
      <c r="DN52" s="5"/>
      <c r="DO52" s="5"/>
      <c r="DP52" s="5"/>
      <c r="DR52" s="372"/>
      <c r="DS52" s="5"/>
      <c r="DT52" s="5"/>
      <c r="DU52" s="5"/>
      <c r="DV52" s="5"/>
      <c r="DW52" s="5"/>
      <c r="DX52" s="5"/>
      <c r="DY52" s="5"/>
      <c r="DZ52" s="5"/>
      <c r="EA52" s="5"/>
      <c r="EB52" s="5"/>
      <c r="EC52" s="5"/>
      <c r="ED52" s="5"/>
      <c r="EE52" s="5"/>
      <c r="EF52" s="5"/>
      <c r="EG52" s="5"/>
      <c r="EH52" s="5"/>
      <c r="EI52" s="5"/>
      <c r="EJ52" s="5"/>
      <c r="EK52" s="5"/>
    </row>
    <row r="53" spans="1:141" ht="16.2">
      <c r="A53" s="5"/>
      <c r="B53" s="5" t="s">
        <v>875</v>
      </c>
      <c r="C53" s="5"/>
      <c r="D53" s="382" t="s">
        <v>63</v>
      </c>
      <c r="E53" s="891">
        <f>D47/E51</f>
        <v>351.89519028340084</v>
      </c>
      <c r="F53" s="891"/>
      <c r="G53" s="161" t="s">
        <v>16</v>
      </c>
      <c r="H53" s="5"/>
      <c r="I53" s="5"/>
      <c r="J53" s="5"/>
      <c r="K53" s="5"/>
      <c r="L53" s="5"/>
      <c r="M53" s="945" t="s">
        <v>872</v>
      </c>
      <c r="N53" s="945"/>
      <c r="O53" s="945"/>
      <c r="P53" s="945"/>
      <c r="Q53" s="945"/>
      <c r="R53" s="945"/>
      <c r="S53" s="945"/>
      <c r="T53" s="374"/>
      <c r="U53" s="5"/>
      <c r="V53" s="5"/>
      <c r="W53" s="382"/>
      <c r="X53" s="383"/>
      <c r="Y53" s="383"/>
      <c r="Z53" s="161"/>
      <c r="AA53" s="5"/>
      <c r="AB53" s="5"/>
      <c r="AC53" s="5"/>
      <c r="AD53" s="5"/>
      <c r="AE53" s="5"/>
      <c r="AF53" s="380"/>
      <c r="AG53" s="380"/>
      <c r="AH53" s="380"/>
      <c r="AI53" s="380"/>
      <c r="AJ53" s="380"/>
      <c r="AK53" s="380"/>
      <c r="AL53" s="380"/>
      <c r="AM53" s="5"/>
      <c r="AN53" s="5" t="s">
        <v>875</v>
      </c>
      <c r="AO53" s="5"/>
      <c r="AP53" s="382" t="s">
        <v>63</v>
      </c>
      <c r="AQ53" s="891">
        <f>AP47/AQ51</f>
        <v>279.93460080971658</v>
      </c>
      <c r="AR53" s="891"/>
      <c r="AS53" s="161" t="s">
        <v>16</v>
      </c>
      <c r="AT53" s="5"/>
      <c r="AU53" s="5"/>
      <c r="AV53" s="5"/>
      <c r="AW53" s="5"/>
      <c r="AX53" s="5"/>
      <c r="AY53" s="945" t="s">
        <v>872</v>
      </c>
      <c r="AZ53" s="945"/>
      <c r="BA53" s="945"/>
      <c r="BB53" s="945"/>
      <c r="BC53" s="945"/>
      <c r="BD53" s="945"/>
      <c r="BE53" s="945"/>
      <c r="BF53" s="5"/>
      <c r="BG53" s="5" t="s">
        <v>875</v>
      </c>
      <c r="BH53" s="5"/>
      <c r="BI53" s="382" t="s">
        <v>63</v>
      </c>
      <c r="BJ53" s="891">
        <f>BI47/BJ51</f>
        <v>309.34980971659922</v>
      </c>
      <c r="BK53" s="891"/>
      <c r="BL53" s="161" t="s">
        <v>16</v>
      </c>
      <c r="BM53" s="5"/>
      <c r="BN53" s="5"/>
      <c r="BO53" s="5"/>
      <c r="BP53" s="5"/>
      <c r="BQ53" s="5"/>
      <c r="BR53" s="945" t="s">
        <v>872</v>
      </c>
      <c r="BS53" s="945"/>
      <c r="BT53" s="945"/>
      <c r="BU53" s="945"/>
      <c r="BV53" s="945"/>
      <c r="BW53" s="945"/>
      <c r="BX53" s="945"/>
      <c r="BY53" s="378"/>
      <c r="BZ53" s="378"/>
      <c r="CA53" s="378"/>
      <c r="CB53" s="378"/>
      <c r="CC53" s="378"/>
      <c r="CD53" s="5"/>
      <c r="CE53" s="5"/>
      <c r="CF53" s="5"/>
      <c r="CG53" s="382"/>
      <c r="CH53" s="383"/>
      <c r="CI53" s="383"/>
      <c r="CJ53" s="161"/>
      <c r="CK53" s="5"/>
      <c r="CL53" s="5"/>
      <c r="CM53" s="5"/>
      <c r="CN53" s="5"/>
      <c r="CO53" s="5"/>
      <c r="CP53" s="5"/>
      <c r="CQ53" s="5"/>
      <c r="CR53" s="5"/>
      <c r="CS53" s="5"/>
      <c r="CT53" s="5"/>
      <c r="CU53" s="5"/>
      <c r="CV53" s="5"/>
      <c r="CW53" s="372"/>
      <c r="CX53" s="5"/>
      <c r="CY53" s="5"/>
      <c r="CZ53" s="5"/>
      <c r="DA53" s="382"/>
      <c r="DB53" s="383"/>
      <c r="DC53" s="383"/>
      <c r="DD53" s="161"/>
      <c r="DE53" s="5"/>
      <c r="DF53" s="5"/>
      <c r="DG53" s="5"/>
      <c r="DH53" s="5"/>
      <c r="DI53" s="5"/>
      <c r="DJ53" s="5"/>
      <c r="DK53" s="5"/>
      <c r="DL53" s="5"/>
      <c r="DM53" s="5"/>
      <c r="DN53" s="5"/>
      <c r="DO53" s="5"/>
      <c r="DP53" s="5"/>
      <c r="DR53" s="372"/>
      <c r="DS53" s="5"/>
      <c r="DT53" s="5"/>
      <c r="DU53" s="5"/>
      <c r="DV53" s="382"/>
      <c r="DW53" s="891"/>
      <c r="DX53" s="891"/>
      <c r="DY53" s="161"/>
      <c r="DZ53" s="5"/>
      <c r="EA53" s="5"/>
      <c r="EB53" s="5"/>
      <c r="EC53" s="5"/>
      <c r="ED53" s="5"/>
      <c r="EE53" s="5"/>
      <c r="EF53" s="5"/>
      <c r="EG53" s="5"/>
      <c r="EH53" s="5"/>
      <c r="EI53" s="5"/>
      <c r="EJ53" s="5"/>
      <c r="EK53" s="5"/>
    </row>
    <row r="54" spans="1:141">
      <c r="A54" s="5"/>
      <c r="B54" s="5"/>
      <c r="C54" s="5"/>
      <c r="D54" s="382" t="s">
        <v>63</v>
      </c>
      <c r="E54" s="952">
        <f>E53*1000</f>
        <v>351895.19028340082</v>
      </c>
      <c r="F54" s="952"/>
      <c r="G54" s="161" t="s">
        <v>879</v>
      </c>
      <c r="H54" s="5"/>
      <c r="I54" s="5"/>
      <c r="J54" s="5"/>
      <c r="K54" s="5"/>
      <c r="L54" s="5"/>
      <c r="M54" s="945"/>
      <c r="N54" s="945"/>
      <c r="O54" s="945"/>
      <c r="P54" s="945"/>
      <c r="Q54" s="945"/>
      <c r="R54" s="945"/>
      <c r="S54" s="945"/>
      <c r="T54" s="374"/>
      <c r="U54" s="5"/>
      <c r="V54" s="5"/>
      <c r="W54" s="382"/>
      <c r="X54" s="427"/>
      <c r="Y54" s="427"/>
      <c r="Z54" s="161"/>
      <c r="AA54" s="5"/>
      <c r="AB54" s="5"/>
      <c r="AC54" s="5"/>
      <c r="AD54" s="5"/>
      <c r="AE54" s="5"/>
      <c r="AF54" s="380"/>
      <c r="AG54" s="380"/>
      <c r="AH54" s="380"/>
      <c r="AI54" s="380"/>
      <c r="AJ54" s="380"/>
      <c r="AK54" s="380"/>
      <c r="AL54" s="380"/>
      <c r="AM54" s="5"/>
      <c r="AN54" s="5"/>
      <c r="AO54" s="5"/>
      <c r="AP54" s="382" t="s">
        <v>63</v>
      </c>
      <c r="AQ54" s="952">
        <f>AQ53*1000</f>
        <v>279934.60080971656</v>
      </c>
      <c r="AR54" s="952"/>
      <c r="AS54" s="161" t="s">
        <v>879</v>
      </c>
      <c r="AT54" s="5"/>
      <c r="AU54" s="5"/>
      <c r="AV54" s="5"/>
      <c r="AW54" s="5"/>
      <c r="AX54" s="5"/>
      <c r="AY54" s="945"/>
      <c r="AZ54" s="945"/>
      <c r="BA54" s="945"/>
      <c r="BB54" s="945"/>
      <c r="BC54" s="945"/>
      <c r="BD54" s="945"/>
      <c r="BE54" s="945"/>
      <c r="BF54" s="5"/>
      <c r="BG54" s="5"/>
      <c r="BH54" s="5"/>
      <c r="BI54" s="382" t="s">
        <v>63</v>
      </c>
      <c r="BJ54" s="952">
        <f>BJ53*1000</f>
        <v>309349.80971659924</v>
      </c>
      <c r="BK54" s="952"/>
      <c r="BL54" s="161" t="s">
        <v>879</v>
      </c>
      <c r="BM54" s="5"/>
      <c r="BN54" s="5"/>
      <c r="BO54" s="5"/>
      <c r="BP54" s="5"/>
      <c r="BQ54" s="5"/>
      <c r="BR54" s="945"/>
      <c r="BS54" s="945"/>
      <c r="BT54" s="945"/>
      <c r="BU54" s="945"/>
      <c r="BV54" s="945"/>
      <c r="BW54" s="945"/>
      <c r="BX54" s="945"/>
      <c r="BY54" s="378"/>
      <c r="BZ54" s="378"/>
      <c r="CA54" s="378"/>
      <c r="CB54" s="378"/>
      <c r="CC54" s="378"/>
      <c r="CD54" s="5"/>
      <c r="CE54" s="5"/>
      <c r="CF54" s="5"/>
      <c r="CG54" s="382"/>
      <c r="CH54" s="384"/>
      <c r="CI54" s="384"/>
      <c r="CJ54" s="5"/>
      <c r="CK54" s="5"/>
      <c r="CL54" s="5"/>
      <c r="CM54" s="5"/>
      <c r="CN54" s="5"/>
      <c r="CO54" s="5"/>
      <c r="CP54" s="5"/>
      <c r="CQ54" s="5"/>
      <c r="CR54" s="5"/>
      <c r="CS54" s="5"/>
      <c r="CT54" s="5"/>
      <c r="CU54" s="5"/>
      <c r="CV54" s="5"/>
      <c r="CW54" s="372"/>
      <c r="CX54" s="5"/>
      <c r="CY54" s="5"/>
      <c r="CZ54" s="5"/>
      <c r="DA54" s="382"/>
      <c r="DB54" s="384"/>
      <c r="DC54" s="384"/>
      <c r="DD54" s="5"/>
      <c r="DE54" s="5"/>
      <c r="DF54" s="5"/>
      <c r="DG54" s="5"/>
      <c r="DH54" s="5"/>
      <c r="DI54" s="5"/>
      <c r="DJ54" s="5"/>
      <c r="DK54" s="5"/>
      <c r="DL54" s="5"/>
      <c r="DM54" s="5"/>
      <c r="DN54" s="5"/>
      <c r="DO54" s="5"/>
      <c r="DP54" s="5"/>
      <c r="DR54" s="372"/>
      <c r="DS54" s="5"/>
      <c r="DT54" s="5"/>
      <c r="DU54" s="5"/>
      <c r="DV54" s="382"/>
      <c r="DW54" s="948"/>
      <c r="DX54" s="948"/>
      <c r="DY54" s="5"/>
      <c r="DZ54" s="5"/>
      <c r="EA54" s="5"/>
      <c r="EB54" s="5"/>
      <c r="EC54" s="5"/>
      <c r="ED54" s="5"/>
      <c r="EE54" s="5"/>
      <c r="EF54" s="5"/>
      <c r="EG54" s="5"/>
      <c r="EH54" s="5"/>
      <c r="EI54" s="5"/>
      <c r="EJ54" s="5"/>
      <c r="EK54" s="5"/>
    </row>
    <row r="55" spans="1:141">
      <c r="A55" s="5"/>
      <c r="B55" s="5"/>
      <c r="C55" s="5"/>
      <c r="D55" s="5"/>
      <c r="E55" s="5"/>
      <c r="F55" s="5"/>
      <c r="G55" s="5"/>
      <c r="H55" s="5"/>
      <c r="I55" s="5"/>
      <c r="J55" s="5"/>
      <c r="K55" s="5"/>
      <c r="L55" s="5"/>
      <c r="M55" s="5"/>
      <c r="N55" s="5"/>
      <c r="O55" s="5"/>
      <c r="P55" s="5"/>
      <c r="Q55" s="5"/>
      <c r="R55" s="5"/>
      <c r="S55" s="5"/>
      <c r="T55" s="374"/>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373"/>
      <c r="BF55" s="5"/>
      <c r="BG55" s="5"/>
      <c r="BH55" s="5"/>
      <c r="BI55" s="5"/>
      <c r="BJ55" s="5"/>
      <c r="BK55" s="5"/>
      <c r="BL55" s="5"/>
      <c r="BM55" s="5"/>
      <c r="BN55" s="5"/>
      <c r="BO55" s="5"/>
      <c r="BP55" s="5"/>
      <c r="BQ55" s="5"/>
      <c r="BR55" s="5"/>
      <c r="BS55" s="5"/>
      <c r="BT55" s="5"/>
      <c r="BU55" s="5"/>
      <c r="BV55" s="5"/>
      <c r="BW55" s="5"/>
      <c r="BX55" s="373"/>
      <c r="BY55" s="5"/>
      <c r="BZ55" s="5"/>
      <c r="CA55" s="5"/>
      <c r="CB55" s="5"/>
      <c r="CC55" s="5"/>
      <c r="CD55" s="5"/>
      <c r="CE55" s="5"/>
      <c r="CF55" s="5"/>
      <c r="CG55" s="5"/>
      <c r="CH55" s="5"/>
      <c r="CI55" s="5"/>
      <c r="CJ55" s="5"/>
      <c r="CK55" s="5"/>
      <c r="CL55" s="5"/>
      <c r="CM55" s="5"/>
      <c r="CN55" s="5"/>
      <c r="CO55" s="5"/>
      <c r="CP55" s="5"/>
      <c r="CQ55" s="5"/>
      <c r="CR55" s="5"/>
      <c r="CS55" s="5"/>
      <c r="CT55" s="5"/>
      <c r="CU55" s="5"/>
      <c r="CV55" s="5"/>
      <c r="CW55" s="372"/>
      <c r="CX55" s="5"/>
      <c r="CY55" s="5"/>
      <c r="CZ55" s="5"/>
      <c r="DA55" s="5"/>
      <c r="DB55" s="5"/>
      <c r="DC55" s="5"/>
      <c r="DD55" s="5"/>
      <c r="DE55" s="5"/>
      <c r="DF55" s="5"/>
      <c r="DG55" s="5"/>
      <c r="DH55" s="5"/>
      <c r="DI55" s="5"/>
      <c r="DJ55" s="5"/>
      <c r="DK55" s="5"/>
      <c r="DL55" s="5"/>
      <c r="DM55" s="5"/>
      <c r="DN55" s="5"/>
      <c r="DO55" s="5"/>
      <c r="DP55" s="5"/>
      <c r="DR55" s="372"/>
      <c r="DS55" s="5"/>
      <c r="DT55" s="5"/>
      <c r="DU55" s="5"/>
      <c r="DV55" s="5"/>
      <c r="DW55" s="5"/>
      <c r="DX55" s="5"/>
      <c r="DY55" s="5"/>
      <c r="DZ55" s="5"/>
      <c r="EA55" s="5"/>
      <c r="EB55" s="5"/>
      <c r="EC55" s="5"/>
      <c r="ED55" s="5"/>
      <c r="EE55" s="5"/>
      <c r="EF55" s="5"/>
      <c r="EG55" s="5"/>
      <c r="EH55" s="5"/>
      <c r="EI55" s="5"/>
      <c r="EJ55" s="5"/>
      <c r="EK55" s="5"/>
    </row>
    <row r="56" spans="1:141">
      <c r="A56" s="161" t="s">
        <v>880</v>
      </c>
      <c r="B56" s="5" t="s">
        <v>881</v>
      </c>
      <c r="C56" s="5"/>
      <c r="D56" s="5"/>
      <c r="E56" s="5"/>
      <c r="F56" s="5"/>
      <c r="G56" s="5"/>
      <c r="H56" s="5"/>
      <c r="I56" s="5"/>
      <c r="J56" s="5"/>
      <c r="K56" s="5"/>
      <c r="L56" s="5"/>
      <c r="M56" s="5"/>
      <c r="N56" s="5"/>
      <c r="O56" s="5"/>
      <c r="P56" s="5"/>
      <c r="Q56" s="5"/>
      <c r="R56" s="5"/>
      <c r="S56" s="5"/>
      <c r="T56" s="374"/>
      <c r="U56" s="5"/>
      <c r="V56" s="5"/>
      <c r="W56" s="5"/>
      <c r="X56" s="5"/>
      <c r="Y56" s="5"/>
      <c r="Z56" s="5"/>
      <c r="AA56" s="5"/>
      <c r="AB56" s="5"/>
      <c r="AC56" s="5"/>
      <c r="AD56" s="5"/>
      <c r="AE56" s="5"/>
      <c r="AF56" s="5"/>
      <c r="AG56" s="5"/>
      <c r="AH56" s="5"/>
      <c r="AI56" s="5"/>
      <c r="AJ56" s="5"/>
      <c r="AK56" s="5"/>
      <c r="AL56" s="5"/>
      <c r="AM56" s="161" t="s">
        <v>880</v>
      </c>
      <c r="AN56" s="5" t="s">
        <v>881</v>
      </c>
      <c r="AO56" s="5"/>
      <c r="AP56" s="5"/>
      <c r="AQ56" s="5"/>
      <c r="AR56" s="5"/>
      <c r="AS56" s="5"/>
      <c r="AT56" s="5"/>
      <c r="AU56" s="5"/>
      <c r="AV56" s="5"/>
      <c r="AW56" s="5"/>
      <c r="AX56" s="5"/>
      <c r="AY56" s="5"/>
      <c r="AZ56" s="5"/>
      <c r="BA56" s="5"/>
      <c r="BB56" s="5"/>
      <c r="BC56" s="5"/>
      <c r="BD56" s="5"/>
      <c r="BE56" s="373"/>
      <c r="BF56" s="161" t="s">
        <v>880</v>
      </c>
      <c r="BG56" s="5" t="s">
        <v>881</v>
      </c>
      <c r="BH56" s="5"/>
      <c r="BI56" s="5"/>
      <c r="BJ56" s="5"/>
      <c r="BK56" s="5"/>
      <c r="BL56" s="5"/>
      <c r="BM56" s="5"/>
      <c r="BN56" s="5"/>
      <c r="BO56" s="5"/>
      <c r="BP56" s="5"/>
      <c r="BQ56" s="5"/>
      <c r="BR56" s="5"/>
      <c r="BS56" s="5"/>
      <c r="BT56" s="5"/>
      <c r="BU56" s="5"/>
      <c r="BV56" s="5"/>
      <c r="BW56" s="5"/>
      <c r="BX56" s="373"/>
      <c r="BY56" s="5"/>
      <c r="BZ56" s="5"/>
      <c r="CA56" s="5"/>
      <c r="CB56" s="5"/>
      <c r="CC56" s="5"/>
      <c r="CD56" s="161"/>
      <c r="CE56" s="5"/>
      <c r="CF56" s="5"/>
      <c r="CG56" s="5"/>
      <c r="CH56" s="5"/>
      <c r="CI56" s="5"/>
      <c r="CJ56" s="5"/>
      <c r="CK56" s="5"/>
      <c r="CL56" s="5"/>
      <c r="CM56" s="5"/>
      <c r="CN56" s="5"/>
      <c r="CO56" s="5"/>
      <c r="CP56" s="5"/>
      <c r="CQ56" s="5"/>
      <c r="CR56" s="5"/>
      <c r="CS56" s="5"/>
      <c r="CT56" s="5"/>
      <c r="CU56" s="5"/>
      <c r="CV56" s="5"/>
      <c r="CW56" s="372"/>
      <c r="CX56" s="161"/>
      <c r="CY56" s="5"/>
      <c r="CZ56" s="5"/>
      <c r="DA56" s="5"/>
      <c r="DB56" s="5"/>
      <c r="DC56" s="5"/>
      <c r="DD56" s="5"/>
      <c r="DE56" s="5"/>
      <c r="DF56" s="5"/>
      <c r="DG56" s="5"/>
      <c r="DH56" s="5"/>
      <c r="DI56" s="5"/>
      <c r="DJ56" s="5"/>
      <c r="DK56" s="5"/>
      <c r="DL56" s="5"/>
      <c r="DM56" s="5"/>
      <c r="DN56" s="5"/>
      <c r="DO56" s="5"/>
      <c r="DP56" s="5"/>
      <c r="DR56" s="372"/>
      <c r="DS56" s="161"/>
      <c r="DT56" s="5"/>
      <c r="DU56" s="5"/>
      <c r="DV56" s="5"/>
      <c r="DW56" s="5"/>
      <c r="DX56" s="5"/>
      <c r="DY56" s="5"/>
      <c r="DZ56" s="5"/>
      <c r="EA56" s="5"/>
      <c r="EB56" s="5"/>
      <c r="EC56" s="5"/>
      <c r="ED56" s="5"/>
      <c r="EE56" s="5"/>
      <c r="EF56" s="5"/>
      <c r="EG56" s="5"/>
      <c r="EH56" s="5"/>
      <c r="EI56" s="5"/>
      <c r="EJ56" s="5"/>
      <c r="EK56" s="5"/>
    </row>
    <row r="57" spans="1:141" ht="16.2">
      <c r="A57" s="5"/>
      <c r="B57" s="959" t="s">
        <v>882</v>
      </c>
      <c r="C57" s="959"/>
      <c r="D57" s="382" t="s">
        <v>63</v>
      </c>
      <c r="E57" s="5" t="s">
        <v>883</v>
      </c>
      <c r="F57" s="5"/>
      <c r="G57" s="5"/>
      <c r="H57" s="5"/>
      <c r="I57" s="5" t="s">
        <v>16</v>
      </c>
      <c r="J57" s="5" t="s">
        <v>884</v>
      </c>
      <c r="K57" s="5"/>
      <c r="L57" s="5"/>
      <c r="M57" s="5"/>
      <c r="N57" s="5"/>
      <c r="O57" s="5"/>
      <c r="P57" s="5"/>
      <c r="Q57" s="5"/>
      <c r="R57" s="5"/>
      <c r="S57" s="5"/>
      <c r="T57" s="374"/>
      <c r="U57" s="5"/>
      <c r="V57" s="5"/>
      <c r="W57" s="382"/>
      <c r="X57" s="5"/>
      <c r="Y57" s="5"/>
      <c r="Z57" s="5"/>
      <c r="AA57" s="5"/>
      <c r="AB57" s="5"/>
      <c r="AC57" s="5"/>
      <c r="AD57" s="5"/>
      <c r="AE57" s="5"/>
      <c r="AF57" s="5"/>
      <c r="AG57" s="5"/>
      <c r="AH57" s="5"/>
      <c r="AI57" s="5"/>
      <c r="AJ57" s="5"/>
      <c r="AK57" s="5"/>
      <c r="AL57" s="5"/>
      <c r="AM57" s="5"/>
      <c r="AN57" s="959" t="s">
        <v>882</v>
      </c>
      <c r="AO57" s="959"/>
      <c r="AP57" s="382" t="s">
        <v>63</v>
      </c>
      <c r="AQ57" s="5" t="s">
        <v>883</v>
      </c>
      <c r="AR57" s="5"/>
      <c r="AS57" s="5"/>
      <c r="AT57" s="5"/>
      <c r="AU57" s="5" t="s">
        <v>16</v>
      </c>
      <c r="AV57" s="5" t="s">
        <v>884</v>
      </c>
      <c r="AW57" s="5"/>
      <c r="AX57" s="5"/>
      <c r="AY57" s="5"/>
      <c r="AZ57" s="5"/>
      <c r="BA57" s="5"/>
      <c r="BB57" s="5"/>
      <c r="BC57" s="5"/>
      <c r="BD57" s="5"/>
      <c r="BE57" s="373"/>
      <c r="BF57" s="5"/>
      <c r="BG57" s="959" t="s">
        <v>882</v>
      </c>
      <c r="BH57" s="959"/>
      <c r="BI57" s="382" t="s">
        <v>63</v>
      </c>
      <c r="BJ57" s="5" t="s">
        <v>883</v>
      </c>
      <c r="BK57" s="5"/>
      <c r="BL57" s="5"/>
      <c r="BM57" s="5"/>
      <c r="BN57" s="5" t="s">
        <v>16</v>
      </c>
      <c r="BO57" s="5" t="s">
        <v>884</v>
      </c>
      <c r="BP57" s="5"/>
      <c r="BQ57" s="5"/>
      <c r="BR57" s="5"/>
      <c r="BS57" s="5"/>
      <c r="BT57" s="5"/>
      <c r="BU57" s="5"/>
      <c r="BV57" s="5"/>
      <c r="BW57" s="5"/>
      <c r="BX57" s="373"/>
      <c r="BY57" s="5"/>
      <c r="BZ57" s="5"/>
      <c r="CA57" s="5"/>
      <c r="CB57" s="5"/>
      <c r="CC57" s="5"/>
      <c r="CD57" s="5"/>
      <c r="CE57" s="5"/>
      <c r="CF57" s="5"/>
      <c r="CG57" s="382"/>
      <c r="CH57" s="5"/>
      <c r="CI57" s="5"/>
      <c r="CJ57" s="5"/>
      <c r="CK57" s="5"/>
      <c r="CL57" s="5"/>
      <c r="CM57" s="5"/>
      <c r="CN57" s="5"/>
      <c r="CO57" s="5"/>
      <c r="CP57" s="5"/>
      <c r="CQ57" s="5"/>
      <c r="CR57" s="5"/>
      <c r="CS57" s="5"/>
      <c r="CT57" s="5"/>
      <c r="CU57" s="5"/>
      <c r="CV57" s="5"/>
      <c r="CW57" s="372"/>
      <c r="CX57" s="5"/>
      <c r="CY57" s="5"/>
      <c r="CZ57" s="5"/>
      <c r="DA57" s="382"/>
      <c r="DB57" s="5"/>
      <c r="DC57" s="5"/>
      <c r="DD57" s="5"/>
      <c r="DE57" s="5"/>
      <c r="DF57" s="5"/>
      <c r="DG57" s="5"/>
      <c r="DH57" s="5"/>
      <c r="DI57" s="5"/>
      <c r="DJ57" s="5"/>
      <c r="DK57" s="5"/>
      <c r="DL57" s="5"/>
      <c r="DM57" s="5"/>
      <c r="DN57" s="5"/>
      <c r="DO57" s="5"/>
      <c r="DP57" s="5"/>
      <c r="DR57" s="372"/>
      <c r="DS57" s="5"/>
      <c r="DT57" s="959"/>
      <c r="DU57" s="959"/>
      <c r="DV57" s="382"/>
      <c r="DW57" s="5"/>
      <c r="DX57" s="5"/>
      <c r="DY57" s="5"/>
      <c r="DZ57" s="5"/>
      <c r="EA57" s="5"/>
      <c r="EB57" s="5"/>
      <c r="EC57" s="5"/>
      <c r="ED57" s="5"/>
      <c r="EE57" s="5"/>
      <c r="EF57" s="5"/>
      <c r="EG57" s="5"/>
      <c r="EH57" s="5"/>
      <c r="EI57" s="5"/>
      <c r="EJ57" s="5"/>
      <c r="EK57" s="5"/>
    </row>
    <row r="58" spans="1:141" ht="16.2">
      <c r="A58" s="5"/>
      <c r="B58" s="5"/>
      <c r="C58" s="5"/>
      <c r="D58" s="382" t="s">
        <v>63</v>
      </c>
      <c r="E58" s="891">
        <f>102%*E53</f>
        <v>358.93309408906885</v>
      </c>
      <c r="F58" s="891"/>
      <c r="G58" s="5" t="s">
        <v>16</v>
      </c>
      <c r="H58" s="5"/>
      <c r="I58" s="5"/>
      <c r="J58" s="5"/>
      <c r="K58" s="5"/>
      <c r="L58" s="5"/>
      <c r="M58" s="5"/>
      <c r="N58" s="5"/>
      <c r="O58" s="5"/>
      <c r="P58" s="5"/>
      <c r="Q58" s="5"/>
      <c r="R58" s="5"/>
      <c r="S58" s="5"/>
      <c r="T58" s="374"/>
      <c r="U58" s="5"/>
      <c r="V58" s="5"/>
      <c r="W58" s="382"/>
      <c r="X58" s="383"/>
      <c r="Y58" s="383"/>
      <c r="Z58" s="5"/>
      <c r="AA58" s="5"/>
      <c r="AB58" s="5"/>
      <c r="AC58" s="5"/>
      <c r="AD58" s="5"/>
      <c r="AE58" s="5"/>
      <c r="AF58" s="5"/>
      <c r="AG58" s="5"/>
      <c r="AH58" s="5"/>
      <c r="AI58" s="5"/>
      <c r="AJ58" s="5"/>
      <c r="AK58" s="5"/>
      <c r="AL58" s="5"/>
      <c r="AM58" s="5"/>
      <c r="AN58" s="5"/>
      <c r="AO58" s="5"/>
      <c r="AP58" s="382" t="s">
        <v>63</v>
      </c>
      <c r="AQ58" s="891">
        <f>102%*AQ53</f>
        <v>285.53329282591091</v>
      </c>
      <c r="AR58" s="891"/>
      <c r="AS58" s="5" t="s">
        <v>16</v>
      </c>
      <c r="AT58" s="5"/>
      <c r="AU58" s="5"/>
      <c r="AV58" s="5"/>
      <c r="AW58" s="5"/>
      <c r="AX58" s="5"/>
      <c r="AY58" s="5"/>
      <c r="AZ58" s="5"/>
      <c r="BA58" s="5"/>
      <c r="BB58" s="5"/>
      <c r="BC58" s="5"/>
      <c r="BD58" s="5"/>
      <c r="BE58" s="373"/>
      <c r="BF58" s="5"/>
      <c r="BG58" s="5"/>
      <c r="BH58" s="5"/>
      <c r="BI58" s="382" t="s">
        <v>63</v>
      </c>
      <c r="BJ58" s="891">
        <f>102%*BJ53</f>
        <v>315.53680591093121</v>
      </c>
      <c r="BK58" s="891"/>
      <c r="BL58" s="5" t="s">
        <v>16</v>
      </c>
      <c r="BM58" s="5"/>
      <c r="BN58" s="5"/>
      <c r="BO58" s="5"/>
      <c r="BP58" s="5"/>
      <c r="BQ58" s="5"/>
      <c r="BR58" s="5"/>
      <c r="BS58" s="5"/>
      <c r="BT58" s="5"/>
      <c r="BU58" s="5"/>
      <c r="BV58" s="5"/>
      <c r="BW58" s="5"/>
      <c r="BX58" s="373"/>
      <c r="BY58" s="5"/>
      <c r="BZ58" s="5"/>
      <c r="CA58" s="5"/>
      <c r="CB58" s="5"/>
      <c r="CC58" s="5"/>
      <c r="CD58" s="5"/>
      <c r="CE58" s="5"/>
      <c r="CF58" s="5"/>
      <c r="CG58" s="382"/>
      <c r="CH58" s="383"/>
      <c r="CI58" s="383"/>
      <c r="CJ58" s="5"/>
      <c r="CK58" s="5"/>
      <c r="CL58" s="5"/>
      <c r="CM58" s="5"/>
      <c r="CN58" s="5"/>
      <c r="CO58" s="5"/>
      <c r="CP58" s="5"/>
      <c r="CQ58" s="5"/>
      <c r="CR58" s="5"/>
      <c r="CS58" s="5"/>
      <c r="CT58" s="5"/>
      <c r="CU58" s="5"/>
      <c r="CV58" s="5"/>
      <c r="CW58" s="372"/>
      <c r="CX58" s="5"/>
      <c r="CY58" s="5"/>
      <c r="CZ58" s="5"/>
      <c r="DA58" s="382"/>
      <c r="DB58" s="383"/>
      <c r="DC58" s="383"/>
      <c r="DD58" s="5"/>
      <c r="DE58" s="5"/>
      <c r="DF58" s="5"/>
      <c r="DG58" s="5"/>
      <c r="DH58" s="5"/>
      <c r="DI58" s="5"/>
      <c r="DJ58" s="5"/>
      <c r="DK58" s="5"/>
      <c r="DL58" s="5"/>
      <c r="DM58" s="5"/>
      <c r="DN58" s="5"/>
      <c r="DO58" s="5"/>
      <c r="DP58" s="5"/>
      <c r="DR58" s="372"/>
      <c r="DS58" s="5"/>
      <c r="DT58" s="5"/>
      <c r="DU58" s="5"/>
      <c r="DV58" s="382"/>
      <c r="DW58" s="891"/>
      <c r="DX58" s="891"/>
      <c r="DY58" s="5"/>
      <c r="DZ58" s="5"/>
      <c r="EA58" s="5"/>
      <c r="EB58" s="5"/>
      <c r="EC58" s="5"/>
      <c r="ED58" s="5"/>
      <c r="EE58" s="5"/>
      <c r="EF58" s="5"/>
      <c r="EG58" s="5"/>
      <c r="EH58" s="5"/>
      <c r="EI58" s="5"/>
      <c r="EJ58" s="5"/>
      <c r="EK58" s="5"/>
    </row>
    <row r="59" spans="1:141">
      <c r="A59" s="5"/>
      <c r="B59" s="5"/>
      <c r="C59" s="5"/>
      <c r="D59" s="382" t="s">
        <v>63</v>
      </c>
      <c r="E59" s="948">
        <f>102%*E54</f>
        <v>358933.09408906882</v>
      </c>
      <c r="F59" s="948"/>
      <c r="G59" s="5" t="s">
        <v>879</v>
      </c>
      <c r="H59" s="5"/>
      <c r="I59" s="5"/>
      <c r="J59" s="5"/>
      <c r="K59" s="5"/>
      <c r="L59" s="5"/>
      <c r="M59" s="5"/>
      <c r="N59" s="5"/>
      <c r="O59" s="5"/>
      <c r="P59" s="5"/>
      <c r="Q59" s="5"/>
      <c r="R59" s="5"/>
      <c r="S59" s="5"/>
      <c r="T59" s="374"/>
      <c r="U59" s="5"/>
      <c r="V59" s="5"/>
      <c r="W59" s="382"/>
      <c r="X59" s="384"/>
      <c r="Y59" s="384"/>
      <c r="Z59" s="5"/>
      <c r="AA59" s="5"/>
      <c r="AB59" s="5"/>
      <c r="AC59" s="5"/>
      <c r="AD59" s="5"/>
      <c r="AE59" s="5"/>
      <c r="AF59" s="5"/>
      <c r="AG59" s="5"/>
      <c r="AH59" s="5"/>
      <c r="AI59" s="5"/>
      <c r="AJ59" s="5"/>
      <c r="AK59" s="5"/>
      <c r="AL59" s="5"/>
      <c r="AM59" s="5"/>
      <c r="AN59" s="5"/>
      <c r="AO59" s="5"/>
      <c r="AP59" s="382" t="s">
        <v>63</v>
      </c>
      <c r="AQ59" s="948">
        <f>102%*AQ54</f>
        <v>285533.2928259109</v>
      </c>
      <c r="AR59" s="948"/>
      <c r="AS59" s="5" t="s">
        <v>879</v>
      </c>
      <c r="AT59" s="5"/>
      <c r="AU59" s="5"/>
      <c r="AV59" s="5"/>
      <c r="AW59" s="5"/>
      <c r="AX59" s="5"/>
      <c r="AY59" s="5"/>
      <c r="AZ59" s="5"/>
      <c r="BA59" s="5"/>
      <c r="BB59" s="5"/>
      <c r="BC59" s="5"/>
      <c r="BD59" s="5"/>
      <c r="BE59" s="373"/>
      <c r="BF59" s="5"/>
      <c r="BG59" s="5"/>
      <c r="BH59" s="5"/>
      <c r="BI59" s="382" t="s">
        <v>63</v>
      </c>
      <c r="BJ59" s="948">
        <f>102%*BJ54</f>
        <v>315536.8059109312</v>
      </c>
      <c r="BK59" s="948"/>
      <c r="BL59" s="5" t="s">
        <v>879</v>
      </c>
      <c r="BM59" s="5"/>
      <c r="BN59" s="5"/>
      <c r="BO59" s="5"/>
      <c r="BP59" s="5"/>
      <c r="BQ59" s="5"/>
      <c r="BR59" s="5"/>
      <c r="BS59" s="5"/>
      <c r="BT59" s="5"/>
      <c r="BU59" s="5"/>
      <c r="BV59" s="5"/>
      <c r="BW59" s="5"/>
      <c r="BX59" s="373"/>
      <c r="BY59" s="5"/>
      <c r="BZ59" s="5"/>
      <c r="CA59" s="5"/>
      <c r="CB59" s="5"/>
      <c r="CC59" s="5"/>
      <c r="CD59" s="5"/>
      <c r="CE59" s="5"/>
      <c r="CF59" s="5"/>
      <c r="CG59" s="382"/>
      <c r="CH59" s="384"/>
      <c r="CI59" s="384"/>
      <c r="CJ59" s="5"/>
      <c r="CK59" s="5"/>
      <c r="CL59" s="5"/>
      <c r="CM59" s="5"/>
      <c r="CN59" s="5"/>
      <c r="CO59" s="5"/>
      <c r="CP59" s="5"/>
      <c r="CQ59" s="5"/>
      <c r="CR59" s="5"/>
      <c r="CS59" s="5"/>
      <c r="CT59" s="5"/>
      <c r="CU59" s="5"/>
      <c r="CV59" s="5"/>
      <c r="CW59" s="372"/>
      <c r="CX59" s="5"/>
      <c r="CY59" s="5"/>
      <c r="CZ59" s="5"/>
      <c r="DA59" s="382"/>
      <c r="DB59" s="384"/>
      <c r="DC59" s="384"/>
      <c r="DD59" s="5"/>
      <c r="DE59" s="5"/>
      <c r="DF59" s="5"/>
      <c r="DG59" s="5"/>
      <c r="DH59" s="5"/>
      <c r="DI59" s="5"/>
      <c r="DJ59" s="5"/>
      <c r="DK59" s="5"/>
      <c r="DL59" s="5"/>
      <c r="DM59" s="5"/>
      <c r="DN59" s="5"/>
      <c r="DO59" s="5"/>
      <c r="DP59" s="5"/>
      <c r="DR59" s="372"/>
      <c r="DS59" s="5"/>
      <c r="DT59" s="5"/>
      <c r="DU59" s="5"/>
      <c r="DV59" s="382"/>
      <c r="DW59" s="948"/>
      <c r="DX59" s="948"/>
      <c r="DY59" s="5"/>
      <c r="DZ59" s="5"/>
      <c r="EA59" s="5"/>
      <c r="EB59" s="5"/>
      <c r="EC59" s="5"/>
      <c r="ED59" s="5"/>
      <c r="EE59" s="5"/>
      <c r="EF59" s="5"/>
      <c r="EG59" s="5"/>
      <c r="EH59" s="5"/>
      <c r="EI59" s="5"/>
      <c r="EJ59" s="5"/>
      <c r="EK59" s="5"/>
    </row>
    <row r="60" spans="1:141">
      <c r="A60" s="5"/>
      <c r="B60" s="5"/>
      <c r="C60" s="5"/>
      <c r="D60" s="5"/>
      <c r="E60" s="5"/>
      <c r="F60" s="5"/>
      <c r="G60" s="5"/>
      <c r="H60" s="5"/>
      <c r="I60" s="5"/>
      <c r="J60" s="5"/>
      <c r="K60" s="5"/>
      <c r="L60" s="5"/>
      <c r="M60" s="5"/>
      <c r="N60" s="5"/>
      <c r="O60" s="5"/>
      <c r="P60" s="5"/>
      <c r="Q60" s="5"/>
      <c r="R60" s="5"/>
      <c r="S60" s="5"/>
      <c r="T60" s="374"/>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373"/>
      <c r="BF60" s="5"/>
      <c r="BG60" s="5"/>
      <c r="BH60" s="5"/>
      <c r="BI60" s="5"/>
      <c r="BJ60" s="5"/>
      <c r="BK60" s="5"/>
      <c r="BL60" s="5"/>
      <c r="BM60" s="5"/>
      <c r="BN60" s="5"/>
      <c r="BO60" s="5"/>
      <c r="BP60" s="5"/>
      <c r="BQ60" s="5"/>
      <c r="BR60" s="5"/>
      <c r="BS60" s="5"/>
      <c r="BT60" s="5"/>
      <c r="BU60" s="5"/>
      <c r="BV60" s="5"/>
      <c r="BW60" s="5"/>
      <c r="BX60" s="373"/>
      <c r="BY60" s="5"/>
      <c r="BZ60" s="5"/>
      <c r="CA60" s="5"/>
      <c r="CB60" s="5"/>
      <c r="CC60" s="5"/>
      <c r="CD60" s="5"/>
      <c r="CE60" s="5"/>
      <c r="CF60" s="5"/>
      <c r="CG60" s="5"/>
      <c r="CH60" s="5"/>
      <c r="CI60" s="5"/>
      <c r="CJ60" s="5"/>
      <c r="CK60" s="5"/>
      <c r="CL60" s="5"/>
      <c r="CM60" s="5"/>
      <c r="CN60" s="5"/>
      <c r="CO60" s="5"/>
      <c r="CP60" s="5"/>
      <c r="CQ60" s="5"/>
      <c r="CR60" s="5"/>
      <c r="CS60" s="5"/>
      <c r="CT60" s="5"/>
      <c r="CU60" s="5"/>
      <c r="CV60" s="5"/>
      <c r="CW60" s="372"/>
      <c r="CX60" s="5"/>
      <c r="CY60" s="5"/>
      <c r="CZ60" s="5"/>
      <c r="DA60" s="5"/>
      <c r="DB60" s="5"/>
      <c r="DC60" s="5"/>
      <c r="DD60" s="5"/>
      <c r="DE60" s="5"/>
      <c r="DF60" s="5"/>
      <c r="DG60" s="5"/>
      <c r="DH60" s="5"/>
      <c r="DI60" s="5"/>
      <c r="DJ60" s="5"/>
      <c r="DK60" s="5"/>
      <c r="DL60" s="5"/>
      <c r="DM60" s="5"/>
      <c r="DN60" s="5"/>
      <c r="DO60" s="5"/>
      <c r="DP60" s="5"/>
      <c r="DR60" s="372"/>
      <c r="DS60" s="5"/>
      <c r="DT60" s="5"/>
      <c r="DU60" s="5"/>
      <c r="DV60" s="5"/>
      <c r="DW60" s="5"/>
      <c r="DX60" s="5"/>
      <c r="DY60" s="5"/>
      <c r="DZ60" s="5"/>
      <c r="EA60" s="5"/>
      <c r="EB60" s="5"/>
      <c r="EC60" s="5"/>
      <c r="ED60" s="5"/>
      <c r="EE60" s="5"/>
      <c r="EF60" s="5"/>
      <c r="EG60" s="5"/>
      <c r="EH60" s="5"/>
      <c r="EI60" s="5"/>
      <c r="EJ60" s="5"/>
      <c r="EK60" s="5"/>
    </row>
    <row r="61" spans="1:141" ht="16.2">
      <c r="A61" s="5"/>
      <c r="B61" s="959" t="s">
        <v>885</v>
      </c>
      <c r="C61" s="959"/>
      <c r="D61" s="382" t="s">
        <v>63</v>
      </c>
      <c r="E61" s="5" t="s">
        <v>886</v>
      </c>
      <c r="F61" s="5"/>
      <c r="G61" s="5"/>
      <c r="H61" s="5"/>
      <c r="I61" s="5" t="s">
        <v>16</v>
      </c>
      <c r="J61" s="5" t="s">
        <v>887</v>
      </c>
      <c r="K61" s="5"/>
      <c r="L61" s="5"/>
      <c r="M61" s="5"/>
      <c r="N61" s="5"/>
      <c r="O61" s="5"/>
      <c r="P61" s="5"/>
      <c r="Q61" s="5"/>
      <c r="R61" s="5"/>
      <c r="S61" s="5"/>
      <c r="T61" s="374"/>
      <c r="U61" s="5"/>
      <c r="V61" s="5"/>
      <c r="W61" s="382"/>
      <c r="X61" s="5"/>
      <c r="Y61" s="5"/>
      <c r="Z61" s="5"/>
      <c r="AA61" s="5"/>
      <c r="AB61" s="5"/>
      <c r="AC61" s="5"/>
      <c r="AD61" s="5"/>
      <c r="AE61" s="5"/>
      <c r="AF61" s="5"/>
      <c r="AG61" s="5"/>
      <c r="AH61" s="5"/>
      <c r="AI61" s="5"/>
      <c r="AJ61" s="5"/>
      <c r="AK61" s="5"/>
      <c r="AL61" s="5"/>
      <c r="AM61" s="5"/>
      <c r="AN61" s="959" t="s">
        <v>885</v>
      </c>
      <c r="AO61" s="959"/>
      <c r="AP61" s="382" t="s">
        <v>63</v>
      </c>
      <c r="AQ61" s="5" t="s">
        <v>886</v>
      </c>
      <c r="AR61" s="5"/>
      <c r="AS61" s="5"/>
      <c r="AT61" s="5"/>
      <c r="AU61" s="5" t="s">
        <v>16</v>
      </c>
      <c r="AV61" s="5" t="s">
        <v>887</v>
      </c>
      <c r="AW61" s="5"/>
      <c r="AX61" s="5"/>
      <c r="AY61" s="5"/>
      <c r="AZ61" s="5"/>
      <c r="BA61" s="5"/>
      <c r="BB61" s="5"/>
      <c r="BC61" s="5"/>
      <c r="BD61" s="5"/>
      <c r="BE61" s="373"/>
      <c r="BF61" s="5"/>
      <c r="BG61" s="959" t="s">
        <v>885</v>
      </c>
      <c r="BH61" s="959"/>
      <c r="BI61" s="382" t="s">
        <v>63</v>
      </c>
      <c r="BJ61" s="5" t="s">
        <v>886</v>
      </c>
      <c r="BK61" s="5"/>
      <c r="BL61" s="5"/>
      <c r="BM61" s="5"/>
      <c r="BN61" s="5" t="s">
        <v>16</v>
      </c>
      <c r="BO61" s="5" t="s">
        <v>887</v>
      </c>
      <c r="BP61" s="5"/>
      <c r="BQ61" s="5"/>
      <c r="BR61" s="5"/>
      <c r="BS61" s="5"/>
      <c r="BT61" s="5"/>
      <c r="BU61" s="5"/>
      <c r="BV61" s="5"/>
      <c r="BW61" s="5"/>
      <c r="BX61" s="373"/>
      <c r="BY61" s="5"/>
      <c r="BZ61" s="5"/>
      <c r="CA61" s="5"/>
      <c r="CB61" s="5"/>
      <c r="CC61" s="5"/>
      <c r="CD61" s="5"/>
      <c r="CE61" s="5"/>
      <c r="CF61" s="5"/>
      <c r="CG61" s="382"/>
      <c r="CH61" s="5"/>
      <c r="CI61" s="5"/>
      <c r="CJ61" s="5"/>
      <c r="CK61" s="5"/>
      <c r="CL61" s="5"/>
      <c r="CM61" s="5"/>
      <c r="CN61" s="5"/>
      <c r="CO61" s="5"/>
      <c r="CP61" s="5"/>
      <c r="CQ61" s="5"/>
      <c r="CR61" s="5"/>
      <c r="CS61" s="5"/>
      <c r="CT61" s="5"/>
      <c r="CU61" s="5"/>
      <c r="CV61" s="5"/>
      <c r="CW61" s="372"/>
      <c r="CX61" s="5"/>
      <c r="CY61" s="5"/>
      <c r="CZ61" s="5"/>
      <c r="DA61" s="382"/>
      <c r="DB61" s="5"/>
      <c r="DC61" s="5"/>
      <c r="DD61" s="5"/>
      <c r="DE61" s="5"/>
      <c r="DF61" s="5"/>
      <c r="DG61" s="5"/>
      <c r="DH61" s="5"/>
      <c r="DI61" s="5"/>
      <c r="DJ61" s="5"/>
      <c r="DK61" s="5"/>
      <c r="DL61" s="5"/>
      <c r="DM61" s="5"/>
      <c r="DN61" s="5"/>
      <c r="DO61" s="5"/>
      <c r="DP61" s="5"/>
      <c r="DR61" s="372"/>
      <c r="DS61" s="5"/>
      <c r="DT61" s="959"/>
      <c r="DU61" s="959"/>
      <c r="DV61" s="382"/>
      <c r="DW61" s="5"/>
      <c r="DX61" s="5"/>
      <c r="DY61" s="5"/>
      <c r="DZ61" s="5"/>
      <c r="EA61" s="5"/>
      <c r="EB61" s="5"/>
      <c r="EC61" s="5"/>
      <c r="ED61" s="5"/>
      <c r="EE61" s="5"/>
      <c r="EF61" s="5"/>
      <c r="EG61" s="5"/>
      <c r="EH61" s="5"/>
      <c r="EI61" s="5"/>
      <c r="EJ61" s="5"/>
      <c r="EK61" s="5"/>
    </row>
    <row r="62" spans="1:141" ht="16.2">
      <c r="A62" s="5"/>
      <c r="B62" s="5"/>
      <c r="C62" s="5"/>
      <c r="D62" s="382" t="s">
        <v>63</v>
      </c>
      <c r="E62" s="953">
        <f>102%*E58</f>
        <v>366.11175597085025</v>
      </c>
      <c r="F62" s="953"/>
      <c r="G62" s="373" t="s">
        <v>16</v>
      </c>
      <c r="H62" s="5"/>
      <c r="I62" s="5"/>
      <c r="J62" s="5"/>
      <c r="K62" s="5"/>
      <c r="L62" s="5"/>
      <c r="M62" s="5"/>
      <c r="N62" s="5"/>
      <c r="O62" s="5"/>
      <c r="P62" s="5"/>
      <c r="Q62" s="5"/>
      <c r="R62" s="5"/>
      <c r="S62" s="5"/>
      <c r="T62" s="374"/>
      <c r="U62" s="5"/>
      <c r="V62" s="5"/>
      <c r="W62" s="382"/>
      <c r="X62" s="383"/>
      <c r="Y62" s="383"/>
      <c r="Z62" s="5"/>
      <c r="AA62" s="5"/>
      <c r="AB62" s="5"/>
      <c r="AC62" s="5"/>
      <c r="AD62" s="5"/>
      <c r="AE62" s="5"/>
      <c r="AF62" s="5"/>
      <c r="AG62" s="5"/>
      <c r="AH62" s="5"/>
      <c r="AI62" s="5"/>
      <c r="AJ62" s="5"/>
      <c r="AK62" s="5"/>
      <c r="AL62" s="5"/>
      <c r="AM62" s="5"/>
      <c r="AN62" s="5"/>
      <c r="AO62" s="5"/>
      <c r="AP62" s="382" t="s">
        <v>63</v>
      </c>
      <c r="AQ62" s="891">
        <f>102%*AQ58</f>
        <v>291.24395868242914</v>
      </c>
      <c r="AR62" s="891"/>
      <c r="AS62" s="5" t="s">
        <v>16</v>
      </c>
      <c r="AT62" s="5"/>
      <c r="AU62" s="5"/>
      <c r="AV62" s="5"/>
      <c r="AW62" s="5"/>
      <c r="AX62" s="5"/>
      <c r="AY62" s="5"/>
      <c r="AZ62" s="5"/>
      <c r="BA62" s="5"/>
      <c r="BB62" s="5"/>
      <c r="BC62" s="5"/>
      <c r="BD62" s="5"/>
      <c r="BE62" s="373"/>
      <c r="BF62" s="5"/>
      <c r="BG62" s="5"/>
      <c r="BH62" s="5"/>
      <c r="BI62" s="382" t="s">
        <v>63</v>
      </c>
      <c r="BJ62" s="891">
        <f>102%*BJ58</f>
        <v>321.84754202914985</v>
      </c>
      <c r="BK62" s="891"/>
      <c r="BL62" s="5" t="s">
        <v>16</v>
      </c>
      <c r="BM62" s="5"/>
      <c r="BN62" s="5"/>
      <c r="BO62" s="5"/>
      <c r="BP62" s="5"/>
      <c r="BQ62" s="5"/>
      <c r="BR62" s="5"/>
      <c r="BS62" s="5"/>
      <c r="BT62" s="5"/>
      <c r="BU62" s="5"/>
      <c r="BV62" s="5"/>
      <c r="BW62" s="5"/>
      <c r="BX62" s="373"/>
      <c r="BY62" s="5"/>
      <c r="BZ62" s="5"/>
      <c r="CA62" s="5"/>
      <c r="CB62" s="5"/>
      <c r="CC62" s="5"/>
      <c r="CD62" s="5"/>
      <c r="CE62" s="5"/>
      <c r="CF62" s="5"/>
      <c r="CG62" s="382"/>
      <c r="CH62" s="383"/>
      <c r="CI62" s="383"/>
      <c r="CJ62" s="5"/>
      <c r="CK62" s="5"/>
      <c r="CL62" s="5"/>
      <c r="CM62" s="5"/>
      <c r="CN62" s="5"/>
      <c r="CO62" s="5"/>
      <c r="CP62" s="5"/>
      <c r="CQ62" s="5"/>
      <c r="CR62" s="5"/>
      <c r="CS62" s="5"/>
      <c r="CT62" s="5"/>
      <c r="CU62" s="5"/>
      <c r="CV62" s="5"/>
      <c r="CW62" s="372"/>
      <c r="CX62" s="5"/>
      <c r="CY62" s="5"/>
      <c r="CZ62" s="5"/>
      <c r="DA62" s="382"/>
      <c r="DB62" s="383"/>
      <c r="DC62" s="383"/>
      <c r="DD62" s="5"/>
      <c r="DE62" s="5"/>
      <c r="DF62" s="5"/>
      <c r="DG62" s="5"/>
      <c r="DH62" s="5"/>
      <c r="DI62" s="5"/>
      <c r="DJ62" s="5"/>
      <c r="DK62" s="5"/>
      <c r="DL62" s="5"/>
      <c r="DM62" s="5"/>
      <c r="DN62" s="5"/>
      <c r="DO62" s="5"/>
      <c r="DP62" s="5"/>
      <c r="DR62" s="372"/>
      <c r="DS62" s="5"/>
      <c r="DT62" s="5"/>
      <c r="DU62" s="5"/>
      <c r="DV62" s="382"/>
      <c r="DW62" s="891"/>
      <c r="DX62" s="891"/>
      <c r="DY62" s="5"/>
      <c r="DZ62" s="5"/>
      <c r="EA62" s="5"/>
      <c r="EB62" s="5"/>
      <c r="EC62" s="5"/>
      <c r="ED62" s="5"/>
      <c r="EE62" s="5"/>
      <c r="EF62" s="5"/>
      <c r="EG62" s="5"/>
      <c r="EH62" s="5"/>
      <c r="EI62" s="5"/>
      <c r="EJ62" s="5"/>
      <c r="EK62" s="5"/>
    </row>
    <row r="63" spans="1:141">
      <c r="A63" s="5"/>
      <c r="B63" s="5"/>
      <c r="C63" s="5"/>
      <c r="D63" s="382" t="s">
        <v>63</v>
      </c>
      <c r="E63" s="952">
        <f>102%*E59</f>
        <v>366111.75597085018</v>
      </c>
      <c r="F63" s="952"/>
      <c r="G63" s="5" t="s">
        <v>879</v>
      </c>
      <c r="H63" s="5"/>
      <c r="I63" s="5"/>
      <c r="J63" s="5"/>
      <c r="K63" s="5"/>
      <c r="L63" s="5"/>
      <c r="M63" s="5"/>
      <c r="N63" s="5"/>
      <c r="O63" s="5"/>
      <c r="P63" s="5"/>
      <c r="Q63" s="5"/>
      <c r="R63" s="5"/>
      <c r="S63" s="5"/>
      <c r="T63" s="374"/>
      <c r="U63" s="5"/>
      <c r="V63" s="5"/>
      <c r="W63" s="382"/>
      <c r="X63" s="384"/>
      <c r="Y63" s="384"/>
      <c r="Z63" s="5"/>
      <c r="AA63" s="5"/>
      <c r="AB63" s="5"/>
      <c r="AC63" s="5"/>
      <c r="AD63" s="5"/>
      <c r="AE63" s="5"/>
      <c r="AF63" s="5"/>
      <c r="AG63" s="5"/>
      <c r="AH63" s="5"/>
      <c r="AI63" s="5"/>
      <c r="AJ63" s="5"/>
      <c r="AK63" s="5"/>
      <c r="AL63" s="5"/>
      <c r="AM63" s="5"/>
      <c r="AN63" s="5"/>
      <c r="AO63" s="5"/>
      <c r="AP63" s="382" t="s">
        <v>63</v>
      </c>
      <c r="AQ63" s="952">
        <f>102%*AQ59</f>
        <v>291243.9586824291</v>
      </c>
      <c r="AR63" s="952"/>
      <c r="AS63" s="5" t="s">
        <v>879</v>
      </c>
      <c r="AT63" s="5"/>
      <c r="AU63" s="5"/>
      <c r="AV63" s="5"/>
      <c r="AW63" s="5"/>
      <c r="AX63" s="5"/>
      <c r="AY63" s="5"/>
      <c r="AZ63" s="5"/>
      <c r="BA63" s="5"/>
      <c r="BB63" s="5"/>
      <c r="BC63" s="5"/>
      <c r="BD63" s="5"/>
      <c r="BE63" s="373"/>
      <c r="BF63" s="5"/>
      <c r="BG63" s="5"/>
      <c r="BH63" s="5"/>
      <c r="BI63" s="382" t="s">
        <v>63</v>
      </c>
      <c r="BJ63" s="952">
        <f>102%*BJ59</f>
        <v>321847.54202914983</v>
      </c>
      <c r="BK63" s="952"/>
      <c r="BL63" s="5" t="s">
        <v>879</v>
      </c>
      <c r="BM63" s="5"/>
      <c r="BN63" s="5"/>
      <c r="BO63" s="5"/>
      <c r="BP63" s="5"/>
      <c r="BQ63" s="5"/>
      <c r="BR63" s="5"/>
      <c r="BS63" s="5"/>
      <c r="BT63" s="5"/>
      <c r="BU63" s="5"/>
      <c r="BV63" s="5"/>
      <c r="BW63" s="5"/>
      <c r="BX63" s="373"/>
      <c r="BY63" s="5"/>
      <c r="BZ63" s="5"/>
      <c r="CA63" s="5"/>
      <c r="CB63" s="5"/>
      <c r="CC63" s="5"/>
      <c r="CD63" s="5"/>
      <c r="CE63" s="5"/>
      <c r="CF63" s="5"/>
      <c r="CG63" s="382"/>
      <c r="CH63" s="384"/>
      <c r="CI63" s="384"/>
      <c r="CJ63" s="5"/>
      <c r="CK63" s="5"/>
      <c r="CL63" s="5"/>
      <c r="CM63" s="5"/>
      <c r="CN63" s="5"/>
      <c r="CO63" s="5"/>
      <c r="CP63" s="5"/>
      <c r="CQ63" s="5"/>
      <c r="CR63" s="5"/>
      <c r="CS63" s="5"/>
      <c r="CT63" s="5"/>
      <c r="CU63" s="5"/>
      <c r="CV63" s="5"/>
      <c r="CW63" s="372"/>
      <c r="CX63" s="5"/>
      <c r="CY63" s="5"/>
      <c r="CZ63" s="5"/>
      <c r="DA63" s="382"/>
      <c r="DB63" s="384"/>
      <c r="DC63" s="384"/>
      <c r="DD63" s="5"/>
      <c r="DE63" s="5"/>
      <c r="DF63" s="5"/>
      <c r="DG63" s="5"/>
      <c r="DH63" s="5"/>
      <c r="DI63" s="5"/>
      <c r="DJ63" s="5"/>
      <c r="DK63" s="5"/>
      <c r="DL63" s="5"/>
      <c r="DM63" s="5"/>
      <c r="DN63" s="5"/>
      <c r="DO63" s="5"/>
      <c r="DP63" s="5"/>
      <c r="DR63" s="372"/>
      <c r="DS63" s="5"/>
      <c r="DT63" s="5"/>
      <c r="DU63" s="5"/>
      <c r="DV63" s="382"/>
      <c r="DW63" s="948"/>
      <c r="DX63" s="948"/>
      <c r="DY63" s="5"/>
      <c r="DZ63" s="5"/>
      <c r="EA63" s="5"/>
      <c r="EB63" s="5"/>
      <c r="EC63" s="5"/>
      <c r="ED63" s="5"/>
      <c r="EE63" s="5"/>
      <c r="EF63" s="5"/>
      <c r="EG63" s="5"/>
      <c r="EH63" s="5"/>
      <c r="EI63" s="5"/>
      <c r="EJ63" s="5"/>
      <c r="EK63" s="5"/>
    </row>
    <row r="64" spans="1:141">
      <c r="A64" s="5"/>
      <c r="B64" s="5"/>
      <c r="C64" s="5"/>
      <c r="D64" s="382"/>
      <c r="E64" s="5"/>
      <c r="F64" s="5"/>
      <c r="G64" s="5"/>
      <c r="H64" s="5"/>
      <c r="I64" s="5"/>
      <c r="J64" s="5"/>
      <c r="K64" s="5"/>
      <c r="L64" s="5"/>
      <c r="M64" s="5"/>
      <c r="N64" s="5"/>
      <c r="O64" s="5"/>
      <c r="P64" s="5"/>
      <c r="Q64" s="5"/>
      <c r="R64" s="5"/>
      <c r="S64" s="5"/>
      <c r="T64" s="374"/>
      <c r="U64" s="5"/>
      <c r="V64" s="5"/>
      <c r="W64" s="382"/>
      <c r="X64" s="5"/>
      <c r="Y64" s="5"/>
      <c r="Z64" s="5"/>
      <c r="AA64" s="5"/>
      <c r="AB64" s="5"/>
      <c r="AC64" s="5"/>
      <c r="AD64" s="5"/>
      <c r="AE64" s="5"/>
      <c r="AF64" s="5"/>
      <c r="AG64" s="5"/>
      <c r="AH64" s="5"/>
      <c r="AI64" s="5"/>
      <c r="AJ64" s="5"/>
      <c r="AK64" s="5"/>
      <c r="AL64" s="5"/>
      <c r="AM64" s="5"/>
      <c r="AN64" s="5"/>
      <c r="AO64" s="5"/>
      <c r="AP64" s="382"/>
      <c r="AQ64" s="5"/>
      <c r="AR64" s="5"/>
      <c r="AS64" s="5"/>
      <c r="AT64" s="5"/>
      <c r="AU64" s="5"/>
      <c r="AV64" s="5"/>
      <c r="AW64" s="5"/>
      <c r="AX64" s="5"/>
      <c r="AY64" s="5"/>
      <c r="AZ64" s="5"/>
      <c r="BA64" s="5"/>
      <c r="BB64" s="5"/>
      <c r="BC64" s="5"/>
      <c r="BD64" s="5"/>
      <c r="BE64" s="373"/>
      <c r="BF64" s="5"/>
      <c r="BG64" s="5"/>
      <c r="BH64" s="5"/>
      <c r="BI64" s="382"/>
      <c r="BJ64" s="5"/>
      <c r="BK64" s="5"/>
      <c r="BL64" s="5"/>
      <c r="BM64" s="5"/>
      <c r="BN64" s="5"/>
      <c r="BO64" s="5"/>
      <c r="BP64" s="5"/>
      <c r="BQ64" s="5"/>
      <c r="BR64" s="5"/>
      <c r="BS64" s="5"/>
      <c r="BT64" s="5"/>
      <c r="BU64" s="5"/>
      <c r="BV64" s="5"/>
      <c r="BW64" s="5"/>
      <c r="BX64" s="373"/>
      <c r="BY64" s="5"/>
      <c r="BZ64" s="5"/>
      <c r="CA64" s="5"/>
      <c r="CB64" s="5"/>
      <c r="CC64" s="5"/>
      <c r="CD64" s="5"/>
      <c r="CE64" s="5"/>
      <c r="CF64" s="5"/>
      <c r="CG64" s="382"/>
      <c r="CH64" s="5"/>
      <c r="CI64" s="5"/>
      <c r="CJ64" s="5"/>
      <c r="CK64" s="5"/>
      <c r="CL64" s="5"/>
      <c r="CM64" s="5"/>
      <c r="CN64" s="5"/>
      <c r="CO64" s="5"/>
      <c r="CP64" s="5"/>
      <c r="CQ64" s="5"/>
      <c r="CR64" s="5"/>
      <c r="CS64" s="5"/>
      <c r="CT64" s="5"/>
      <c r="CU64" s="5"/>
      <c r="CV64" s="5"/>
      <c r="CW64" s="372"/>
      <c r="CX64" s="5"/>
      <c r="CY64" s="5"/>
      <c r="CZ64" s="5"/>
      <c r="DA64" s="382"/>
      <c r="DB64" s="5"/>
      <c r="DC64" s="5"/>
      <c r="DD64" s="5"/>
      <c r="DE64" s="5"/>
      <c r="DF64" s="5"/>
      <c r="DG64" s="5"/>
      <c r="DH64" s="5"/>
      <c r="DI64" s="5"/>
      <c r="DJ64" s="5"/>
      <c r="DK64" s="5"/>
      <c r="DL64" s="5"/>
      <c r="DM64" s="5"/>
      <c r="DN64" s="5"/>
      <c r="DO64" s="5"/>
      <c r="DP64" s="5"/>
      <c r="DR64" s="372"/>
      <c r="DS64" s="5"/>
      <c r="DT64" s="5"/>
      <c r="DU64" s="5"/>
      <c r="DV64" s="382"/>
      <c r="DW64" s="5"/>
      <c r="DX64" s="5"/>
      <c r="DY64" s="5"/>
      <c r="DZ64" s="5"/>
      <c r="EA64" s="5"/>
      <c r="EB64" s="5"/>
      <c r="EC64" s="5"/>
      <c r="ED64" s="5"/>
      <c r="EE64" s="5"/>
      <c r="EF64" s="5"/>
      <c r="EG64" s="5"/>
      <c r="EH64" s="5"/>
      <c r="EI64" s="5"/>
      <c r="EJ64" s="5"/>
      <c r="EK64" s="5"/>
    </row>
    <row r="65" spans="1:141" ht="16.2">
      <c r="A65" s="5"/>
      <c r="B65" s="374"/>
      <c r="C65" s="5"/>
      <c r="D65" s="5"/>
      <c r="E65" s="161"/>
      <c r="F65" s="891"/>
      <c r="G65" s="716"/>
      <c r="H65" s="5"/>
      <c r="I65" s="5"/>
      <c r="J65" s="5"/>
      <c r="K65" s="5"/>
      <c r="L65" s="5"/>
      <c r="M65" s="945"/>
      <c r="N65" s="945"/>
      <c r="O65" s="945"/>
      <c r="P65" s="945"/>
      <c r="Q65" s="945"/>
      <c r="R65" s="945"/>
      <c r="S65" s="945"/>
      <c r="T65" s="374"/>
      <c r="U65" s="374"/>
      <c r="V65" s="5"/>
      <c r="W65" s="5"/>
      <c r="X65" s="161"/>
      <c r="Y65" s="383"/>
      <c r="Z65" s="5"/>
      <c r="AA65" s="5"/>
      <c r="AB65" s="5"/>
      <c r="AC65" s="5"/>
      <c r="AD65" s="5"/>
      <c r="AE65" s="5"/>
      <c r="AF65" s="380"/>
      <c r="AG65" s="380"/>
      <c r="AH65" s="380"/>
      <c r="AI65" s="380"/>
      <c r="AJ65" s="380"/>
      <c r="AK65" s="380"/>
      <c r="AL65" s="380"/>
      <c r="AM65" s="5"/>
      <c r="AN65" s="374" t="s">
        <v>888</v>
      </c>
      <c r="AO65" s="5"/>
      <c r="AP65" s="5"/>
      <c r="AQ65" s="161" t="s">
        <v>63</v>
      </c>
      <c r="AR65" s="891">
        <f>AQ62</f>
        <v>291.24395868242914</v>
      </c>
      <c r="AS65" s="716"/>
      <c r="AT65" s="5" t="s">
        <v>16</v>
      </c>
      <c r="AU65" s="5"/>
      <c r="AV65" s="5"/>
      <c r="AW65" s="5"/>
      <c r="AX65" s="5"/>
      <c r="AY65" s="945" t="s">
        <v>872</v>
      </c>
      <c r="AZ65" s="945"/>
      <c r="BA65" s="945"/>
      <c r="BB65" s="945"/>
      <c r="BC65" s="945"/>
      <c r="BD65" s="945"/>
      <c r="BE65" s="945"/>
      <c r="BF65" s="5"/>
      <c r="BG65" s="374" t="s">
        <v>888</v>
      </c>
      <c r="BH65" s="5"/>
      <c r="BI65" s="5"/>
      <c r="BJ65" s="161" t="s">
        <v>63</v>
      </c>
      <c r="BK65" s="891">
        <f>BJ62</f>
        <v>321.84754202914985</v>
      </c>
      <c r="BL65" s="716"/>
      <c r="BM65" s="5" t="s">
        <v>16</v>
      </c>
      <c r="BN65" s="5"/>
      <c r="BO65" s="5"/>
      <c r="BP65" s="5"/>
      <c r="BQ65" s="5"/>
      <c r="BR65" s="945" t="s">
        <v>872</v>
      </c>
      <c r="BS65" s="945"/>
      <c r="BT65" s="945"/>
      <c r="BU65" s="945"/>
      <c r="BV65" s="945"/>
      <c r="BW65" s="945"/>
      <c r="BX65" s="945"/>
      <c r="BY65" s="378"/>
      <c r="BZ65" s="378"/>
      <c r="CA65" s="378"/>
      <c r="CB65" s="378"/>
      <c r="CC65" s="378"/>
      <c r="CD65" s="5"/>
      <c r="CE65" s="374"/>
      <c r="CF65" s="5"/>
      <c r="CG65" s="5"/>
      <c r="CH65" s="161"/>
      <c r="CI65" s="383"/>
      <c r="CJ65" s="5"/>
      <c r="CK65" s="5"/>
      <c r="CL65" s="5"/>
      <c r="CM65" s="5"/>
      <c r="CN65" s="5"/>
      <c r="CO65" s="5"/>
      <c r="CP65" s="5"/>
      <c r="CQ65" s="5"/>
      <c r="CR65" s="5"/>
      <c r="CS65" s="5"/>
      <c r="CT65" s="5"/>
      <c r="CU65" s="5"/>
      <c r="CV65" s="5"/>
      <c r="CW65" s="372"/>
      <c r="CX65" s="5"/>
      <c r="CY65" s="374"/>
      <c r="CZ65" s="5"/>
      <c r="DA65" s="5"/>
      <c r="DB65" s="161"/>
      <c r="DC65" s="383"/>
      <c r="DD65" s="5"/>
      <c r="DE65" s="5"/>
      <c r="DF65" s="5"/>
      <c r="DG65" s="5"/>
      <c r="DH65" s="5"/>
      <c r="DI65" s="5"/>
      <c r="DJ65" s="5"/>
      <c r="DK65" s="5"/>
      <c r="DL65" s="5"/>
      <c r="DM65" s="5"/>
      <c r="DN65" s="5"/>
      <c r="DO65" s="5"/>
      <c r="DP65" s="5"/>
      <c r="DR65" s="372"/>
      <c r="DS65" s="5"/>
      <c r="DT65" s="374"/>
      <c r="DU65" s="5"/>
      <c r="DV65" s="5"/>
      <c r="DW65" s="161"/>
      <c r="DX65" s="891"/>
      <c r="DY65" s="716"/>
      <c r="DZ65" s="5"/>
      <c r="EA65" s="5"/>
      <c r="EB65" s="5"/>
      <c r="EC65" s="5"/>
      <c r="ED65" s="5"/>
      <c r="EE65" s="5"/>
      <c r="EF65" s="5"/>
      <c r="EG65" s="5"/>
      <c r="EH65" s="5"/>
      <c r="EI65" s="5"/>
      <c r="EJ65" s="5"/>
      <c r="EK65" s="5"/>
    </row>
    <row r="66" spans="1:141">
      <c r="A66" s="5"/>
      <c r="B66" s="5"/>
      <c r="C66" s="5"/>
      <c r="D66" s="5"/>
      <c r="E66" s="5"/>
      <c r="F66" s="948"/>
      <c r="G66" s="948"/>
      <c r="H66" s="5"/>
      <c r="I66" s="5"/>
      <c r="J66" s="5"/>
      <c r="K66" s="5"/>
      <c r="L66" s="5"/>
      <c r="M66" s="945"/>
      <c r="N66" s="945"/>
      <c r="O66" s="945"/>
      <c r="P66" s="945"/>
      <c r="Q66" s="945"/>
      <c r="R66" s="945"/>
      <c r="S66" s="945"/>
      <c r="T66" s="374"/>
      <c r="U66" s="5"/>
      <c r="V66" s="5"/>
      <c r="W66" s="5"/>
      <c r="X66" s="5"/>
      <c r="Y66" s="427"/>
      <c r="Z66" s="427"/>
      <c r="AA66" s="5"/>
      <c r="AB66" s="5"/>
      <c r="AC66" s="5"/>
      <c r="AD66" s="5"/>
      <c r="AE66" s="5"/>
      <c r="AF66" s="380"/>
      <c r="AG66" s="380"/>
      <c r="AH66" s="380"/>
      <c r="AI66" s="380"/>
      <c r="AJ66" s="380"/>
      <c r="AK66" s="380"/>
      <c r="AL66" s="380"/>
      <c r="AM66" s="5"/>
      <c r="AN66" s="5"/>
      <c r="AO66" s="5"/>
      <c r="AP66" s="5"/>
      <c r="AQ66" s="5"/>
      <c r="AR66" s="948">
        <f>AQ63</f>
        <v>291243.9586824291</v>
      </c>
      <c r="AS66" s="948"/>
      <c r="AT66" s="5" t="s">
        <v>879</v>
      </c>
      <c r="AU66" s="5"/>
      <c r="AV66" s="5"/>
      <c r="AW66" s="5"/>
      <c r="AX66" s="5"/>
      <c r="AY66" s="945"/>
      <c r="AZ66" s="945"/>
      <c r="BA66" s="945"/>
      <c r="BB66" s="945"/>
      <c r="BC66" s="945"/>
      <c r="BD66" s="945"/>
      <c r="BE66" s="945"/>
      <c r="BF66" s="5"/>
      <c r="BG66" s="5"/>
      <c r="BH66" s="5"/>
      <c r="BI66" s="5"/>
      <c r="BJ66" s="5"/>
      <c r="BK66" s="948">
        <f>BJ63</f>
        <v>321847.54202914983</v>
      </c>
      <c r="BL66" s="948"/>
      <c r="BM66" s="5" t="s">
        <v>879</v>
      </c>
      <c r="BN66" s="5"/>
      <c r="BO66" s="5"/>
      <c r="BP66" s="5"/>
      <c r="BQ66" s="5"/>
      <c r="BR66" s="945"/>
      <c r="BS66" s="945"/>
      <c r="BT66" s="945"/>
      <c r="BU66" s="945"/>
      <c r="BV66" s="945"/>
      <c r="BW66" s="945"/>
      <c r="BX66" s="945"/>
      <c r="BY66" s="378"/>
      <c r="BZ66" s="378"/>
      <c r="CA66" s="378"/>
      <c r="CB66" s="378"/>
      <c r="CC66" s="378"/>
      <c r="CD66" s="5"/>
      <c r="CE66" s="5"/>
      <c r="CF66" s="5"/>
      <c r="CG66" s="5"/>
      <c r="CH66" s="5"/>
      <c r="CI66" s="384"/>
      <c r="CJ66" s="384"/>
      <c r="CK66" s="5"/>
      <c r="CL66" s="5"/>
      <c r="CM66" s="5"/>
      <c r="CN66" s="5"/>
      <c r="CO66" s="5"/>
      <c r="CP66" s="5"/>
      <c r="CQ66" s="5"/>
      <c r="CR66" s="5"/>
      <c r="CS66" s="5"/>
      <c r="CT66" s="5"/>
      <c r="CU66" s="5"/>
      <c r="CV66" s="5"/>
      <c r="CW66" s="372"/>
      <c r="CX66" s="5"/>
      <c r="CY66" s="5"/>
      <c r="CZ66" s="5"/>
      <c r="DA66" s="5"/>
      <c r="DB66" s="5"/>
      <c r="DC66" s="384"/>
      <c r="DD66" s="384"/>
      <c r="DE66" s="5"/>
      <c r="DF66" s="5"/>
      <c r="DG66" s="5"/>
      <c r="DH66" s="5"/>
      <c r="DI66" s="5"/>
      <c r="DJ66" s="5"/>
      <c r="DK66" s="5"/>
      <c r="DL66" s="5"/>
      <c r="DM66" s="5"/>
      <c r="DN66" s="5"/>
      <c r="DO66" s="5"/>
      <c r="DP66" s="5"/>
      <c r="DR66" s="372"/>
      <c r="DS66" s="5"/>
      <c r="DT66" s="5"/>
      <c r="DU66" s="5"/>
      <c r="DV66" s="5"/>
      <c r="DW66" s="5"/>
      <c r="DX66" s="948"/>
      <c r="DY66" s="948"/>
      <c r="DZ66" s="5"/>
      <c r="EA66" s="5"/>
      <c r="EB66" s="5"/>
      <c r="EC66" s="5"/>
      <c r="ED66" s="5"/>
      <c r="EE66" s="5"/>
      <c r="EF66" s="5"/>
      <c r="EG66" s="5"/>
      <c r="EH66" s="5"/>
      <c r="EI66" s="5"/>
      <c r="EJ66" s="5"/>
      <c r="EK66" s="5"/>
    </row>
    <row r="67" spans="1:141">
      <c r="A67" s="5"/>
      <c r="B67" s="5"/>
      <c r="C67" s="5"/>
      <c r="D67" s="5"/>
      <c r="E67" s="5"/>
      <c r="F67" s="5"/>
      <c r="G67" s="5"/>
      <c r="H67" s="5"/>
      <c r="I67" s="5"/>
      <c r="J67" s="5"/>
      <c r="K67" s="5"/>
      <c r="L67" s="5"/>
      <c r="M67" s="5"/>
      <c r="N67" s="5"/>
      <c r="O67" s="5"/>
      <c r="P67" s="5"/>
      <c r="Q67" s="5"/>
      <c r="R67" s="5"/>
      <c r="S67" s="5"/>
      <c r="T67" s="374"/>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373"/>
      <c r="BF67" s="5"/>
      <c r="BG67" s="5"/>
      <c r="BH67" s="5"/>
      <c r="BI67" s="5"/>
      <c r="BJ67" s="5"/>
      <c r="BK67" s="5"/>
      <c r="BL67" s="5"/>
      <c r="BM67" s="5"/>
      <c r="BN67" s="5"/>
      <c r="BO67" s="5"/>
      <c r="BP67" s="5"/>
      <c r="BQ67" s="5"/>
      <c r="BR67" s="5"/>
      <c r="BS67" s="5"/>
      <c r="BT67" s="5"/>
      <c r="BU67" s="5"/>
      <c r="BV67" s="5"/>
      <c r="BW67" s="5"/>
      <c r="BX67" s="373"/>
      <c r="BY67" s="5"/>
      <c r="BZ67" s="5"/>
      <c r="CA67" s="5"/>
      <c r="CB67" s="5"/>
      <c r="CC67" s="5"/>
      <c r="CD67" s="5"/>
      <c r="CE67" s="5"/>
      <c r="CF67" s="5"/>
      <c r="CG67" s="5"/>
      <c r="CH67" s="5"/>
      <c r="CI67" s="5"/>
      <c r="CJ67" s="5"/>
      <c r="CK67" s="5"/>
      <c r="CL67" s="5"/>
      <c r="CM67" s="5"/>
      <c r="CN67" s="5"/>
      <c r="CO67" s="5"/>
      <c r="CP67" s="5"/>
      <c r="CQ67" s="5"/>
      <c r="CR67" s="5"/>
      <c r="CS67" s="5"/>
      <c r="CT67" s="5"/>
      <c r="CU67" s="5"/>
      <c r="CV67" s="5"/>
      <c r="CW67" s="372"/>
      <c r="CX67" s="5"/>
      <c r="CY67" s="5"/>
      <c r="CZ67" s="5"/>
      <c r="DA67" s="5"/>
      <c r="DB67" s="5"/>
      <c r="DC67" s="5"/>
      <c r="DD67" s="5"/>
      <c r="DE67" s="5"/>
      <c r="DF67" s="5"/>
      <c r="DG67" s="5"/>
      <c r="DH67" s="5"/>
      <c r="DI67" s="5"/>
      <c r="DJ67" s="5"/>
      <c r="DK67" s="5"/>
      <c r="DL67" s="5"/>
      <c r="DM67" s="5"/>
      <c r="DN67" s="5"/>
      <c r="DO67" s="5"/>
      <c r="DP67" s="5"/>
      <c r="DR67" s="372"/>
      <c r="DS67" s="5"/>
      <c r="DT67" s="5"/>
      <c r="DU67" s="5"/>
      <c r="DV67" s="5"/>
      <c r="DW67" s="5"/>
      <c r="DX67" s="5"/>
      <c r="DY67" s="5"/>
      <c r="DZ67" s="5"/>
      <c r="EA67" s="5"/>
      <c r="EB67" s="5"/>
      <c r="EC67" s="5"/>
      <c r="ED67" s="5"/>
      <c r="EE67" s="5"/>
      <c r="EF67" s="5"/>
      <c r="EG67" s="5"/>
      <c r="EH67" s="5"/>
      <c r="EI67" s="5"/>
      <c r="EJ67" s="5"/>
      <c r="EK67" s="5"/>
    </row>
    <row r="68" spans="1:141">
      <c r="A68" s="161" t="s">
        <v>889</v>
      </c>
      <c r="B68" s="5" t="s">
        <v>890</v>
      </c>
      <c r="C68" s="5"/>
      <c r="D68" s="5"/>
      <c r="E68" s="5"/>
      <c r="F68" s="5"/>
      <c r="G68" s="5"/>
      <c r="H68" s="5"/>
      <c r="I68" s="5"/>
      <c r="J68" s="5"/>
      <c r="K68" s="5"/>
      <c r="L68" s="5"/>
      <c r="M68" s="5"/>
      <c r="N68" s="5"/>
      <c r="O68" s="5"/>
      <c r="P68" s="5"/>
      <c r="Q68" s="5"/>
      <c r="R68" s="5"/>
      <c r="S68" s="5"/>
      <c r="T68" s="374"/>
      <c r="U68" s="5"/>
      <c r="V68" s="5"/>
      <c r="W68" s="5"/>
      <c r="X68" s="5"/>
      <c r="Y68" s="5"/>
      <c r="Z68" s="5"/>
      <c r="AA68" s="5"/>
      <c r="AB68" s="5"/>
      <c r="AC68" s="5"/>
      <c r="AD68" s="5"/>
      <c r="AE68" s="5"/>
      <c r="AF68" s="5"/>
      <c r="AG68" s="5"/>
      <c r="AH68" s="5"/>
      <c r="AI68" s="5"/>
      <c r="AJ68" s="5"/>
      <c r="AK68" s="5"/>
      <c r="AL68" s="5"/>
      <c r="AM68" s="161" t="s">
        <v>889</v>
      </c>
      <c r="AN68" s="5" t="s">
        <v>890</v>
      </c>
      <c r="AO68" s="5"/>
      <c r="AP68" s="5"/>
      <c r="AQ68" s="5"/>
      <c r="AR68" s="5"/>
      <c r="AS68" s="5"/>
      <c r="AT68" s="5"/>
      <c r="AU68" s="5"/>
      <c r="AV68" s="5"/>
      <c r="AW68" s="5"/>
      <c r="AX68" s="5"/>
      <c r="AY68" s="5"/>
      <c r="AZ68" s="5"/>
      <c r="BA68" s="5"/>
      <c r="BB68" s="5"/>
      <c r="BC68" s="5"/>
      <c r="BD68" s="5"/>
      <c r="BE68" s="373"/>
      <c r="BF68" s="161" t="s">
        <v>889</v>
      </c>
      <c r="BG68" s="5" t="s">
        <v>890</v>
      </c>
      <c r="BH68" s="5"/>
      <c r="BI68" s="5"/>
      <c r="BJ68" s="5"/>
      <c r="BK68" s="5"/>
      <c r="BL68" s="5"/>
      <c r="BM68" s="5"/>
      <c r="BN68" s="5"/>
      <c r="BO68" s="5"/>
      <c r="BP68" s="5"/>
      <c r="BQ68" s="5"/>
      <c r="BR68" s="5"/>
      <c r="BS68" s="5"/>
      <c r="BT68" s="5"/>
      <c r="BU68" s="5"/>
      <c r="BV68" s="5"/>
      <c r="BW68" s="5"/>
      <c r="BX68" s="373"/>
      <c r="BY68" s="5"/>
      <c r="BZ68" s="5"/>
      <c r="CA68" s="5"/>
      <c r="CB68" s="5"/>
      <c r="CC68" s="5"/>
      <c r="CD68" s="161"/>
      <c r="CE68" s="5"/>
      <c r="CF68" s="5"/>
      <c r="CG68" s="5"/>
      <c r="CH68" s="5"/>
      <c r="CI68" s="5"/>
      <c r="CJ68" s="5"/>
      <c r="CK68" s="5"/>
      <c r="CL68" s="5"/>
      <c r="CM68" s="5"/>
      <c r="CN68" s="5"/>
      <c r="CO68" s="5"/>
      <c r="CP68" s="5"/>
      <c r="CQ68" s="5"/>
      <c r="CR68" s="5"/>
      <c r="CS68" s="5"/>
      <c r="CT68" s="5"/>
      <c r="CU68" s="5"/>
      <c r="CV68" s="5"/>
      <c r="CW68" s="372"/>
      <c r="CX68" s="161"/>
      <c r="CY68" s="5"/>
      <c r="CZ68" s="5"/>
      <c r="DA68" s="5"/>
      <c r="DB68" s="5"/>
      <c r="DC68" s="5"/>
      <c r="DD68" s="5"/>
      <c r="DE68" s="5"/>
      <c r="DF68" s="5"/>
      <c r="DG68" s="5"/>
      <c r="DH68" s="5"/>
      <c r="DI68" s="5"/>
      <c r="DJ68" s="5"/>
      <c r="DK68" s="5"/>
      <c r="DL68" s="5"/>
      <c r="DM68" s="5"/>
      <c r="DN68" s="5"/>
      <c r="DO68" s="5"/>
      <c r="DP68" s="5"/>
      <c r="DR68" s="372"/>
      <c r="DS68" s="161"/>
      <c r="DT68" s="5"/>
      <c r="DU68" s="5"/>
      <c r="DV68" s="5"/>
      <c r="DW68" s="5"/>
      <c r="DX68" s="5"/>
      <c r="DY68" s="5"/>
      <c r="DZ68" s="5"/>
      <c r="EA68" s="5"/>
      <c r="EB68" s="5"/>
      <c r="EC68" s="5"/>
      <c r="ED68" s="5"/>
      <c r="EE68" s="5"/>
      <c r="EF68" s="5"/>
      <c r="EG68" s="5"/>
      <c r="EH68" s="5"/>
      <c r="EI68" s="5"/>
      <c r="EJ68" s="5"/>
      <c r="EK68" s="5"/>
    </row>
    <row r="69" spans="1:141" ht="15.6">
      <c r="A69" s="5"/>
      <c r="B69" s="374" t="s">
        <v>891</v>
      </c>
      <c r="C69" s="161" t="s">
        <v>63</v>
      </c>
      <c r="D69" s="375" t="s">
        <v>892</v>
      </c>
      <c r="E69" s="5"/>
      <c r="F69" s="5"/>
      <c r="G69" s="5" t="s">
        <v>854</v>
      </c>
      <c r="H69" s="5"/>
      <c r="I69" s="5"/>
      <c r="J69" s="5"/>
      <c r="K69" s="5"/>
      <c r="L69" s="5"/>
      <c r="M69" s="5"/>
      <c r="N69" s="5"/>
      <c r="O69" s="5"/>
      <c r="P69" s="5"/>
      <c r="Q69" s="5"/>
      <c r="R69" s="5"/>
      <c r="S69" s="5"/>
      <c r="T69" s="374"/>
      <c r="U69" s="374"/>
      <c r="V69" s="161"/>
      <c r="W69" s="375"/>
      <c r="X69" s="5"/>
      <c r="Y69" s="5"/>
      <c r="Z69" s="5"/>
      <c r="AA69" s="5"/>
      <c r="AB69" s="5"/>
      <c r="AC69" s="5"/>
      <c r="AD69" s="5"/>
      <c r="AE69" s="5"/>
      <c r="AF69" s="5"/>
      <c r="AG69" s="5"/>
      <c r="AH69" s="5"/>
      <c r="AI69" s="5"/>
      <c r="AJ69" s="5"/>
      <c r="AK69" s="5"/>
      <c r="AL69" s="5"/>
      <c r="AM69" s="5"/>
      <c r="AN69" s="374" t="s">
        <v>891</v>
      </c>
      <c r="AO69" s="161" t="s">
        <v>63</v>
      </c>
      <c r="AP69" s="375" t="s">
        <v>892</v>
      </c>
      <c r="AQ69" s="5"/>
      <c r="AR69" s="5"/>
      <c r="AS69" s="5" t="s">
        <v>854</v>
      </c>
      <c r="AT69" s="5"/>
      <c r="AU69" s="5"/>
      <c r="AV69" s="5"/>
      <c r="AW69" s="5"/>
      <c r="AX69" s="5"/>
      <c r="AY69" s="5"/>
      <c r="AZ69" s="5"/>
      <c r="BA69" s="5"/>
      <c r="BB69" s="5"/>
      <c r="BC69" s="5"/>
      <c r="BD69" s="5"/>
      <c r="BE69" s="373"/>
      <c r="BF69" s="5"/>
      <c r="BG69" s="374" t="s">
        <v>891</v>
      </c>
      <c r="BH69" s="161" t="s">
        <v>63</v>
      </c>
      <c r="BI69" s="375" t="s">
        <v>892</v>
      </c>
      <c r="BJ69" s="5"/>
      <c r="BK69" s="5"/>
      <c r="BL69" s="5" t="s">
        <v>854</v>
      </c>
      <c r="BM69" s="5"/>
      <c r="BN69" s="5"/>
      <c r="BO69" s="5"/>
      <c r="BP69" s="5"/>
      <c r="BQ69" s="5"/>
      <c r="BR69" s="5"/>
      <c r="BS69" s="5"/>
      <c r="BT69" s="5"/>
      <c r="BU69" s="5"/>
      <c r="BV69" s="5"/>
      <c r="BW69" s="5"/>
      <c r="BX69" s="373"/>
      <c r="BY69" s="5"/>
      <c r="BZ69" s="5"/>
      <c r="CA69" s="5"/>
      <c r="CB69" s="5"/>
      <c r="CC69" s="5"/>
      <c r="CD69" s="5"/>
      <c r="CE69" s="374"/>
      <c r="CF69" s="161"/>
      <c r="CG69" s="5"/>
      <c r="CH69" s="5"/>
      <c r="CI69" s="5"/>
      <c r="CJ69" s="5"/>
      <c r="CK69" s="5"/>
      <c r="CL69" s="5"/>
      <c r="CM69" s="5"/>
      <c r="CN69" s="5"/>
      <c r="CO69" s="5"/>
      <c r="CP69" s="5"/>
      <c r="CQ69" s="5"/>
      <c r="CR69" s="5"/>
      <c r="CS69" s="5"/>
      <c r="CT69" s="5"/>
      <c r="CU69" s="5"/>
      <c r="CV69" s="5"/>
      <c r="CW69" s="372"/>
      <c r="CX69" s="5"/>
      <c r="CY69" s="374"/>
      <c r="CZ69" s="161"/>
      <c r="DA69" s="5"/>
      <c r="DB69" s="5"/>
      <c r="DC69" s="5"/>
      <c r="DD69" s="5"/>
      <c r="DE69" s="5"/>
      <c r="DF69" s="5"/>
      <c r="DG69" s="5"/>
      <c r="DH69" s="5"/>
      <c r="DI69" s="5"/>
      <c r="DJ69" s="5"/>
      <c r="DK69" s="5"/>
      <c r="DL69" s="5"/>
      <c r="DM69" s="5"/>
      <c r="DN69" s="5"/>
      <c r="DO69" s="5"/>
      <c r="DP69" s="5"/>
      <c r="DR69" s="372"/>
      <c r="DS69" s="5"/>
      <c r="DT69" s="374"/>
      <c r="DU69" s="161"/>
      <c r="DV69" s="5"/>
      <c r="DW69" s="5"/>
      <c r="DX69" s="5"/>
      <c r="DY69" s="5"/>
      <c r="DZ69" s="5"/>
      <c r="EA69" s="5"/>
      <c r="EB69" s="5"/>
      <c r="EC69" s="5"/>
      <c r="ED69" s="5"/>
      <c r="EE69" s="5"/>
      <c r="EF69" s="5"/>
      <c r="EG69" s="5"/>
      <c r="EH69" s="5"/>
      <c r="EI69" s="5"/>
      <c r="EJ69" s="5"/>
      <c r="EK69" s="5"/>
    </row>
    <row r="70" spans="1:141" ht="15.6">
      <c r="A70" s="5"/>
      <c r="B70" s="5"/>
      <c r="C70" s="161" t="s">
        <v>63</v>
      </c>
      <c r="D70" s="5" t="s">
        <v>893</v>
      </c>
      <c r="E70" s="5"/>
      <c r="F70" s="5"/>
      <c r="G70" s="5"/>
      <c r="H70" s="5"/>
      <c r="I70" s="5"/>
      <c r="J70" s="5"/>
      <c r="K70" s="5"/>
      <c r="L70" s="5"/>
      <c r="M70" s="945" t="s">
        <v>872</v>
      </c>
      <c r="N70" s="945"/>
      <c r="O70" s="945"/>
      <c r="P70" s="945"/>
      <c r="Q70" s="945"/>
      <c r="R70" s="945"/>
      <c r="S70" s="945"/>
      <c r="T70" s="374"/>
      <c r="U70" s="5"/>
      <c r="V70" s="161"/>
      <c r="W70" s="5"/>
      <c r="X70" s="5"/>
      <c r="Y70" s="5"/>
      <c r="Z70" s="5"/>
      <c r="AA70" s="5"/>
      <c r="AB70" s="5"/>
      <c r="AC70" s="5"/>
      <c r="AD70" s="5"/>
      <c r="AE70" s="5"/>
      <c r="AF70" s="380"/>
      <c r="AG70" s="380"/>
      <c r="AH70" s="380"/>
      <c r="AI70" s="380"/>
      <c r="AJ70" s="380"/>
      <c r="AK70" s="380"/>
      <c r="AL70" s="380"/>
      <c r="AM70" s="5"/>
      <c r="AN70" s="5"/>
      <c r="AO70" s="161" t="s">
        <v>63</v>
      </c>
      <c r="AP70" s="5" t="s">
        <v>893</v>
      </c>
      <c r="AQ70" s="5"/>
      <c r="AR70" s="5"/>
      <c r="AS70" s="5"/>
      <c r="AT70" s="5"/>
      <c r="AU70" s="5"/>
      <c r="AV70" s="5"/>
      <c r="AW70" s="5"/>
      <c r="AX70" s="5"/>
      <c r="AY70" s="945" t="s">
        <v>872</v>
      </c>
      <c r="AZ70" s="945"/>
      <c r="BA70" s="945"/>
      <c r="BB70" s="945"/>
      <c r="BC70" s="945"/>
      <c r="BD70" s="945"/>
      <c r="BE70" s="945"/>
      <c r="BF70" s="5"/>
      <c r="BG70" s="5"/>
      <c r="BH70" s="161" t="s">
        <v>63</v>
      </c>
      <c r="BI70" s="5" t="s">
        <v>893</v>
      </c>
      <c r="BJ70" s="5"/>
      <c r="BK70" s="5"/>
      <c r="BL70" s="5"/>
      <c r="BM70" s="5"/>
      <c r="BN70" s="5"/>
      <c r="BO70" s="5"/>
      <c r="BP70" s="5"/>
      <c r="BQ70" s="5"/>
      <c r="BR70" s="945" t="s">
        <v>872</v>
      </c>
      <c r="BS70" s="945"/>
      <c r="BT70" s="945"/>
      <c r="BU70" s="945"/>
      <c r="BV70" s="945"/>
      <c r="BW70" s="945"/>
      <c r="BX70" s="945"/>
      <c r="BY70" s="378"/>
      <c r="BZ70" s="378"/>
      <c r="CA70" s="378"/>
      <c r="CB70" s="378"/>
      <c r="CC70" s="378"/>
      <c r="CD70" s="5"/>
      <c r="CE70" s="5"/>
      <c r="CF70" s="161"/>
      <c r="CG70" s="5"/>
      <c r="CH70" s="5"/>
      <c r="CI70" s="5"/>
      <c r="CJ70" s="5"/>
      <c r="CK70" s="5"/>
      <c r="CL70" s="5"/>
      <c r="CM70" s="5"/>
      <c r="CN70" s="5"/>
      <c r="CO70" s="5"/>
      <c r="CP70" s="5"/>
      <c r="CQ70" s="5"/>
      <c r="CR70" s="5"/>
      <c r="CS70" s="5"/>
      <c r="CT70" s="5"/>
      <c r="CU70" s="5"/>
      <c r="CV70" s="5"/>
      <c r="CW70" s="372"/>
      <c r="CX70" s="5"/>
      <c r="CY70" s="5"/>
      <c r="CZ70" s="161"/>
      <c r="DA70" s="5"/>
      <c r="DB70" s="5"/>
      <c r="DC70" s="5"/>
      <c r="DD70" s="5"/>
      <c r="DE70" s="5"/>
      <c r="DF70" s="5"/>
      <c r="DG70" s="5"/>
      <c r="DH70" s="5"/>
      <c r="DI70" s="5"/>
      <c r="DJ70" s="5"/>
      <c r="DK70" s="5"/>
      <c r="DL70" s="5"/>
      <c r="DM70" s="5"/>
      <c r="DN70" s="5"/>
      <c r="DO70" s="5"/>
      <c r="DP70" s="5"/>
      <c r="DR70" s="372"/>
      <c r="DS70" s="5"/>
      <c r="DT70" s="5"/>
      <c r="DU70" s="161"/>
      <c r="DV70" s="5"/>
      <c r="DW70" s="5"/>
      <c r="DX70" s="5"/>
      <c r="DY70" s="5"/>
      <c r="DZ70" s="5"/>
      <c r="EA70" s="5"/>
      <c r="EB70" s="5"/>
      <c r="EC70" s="5"/>
      <c r="ED70" s="5"/>
      <c r="EE70" s="5"/>
      <c r="EF70" s="5"/>
      <c r="EG70" s="5"/>
      <c r="EH70" s="5"/>
      <c r="EI70" s="5"/>
      <c r="EJ70" s="5"/>
      <c r="EK70" s="5"/>
    </row>
    <row r="71" spans="1:141">
      <c r="A71" s="5"/>
      <c r="B71" s="5"/>
      <c r="C71" s="161" t="s">
        <v>63</v>
      </c>
      <c r="D71" s="958">
        <f>0.1*D47</f>
        <v>33.430043076923077</v>
      </c>
      <c r="E71" s="958"/>
      <c r="F71" s="5" t="s">
        <v>361</v>
      </c>
      <c r="G71" s="5"/>
      <c r="H71" s="5"/>
      <c r="I71" s="5"/>
      <c r="J71" s="5"/>
      <c r="K71" s="5"/>
      <c r="L71" s="5"/>
      <c r="M71" s="945"/>
      <c r="N71" s="945"/>
      <c r="O71" s="945"/>
      <c r="P71" s="945"/>
      <c r="Q71" s="945"/>
      <c r="R71" s="945"/>
      <c r="S71" s="945"/>
      <c r="T71" s="374"/>
      <c r="U71" s="5"/>
      <c r="V71" s="161"/>
      <c r="W71" s="428"/>
      <c r="X71" s="428"/>
      <c r="Y71" s="5"/>
      <c r="Z71" s="5"/>
      <c r="AA71" s="5"/>
      <c r="AB71" s="5"/>
      <c r="AC71" s="5"/>
      <c r="AD71" s="5"/>
      <c r="AE71" s="5"/>
      <c r="AF71" s="380"/>
      <c r="AG71" s="380"/>
      <c r="AH71" s="380"/>
      <c r="AI71" s="380"/>
      <c r="AJ71" s="380"/>
      <c r="AK71" s="380"/>
      <c r="AL71" s="380"/>
      <c r="AM71" s="5"/>
      <c r="AN71" s="5"/>
      <c r="AO71" s="161" t="s">
        <v>63</v>
      </c>
      <c r="AP71" s="958">
        <f>0.15*AP47</f>
        <v>39.890680615384611</v>
      </c>
      <c r="AQ71" s="958"/>
      <c r="AR71" s="5" t="s">
        <v>361</v>
      </c>
      <c r="AS71" s="5"/>
      <c r="AT71" s="5"/>
      <c r="AU71" s="5"/>
      <c r="AV71" s="5"/>
      <c r="AW71" s="5"/>
      <c r="AX71" s="5"/>
      <c r="AY71" s="945"/>
      <c r="AZ71" s="945"/>
      <c r="BA71" s="945"/>
      <c r="BB71" s="945"/>
      <c r="BC71" s="945"/>
      <c r="BD71" s="945"/>
      <c r="BE71" s="945"/>
      <c r="BF71" s="5"/>
      <c r="BG71" s="5"/>
      <c r="BH71" s="161" t="s">
        <v>63</v>
      </c>
      <c r="BI71" s="958">
        <f>0.15*BI47</f>
        <v>44.082347884615388</v>
      </c>
      <c r="BJ71" s="958"/>
      <c r="BK71" s="5" t="s">
        <v>361</v>
      </c>
      <c r="BL71" s="5"/>
      <c r="BM71" s="5"/>
      <c r="BN71" s="5"/>
      <c r="BO71" s="5"/>
      <c r="BP71" s="5"/>
      <c r="BQ71" s="5"/>
      <c r="BR71" s="945"/>
      <c r="BS71" s="945"/>
      <c r="BT71" s="945"/>
      <c r="BU71" s="945"/>
      <c r="BV71" s="945"/>
      <c r="BW71" s="945"/>
      <c r="BX71" s="945"/>
      <c r="BY71" s="378"/>
      <c r="BZ71" s="378"/>
      <c r="CA71" s="378"/>
      <c r="CB71" s="378"/>
      <c r="CC71" s="378"/>
      <c r="CD71" s="5"/>
      <c r="CE71" s="5"/>
      <c r="CF71" s="161"/>
      <c r="CG71" s="385"/>
      <c r="CH71" s="385"/>
      <c r="CI71" s="5"/>
      <c r="CJ71" s="5"/>
      <c r="CK71" s="5"/>
      <c r="CL71" s="5"/>
      <c r="CM71" s="5"/>
      <c r="CN71" s="5"/>
      <c r="CO71" s="5"/>
      <c r="CP71" s="5"/>
      <c r="CQ71" s="5"/>
      <c r="CR71" s="5"/>
      <c r="CS71" s="5"/>
      <c r="CT71" s="5"/>
      <c r="CU71" s="5"/>
      <c r="CV71" s="5"/>
      <c r="CW71" s="372"/>
      <c r="CX71" s="5"/>
      <c r="CY71" s="5"/>
      <c r="CZ71" s="161"/>
      <c r="DA71" s="385"/>
      <c r="DB71" s="385"/>
      <c r="DC71" s="5"/>
      <c r="DD71" s="5"/>
      <c r="DE71" s="5"/>
      <c r="DF71" s="5"/>
      <c r="DG71" s="5"/>
      <c r="DH71" s="5"/>
      <c r="DI71" s="5"/>
      <c r="DJ71" s="5"/>
      <c r="DK71" s="5"/>
      <c r="DL71" s="5"/>
      <c r="DM71" s="5"/>
      <c r="DN71" s="5"/>
      <c r="DO71" s="5"/>
      <c r="DP71" s="5"/>
      <c r="DR71" s="372"/>
      <c r="DS71" s="5"/>
      <c r="DT71" s="5"/>
      <c r="DU71" s="161"/>
      <c r="DV71" s="957"/>
      <c r="DW71" s="957"/>
      <c r="DX71" s="5"/>
      <c r="DY71" s="5"/>
      <c r="DZ71" s="5"/>
      <c r="EA71" s="5"/>
      <c r="EB71" s="5"/>
      <c r="EC71" s="5"/>
      <c r="ED71" s="5"/>
      <c r="EE71" s="5"/>
      <c r="EF71" s="5"/>
      <c r="EG71" s="5"/>
      <c r="EH71" s="5"/>
      <c r="EI71" s="5"/>
      <c r="EJ71" s="5"/>
      <c r="EK71" s="5"/>
    </row>
    <row r="72" spans="1:141">
      <c r="A72" s="5"/>
      <c r="B72" s="5"/>
      <c r="C72" s="5"/>
      <c r="D72" s="5"/>
      <c r="E72" s="5"/>
      <c r="F72" s="5"/>
      <c r="G72" s="5"/>
      <c r="H72" s="5"/>
      <c r="I72" s="5"/>
      <c r="J72" s="5"/>
      <c r="K72" s="5"/>
      <c r="L72" s="5"/>
      <c r="M72" s="5"/>
      <c r="N72" s="5"/>
      <c r="O72" s="5"/>
      <c r="P72" s="5"/>
      <c r="Q72" s="5"/>
      <c r="R72" s="5"/>
      <c r="S72" s="5"/>
      <c r="T72" s="374"/>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373"/>
      <c r="BF72" s="5"/>
      <c r="BG72" s="5"/>
      <c r="BH72" s="5"/>
      <c r="BI72" s="5"/>
      <c r="BJ72" s="5"/>
      <c r="BK72" s="5"/>
      <c r="BL72" s="5"/>
      <c r="BM72" s="5"/>
      <c r="BN72" s="5"/>
      <c r="BO72" s="5"/>
      <c r="BP72" s="5"/>
      <c r="BQ72" s="5"/>
      <c r="BR72" s="5"/>
      <c r="BS72" s="5"/>
      <c r="BT72" s="5"/>
      <c r="BU72" s="5"/>
      <c r="BV72" s="5"/>
      <c r="BW72" s="5"/>
      <c r="BX72" s="373"/>
      <c r="BY72" s="5"/>
      <c r="BZ72" s="5"/>
      <c r="CA72" s="5"/>
      <c r="CB72" s="5"/>
      <c r="CC72" s="5"/>
      <c r="CD72" s="5"/>
      <c r="CE72" s="5"/>
      <c r="CF72" s="5"/>
      <c r="CG72" s="5"/>
      <c r="CH72" s="5"/>
      <c r="CI72" s="5"/>
      <c r="CJ72" s="5"/>
      <c r="CK72" s="5"/>
      <c r="CL72" s="5"/>
      <c r="CM72" s="5"/>
      <c r="CN72" s="5"/>
      <c r="CO72" s="5"/>
      <c r="CP72" s="5"/>
      <c r="CQ72" s="5"/>
      <c r="CR72" s="5"/>
      <c r="CS72" s="5"/>
      <c r="CT72" s="5"/>
      <c r="CU72" s="5"/>
      <c r="CV72" s="5"/>
      <c r="CW72" s="372"/>
      <c r="CX72" s="5"/>
      <c r="CY72" s="5"/>
      <c r="CZ72" s="5"/>
      <c r="DA72" s="5"/>
      <c r="DB72" s="5"/>
      <c r="DC72" s="5"/>
      <c r="DD72" s="5"/>
      <c r="DE72" s="5"/>
      <c r="DF72" s="5"/>
      <c r="DG72" s="5"/>
      <c r="DH72" s="5"/>
      <c r="DI72" s="5"/>
      <c r="DJ72" s="5"/>
      <c r="DK72" s="5"/>
      <c r="DL72" s="5"/>
      <c r="DM72" s="5"/>
      <c r="DN72" s="5"/>
      <c r="DO72" s="5"/>
      <c r="DP72" s="5"/>
      <c r="DR72" s="372"/>
      <c r="DS72" s="5"/>
      <c r="DT72" s="5"/>
      <c r="DU72" s="5"/>
      <c r="DV72" s="5"/>
      <c r="DW72" s="5"/>
      <c r="DX72" s="5"/>
      <c r="DY72" s="5"/>
      <c r="DZ72" s="5"/>
      <c r="EA72" s="5"/>
      <c r="EB72" s="5"/>
      <c r="EC72" s="5"/>
      <c r="ED72" s="5"/>
      <c r="EE72" s="5"/>
      <c r="EF72" s="5"/>
      <c r="EG72" s="5"/>
      <c r="EH72" s="5"/>
      <c r="EI72" s="5"/>
      <c r="EJ72" s="5"/>
      <c r="EK72" s="5"/>
    </row>
    <row r="73" spans="1:141">
      <c r="A73" s="161" t="s">
        <v>894</v>
      </c>
      <c r="B73" s="5" t="s">
        <v>895</v>
      </c>
      <c r="C73" s="5"/>
      <c r="D73" s="5"/>
      <c r="E73" s="5"/>
      <c r="F73" s="5"/>
      <c r="G73" s="5"/>
      <c r="H73" s="5"/>
      <c r="I73" s="5"/>
      <c r="J73" s="5"/>
      <c r="K73" s="5"/>
      <c r="L73" s="5"/>
      <c r="M73" s="5"/>
      <c r="N73" s="5"/>
      <c r="O73" s="5"/>
      <c r="P73" s="5"/>
      <c r="Q73" s="5"/>
      <c r="R73" s="5"/>
      <c r="S73" s="5"/>
      <c r="T73" s="374"/>
      <c r="U73" s="5"/>
      <c r="V73" s="5"/>
      <c r="W73" s="5"/>
      <c r="X73" s="5"/>
      <c r="Y73" s="5"/>
      <c r="Z73" s="5"/>
      <c r="AA73" s="5"/>
      <c r="AB73" s="5"/>
      <c r="AC73" s="5"/>
      <c r="AD73" s="5"/>
      <c r="AE73" s="5"/>
      <c r="AF73" s="5"/>
      <c r="AG73" s="5"/>
      <c r="AH73" s="5"/>
      <c r="AI73" s="5"/>
      <c r="AJ73" s="5"/>
      <c r="AK73" s="5"/>
      <c r="AL73" s="5"/>
      <c r="AM73" s="161" t="s">
        <v>894</v>
      </c>
      <c r="AN73" s="5" t="s">
        <v>895</v>
      </c>
      <c r="AO73" s="5"/>
      <c r="AP73" s="5"/>
      <c r="AQ73" s="5"/>
      <c r="AR73" s="5"/>
      <c r="AS73" s="5"/>
      <c r="AT73" s="5"/>
      <c r="AU73" s="5"/>
      <c r="AV73" s="5"/>
      <c r="AW73" s="5"/>
      <c r="AX73" s="5"/>
      <c r="AY73" s="5"/>
      <c r="AZ73" s="5"/>
      <c r="BA73" s="5"/>
      <c r="BB73" s="5"/>
      <c r="BC73" s="5"/>
      <c r="BD73" s="5"/>
      <c r="BE73" s="373"/>
      <c r="BF73" s="161" t="s">
        <v>894</v>
      </c>
      <c r="BG73" s="5" t="s">
        <v>895</v>
      </c>
      <c r="BH73" s="5"/>
      <c r="BI73" s="5"/>
      <c r="BJ73" s="5"/>
      <c r="BK73" s="5"/>
      <c r="BL73" s="5"/>
      <c r="BM73" s="5"/>
      <c r="BN73" s="5"/>
      <c r="BO73" s="5"/>
      <c r="BP73" s="5"/>
      <c r="BQ73" s="5"/>
      <c r="BR73" s="5"/>
      <c r="BS73" s="5"/>
      <c r="BT73" s="5"/>
      <c r="BU73" s="5"/>
      <c r="BV73" s="5"/>
      <c r="BW73" s="5"/>
      <c r="BX73" s="373"/>
      <c r="BY73" s="5"/>
      <c r="BZ73" s="5"/>
      <c r="CA73" s="5"/>
      <c r="CB73" s="5"/>
      <c r="CC73" s="5"/>
      <c r="CD73" s="161"/>
      <c r="CE73" s="5"/>
      <c r="CF73" s="5"/>
      <c r="CG73" s="5"/>
      <c r="CH73" s="5"/>
      <c r="CI73" s="5"/>
      <c r="CJ73" s="5"/>
      <c r="CK73" s="5"/>
      <c r="CL73" s="5"/>
      <c r="CM73" s="5"/>
      <c r="CN73" s="5"/>
      <c r="CO73" s="5"/>
      <c r="CP73" s="5"/>
      <c r="CQ73" s="5"/>
      <c r="CR73" s="5"/>
      <c r="CS73" s="5"/>
      <c r="CT73" s="5"/>
      <c r="CU73" s="5"/>
      <c r="CV73" s="5"/>
      <c r="CW73" s="372"/>
      <c r="CX73" s="161"/>
      <c r="CY73" s="5"/>
      <c r="CZ73" s="5"/>
      <c r="DA73" s="5"/>
      <c r="DB73" s="5"/>
      <c r="DC73" s="5"/>
      <c r="DD73" s="5"/>
      <c r="DE73" s="5"/>
      <c r="DF73" s="5"/>
      <c r="DG73" s="5"/>
      <c r="DH73" s="5"/>
      <c r="DI73" s="5"/>
      <c r="DJ73" s="5"/>
      <c r="DK73" s="5"/>
      <c r="DL73" s="5"/>
      <c r="DM73" s="5"/>
      <c r="DN73" s="5"/>
      <c r="DO73" s="5"/>
      <c r="DP73" s="5"/>
      <c r="DR73" s="372"/>
      <c r="DS73" s="161"/>
      <c r="DT73" s="5"/>
      <c r="DU73" s="5"/>
      <c r="DV73" s="5"/>
      <c r="DW73" s="5"/>
      <c r="DX73" s="5"/>
      <c r="DY73" s="5"/>
      <c r="DZ73" s="5"/>
      <c r="EA73" s="5"/>
      <c r="EB73" s="5"/>
      <c r="EC73" s="5"/>
      <c r="ED73" s="5"/>
      <c r="EE73" s="5"/>
      <c r="EF73" s="5"/>
      <c r="EG73" s="5"/>
      <c r="EH73" s="5"/>
      <c r="EI73" s="5"/>
      <c r="EJ73" s="5"/>
      <c r="EK73" s="5"/>
    </row>
    <row r="74" spans="1:141" ht="16.2">
      <c r="A74" s="5"/>
      <c r="B74" s="956" t="s">
        <v>896</v>
      </c>
      <c r="C74" s="956"/>
      <c r="D74" s="161" t="s">
        <v>63</v>
      </c>
      <c r="E74" s="5" t="s">
        <v>897</v>
      </c>
      <c r="F74" s="5"/>
      <c r="G74" s="5" t="s">
        <v>877</v>
      </c>
      <c r="H74" s="5"/>
      <c r="I74" s="5"/>
      <c r="J74" s="5"/>
      <c r="K74" s="5"/>
      <c r="L74" s="5"/>
      <c r="M74" s="5"/>
      <c r="N74" s="5"/>
      <c r="O74" s="5"/>
      <c r="P74" s="5"/>
      <c r="Q74" s="5"/>
      <c r="R74" s="5"/>
      <c r="S74" s="5"/>
      <c r="T74" s="374"/>
      <c r="U74" s="5"/>
      <c r="V74" s="5"/>
      <c r="W74" s="161"/>
      <c r="X74" s="5"/>
      <c r="Y74" s="5"/>
      <c r="Z74" s="5"/>
      <c r="AA74" s="5"/>
      <c r="AB74" s="5"/>
      <c r="AC74" s="5"/>
      <c r="AD74" s="5"/>
      <c r="AE74" s="5"/>
      <c r="AF74" s="5"/>
      <c r="AG74" s="5"/>
      <c r="AH74" s="5"/>
      <c r="AI74" s="5"/>
      <c r="AJ74" s="5"/>
      <c r="AK74" s="5"/>
      <c r="AL74" s="5"/>
      <c r="AM74" s="5"/>
      <c r="AN74" s="956" t="s">
        <v>896</v>
      </c>
      <c r="AO74" s="956"/>
      <c r="AP74" s="161" t="s">
        <v>63</v>
      </c>
      <c r="AQ74" s="5" t="s">
        <v>897</v>
      </c>
      <c r="AR74" s="5"/>
      <c r="AS74" s="5" t="s">
        <v>877</v>
      </c>
      <c r="AT74" s="5"/>
      <c r="AU74" s="5"/>
      <c r="AV74" s="5"/>
      <c r="AW74" s="5"/>
      <c r="AX74" s="5"/>
      <c r="AY74" s="5"/>
      <c r="AZ74" s="5"/>
      <c r="BA74" s="5"/>
      <c r="BB74" s="5"/>
      <c r="BC74" s="5"/>
      <c r="BD74" s="5"/>
      <c r="BE74" s="373"/>
      <c r="BF74" s="5"/>
      <c r="BG74" s="956" t="s">
        <v>896</v>
      </c>
      <c r="BH74" s="956"/>
      <c r="BI74" s="161" t="s">
        <v>63</v>
      </c>
      <c r="BJ74" s="5" t="s">
        <v>897</v>
      </c>
      <c r="BK74" s="5"/>
      <c r="BL74" s="5" t="s">
        <v>877</v>
      </c>
      <c r="BM74" s="5"/>
      <c r="BN74" s="5"/>
      <c r="BO74" s="5"/>
      <c r="BP74" s="5"/>
      <c r="BQ74" s="5"/>
      <c r="BR74" s="5"/>
      <c r="BS74" s="5"/>
      <c r="BT74" s="5"/>
      <c r="BU74" s="5"/>
      <c r="BV74" s="5"/>
      <c r="BW74" s="5"/>
      <c r="BX74" s="373"/>
      <c r="BY74" s="5"/>
      <c r="BZ74" s="5"/>
      <c r="CA74" s="5"/>
      <c r="CB74" s="5"/>
      <c r="CC74" s="5"/>
      <c r="CD74" s="5"/>
      <c r="CE74" s="5"/>
      <c r="CF74" s="5"/>
      <c r="CG74" s="161"/>
      <c r="CH74" s="5"/>
      <c r="CI74" s="5"/>
      <c r="CJ74" s="5"/>
      <c r="CK74" s="5"/>
      <c r="CL74" s="5"/>
      <c r="CM74" s="5"/>
      <c r="CN74" s="5"/>
      <c r="CO74" s="5"/>
      <c r="CP74" s="5"/>
      <c r="CQ74" s="5"/>
      <c r="CR74" s="5"/>
      <c r="CS74" s="5"/>
      <c r="CT74" s="5"/>
      <c r="CU74" s="5"/>
      <c r="CV74" s="5"/>
      <c r="CW74" s="372"/>
      <c r="CX74" s="5"/>
      <c r="CY74" s="5"/>
      <c r="CZ74" s="5"/>
      <c r="DA74" s="161"/>
      <c r="DB74" s="5"/>
      <c r="DC74" s="5"/>
      <c r="DD74" s="5"/>
      <c r="DE74" s="5"/>
      <c r="DF74" s="5"/>
      <c r="DG74" s="5"/>
      <c r="DH74" s="5"/>
      <c r="DI74" s="5"/>
      <c r="DJ74" s="5"/>
      <c r="DK74" s="5"/>
      <c r="DL74" s="5"/>
      <c r="DM74" s="5"/>
      <c r="DN74" s="5"/>
      <c r="DO74" s="5"/>
      <c r="DP74" s="5"/>
      <c r="DR74" s="372"/>
      <c r="DS74" s="5"/>
      <c r="DT74" s="956"/>
      <c r="DU74" s="956"/>
      <c r="DV74" s="161"/>
      <c r="DW74" s="5"/>
      <c r="DX74" s="5"/>
      <c r="DY74" s="5"/>
      <c r="DZ74" s="5"/>
      <c r="EA74" s="5"/>
      <c r="EB74" s="5"/>
      <c r="EC74" s="5"/>
      <c r="ED74" s="5"/>
      <c r="EE74" s="5"/>
      <c r="EF74" s="5"/>
      <c r="EG74" s="5"/>
      <c r="EH74" s="5"/>
      <c r="EI74" s="5"/>
      <c r="EJ74" s="5"/>
      <c r="EK74" s="5"/>
    </row>
    <row r="75" spans="1:141" ht="16.2">
      <c r="A75" s="5"/>
      <c r="B75" s="956" t="s">
        <v>898</v>
      </c>
      <c r="C75" s="956"/>
      <c r="D75" s="161" t="s">
        <v>63</v>
      </c>
      <c r="E75" s="374">
        <v>0.95</v>
      </c>
      <c r="G75" s="5" t="s">
        <v>899</v>
      </c>
      <c r="I75" s="5"/>
      <c r="J75" s="5"/>
      <c r="K75" s="5"/>
      <c r="L75" s="5"/>
      <c r="M75" s="5"/>
      <c r="N75" s="5"/>
      <c r="O75" s="5"/>
      <c r="P75" s="5"/>
      <c r="Q75" s="5"/>
      <c r="R75" s="5"/>
      <c r="S75" s="5"/>
      <c r="T75" s="374"/>
      <c r="U75" s="5"/>
      <c r="V75" s="5"/>
      <c r="W75" s="5"/>
      <c r="X75" s="5"/>
      <c r="Y75" s="5"/>
      <c r="Z75" s="5"/>
      <c r="AA75" s="5"/>
      <c r="AB75" s="5"/>
      <c r="AC75" s="5"/>
      <c r="AD75" s="5"/>
      <c r="AE75" s="5"/>
      <c r="AF75" s="5"/>
      <c r="AG75" s="5"/>
      <c r="AH75" s="5"/>
      <c r="AI75" s="5"/>
      <c r="AJ75" s="5"/>
      <c r="AK75" s="5"/>
      <c r="AL75" s="5"/>
      <c r="AM75" s="5"/>
      <c r="AN75" s="5" t="s">
        <v>878</v>
      </c>
      <c r="AO75" s="5"/>
      <c r="AP75" s="5"/>
      <c r="AQ75" s="5"/>
      <c r="AR75" s="716">
        <v>0.95</v>
      </c>
      <c r="AS75" s="716"/>
      <c r="AT75" s="5" t="s">
        <v>899</v>
      </c>
      <c r="AU75" s="5"/>
      <c r="AV75" s="5"/>
      <c r="AW75" s="5"/>
      <c r="AX75" s="5"/>
      <c r="AY75" s="5"/>
      <c r="AZ75" s="5"/>
      <c r="BA75" s="5"/>
      <c r="BB75" s="5"/>
      <c r="BC75" s="5"/>
      <c r="BD75" s="5"/>
      <c r="BE75" s="373"/>
      <c r="BF75" s="5"/>
      <c r="BG75" s="5" t="s">
        <v>878</v>
      </c>
      <c r="BH75" s="5"/>
      <c r="BI75" s="5"/>
      <c r="BJ75" s="5"/>
      <c r="BK75" s="716">
        <v>0.95</v>
      </c>
      <c r="BL75" s="716"/>
      <c r="BM75" s="5" t="s">
        <v>899</v>
      </c>
      <c r="BN75" s="5"/>
      <c r="BO75" s="5"/>
      <c r="BP75" s="5"/>
      <c r="BQ75" s="5"/>
      <c r="BR75" s="5"/>
      <c r="BS75" s="5"/>
      <c r="BT75" s="5"/>
      <c r="BU75" s="5"/>
      <c r="BV75" s="5"/>
      <c r="BW75" s="5"/>
      <c r="BX75" s="373"/>
      <c r="BY75" s="5"/>
      <c r="BZ75" s="5"/>
      <c r="CA75" s="5"/>
      <c r="CB75" s="5"/>
      <c r="CC75" s="5"/>
      <c r="CD75" s="5"/>
      <c r="CE75" s="5"/>
      <c r="CF75" s="5"/>
      <c r="CG75" s="5"/>
      <c r="CH75" s="5"/>
      <c r="CI75" s="5"/>
      <c r="CJ75" s="5"/>
      <c r="CK75" s="5"/>
      <c r="CL75" s="5"/>
      <c r="CM75" s="5"/>
      <c r="CN75" s="5"/>
      <c r="CO75" s="5"/>
      <c r="CP75" s="5"/>
      <c r="CQ75" s="5"/>
      <c r="CR75" s="5"/>
      <c r="CS75" s="5"/>
      <c r="CT75" s="5"/>
      <c r="CU75" s="5"/>
      <c r="CV75" s="5"/>
      <c r="CW75" s="372"/>
      <c r="CX75" s="5"/>
      <c r="CY75" s="5"/>
      <c r="CZ75" s="5"/>
      <c r="DA75" s="5"/>
      <c r="DB75" s="5"/>
      <c r="DC75" s="5"/>
      <c r="DD75" s="5"/>
      <c r="DE75" s="5"/>
      <c r="DF75" s="5"/>
      <c r="DG75" s="5"/>
      <c r="DH75" s="5"/>
      <c r="DI75" s="5"/>
      <c r="DJ75" s="5"/>
      <c r="DK75" s="5"/>
      <c r="DL75" s="5"/>
      <c r="DM75" s="5"/>
      <c r="DN75" s="5"/>
      <c r="DO75" s="5"/>
      <c r="DP75" s="5"/>
      <c r="DR75" s="372"/>
      <c r="DS75" s="5"/>
      <c r="DT75" s="5"/>
      <c r="DU75" s="5"/>
      <c r="DV75" s="5"/>
      <c r="DW75" s="5"/>
      <c r="DX75" s="716"/>
      <c r="DY75" s="716"/>
      <c r="DZ75" s="5"/>
      <c r="EA75" s="5"/>
      <c r="EB75" s="5"/>
      <c r="EC75" s="5"/>
      <c r="ED75" s="5"/>
      <c r="EE75" s="5"/>
      <c r="EF75" s="5"/>
      <c r="EG75" s="5"/>
      <c r="EH75" s="5"/>
      <c r="EI75" s="5"/>
      <c r="EJ75" s="5"/>
      <c r="EK75" s="5"/>
    </row>
    <row r="76" spans="1:141">
      <c r="A76" s="5"/>
      <c r="B76" s="5"/>
      <c r="C76" s="5"/>
      <c r="D76" s="5"/>
      <c r="E76" s="5"/>
      <c r="F76" s="5"/>
      <c r="G76" s="5"/>
      <c r="H76" s="5"/>
      <c r="I76" s="5"/>
      <c r="J76" s="5"/>
      <c r="K76" s="5"/>
      <c r="L76" s="5"/>
      <c r="M76" s="5"/>
      <c r="N76" s="5"/>
      <c r="O76" s="5"/>
      <c r="P76" s="5"/>
      <c r="Q76" s="5"/>
      <c r="R76" s="5"/>
      <c r="S76" s="5"/>
      <c r="T76" s="374"/>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373"/>
      <c r="BF76" s="5"/>
      <c r="BG76" s="5"/>
      <c r="BH76" s="5"/>
      <c r="BI76" s="5"/>
      <c r="BJ76" s="5"/>
      <c r="BK76" s="5"/>
      <c r="BL76" s="5"/>
      <c r="BM76" s="5"/>
      <c r="BN76" s="5"/>
      <c r="BO76" s="5"/>
      <c r="BP76" s="5"/>
      <c r="BQ76" s="5"/>
      <c r="BR76" s="5"/>
      <c r="BS76" s="5"/>
      <c r="BT76" s="5"/>
      <c r="BU76" s="5"/>
      <c r="BV76" s="5"/>
      <c r="BW76" s="5"/>
      <c r="BX76" s="373"/>
      <c r="BY76" s="5"/>
      <c r="BZ76" s="5"/>
      <c r="CA76" s="5"/>
      <c r="CB76" s="5"/>
      <c r="CC76" s="5"/>
      <c r="CD76" s="5"/>
      <c r="CE76" s="5"/>
      <c r="CF76" s="5"/>
      <c r="CG76" s="5"/>
      <c r="CH76" s="5"/>
      <c r="CI76" s="5"/>
      <c r="CJ76" s="5"/>
      <c r="CK76" s="5"/>
      <c r="CL76" s="5"/>
      <c r="CM76" s="5"/>
      <c r="CN76" s="5"/>
      <c r="CO76" s="5"/>
      <c r="CP76" s="5"/>
      <c r="CQ76" s="5"/>
      <c r="CR76" s="5"/>
      <c r="CS76" s="5"/>
      <c r="CT76" s="5"/>
      <c r="CU76" s="5"/>
      <c r="CV76" s="5"/>
      <c r="CW76" s="372"/>
      <c r="CX76" s="5"/>
      <c r="CY76" s="5"/>
      <c r="CZ76" s="5"/>
      <c r="DA76" s="5"/>
      <c r="DB76" s="5"/>
      <c r="DC76" s="5"/>
      <c r="DD76" s="5"/>
      <c r="DE76" s="5"/>
      <c r="DF76" s="5"/>
      <c r="DG76" s="5"/>
      <c r="DH76" s="5"/>
      <c r="DI76" s="5"/>
      <c r="DJ76" s="5"/>
      <c r="DK76" s="5"/>
      <c r="DL76" s="5"/>
      <c r="DM76" s="5"/>
      <c r="DN76" s="5"/>
      <c r="DO76" s="5"/>
      <c r="DP76" s="5"/>
      <c r="DR76" s="372"/>
      <c r="DS76" s="5"/>
      <c r="DT76" s="5"/>
      <c r="DU76" s="5"/>
      <c r="DV76" s="5"/>
      <c r="DW76" s="5"/>
      <c r="DX76" s="5"/>
      <c r="DY76" s="5"/>
      <c r="DZ76" s="5"/>
      <c r="EA76" s="5"/>
      <c r="EB76" s="5"/>
      <c r="EC76" s="5"/>
      <c r="ED76" s="5"/>
      <c r="EE76" s="5"/>
      <c r="EF76" s="5"/>
      <c r="EG76" s="5"/>
      <c r="EH76" s="5"/>
      <c r="EI76" s="5"/>
      <c r="EJ76" s="5"/>
      <c r="EK76" s="5"/>
    </row>
    <row r="77" spans="1:141" ht="16.2">
      <c r="A77" s="5"/>
      <c r="B77" s="956" t="s">
        <v>896</v>
      </c>
      <c r="C77" s="956"/>
      <c r="D77" s="161" t="s">
        <v>63</v>
      </c>
      <c r="E77" s="5" t="s">
        <v>897</v>
      </c>
      <c r="F77" s="5"/>
      <c r="G77" s="5" t="s">
        <v>877</v>
      </c>
      <c r="H77" s="5"/>
      <c r="I77" s="5"/>
      <c r="J77" s="5"/>
      <c r="K77" s="5"/>
      <c r="L77" s="5"/>
      <c r="M77" s="945" t="s">
        <v>872</v>
      </c>
      <c r="N77" s="945"/>
      <c r="O77" s="945"/>
      <c r="P77" s="945"/>
      <c r="Q77" s="945"/>
      <c r="R77" s="945"/>
      <c r="S77" s="945"/>
      <c r="T77" s="374"/>
      <c r="U77" s="5"/>
      <c r="V77" s="5"/>
      <c r="W77" s="161"/>
      <c r="X77" s="5"/>
      <c r="Y77" s="5"/>
      <c r="Z77" s="5"/>
      <c r="AA77" s="5"/>
      <c r="AB77" s="5"/>
      <c r="AC77" s="5"/>
      <c r="AD77" s="5"/>
      <c r="AE77" s="5"/>
      <c r="AF77" s="380"/>
      <c r="AG77" s="380"/>
      <c r="AH77" s="380"/>
      <c r="AI77" s="380"/>
      <c r="AJ77" s="380"/>
      <c r="AK77" s="380"/>
      <c r="AL77" s="380"/>
      <c r="AM77" s="5"/>
      <c r="AN77" s="956" t="s">
        <v>896</v>
      </c>
      <c r="AO77" s="956"/>
      <c r="AP77" s="161" t="s">
        <v>63</v>
      </c>
      <c r="AQ77" s="5" t="s">
        <v>897</v>
      </c>
      <c r="AR77" s="5"/>
      <c r="AS77" s="5" t="s">
        <v>877</v>
      </c>
      <c r="AT77" s="5"/>
      <c r="AU77" s="5"/>
      <c r="AV77" s="5"/>
      <c r="AW77" s="5"/>
      <c r="AX77" s="5"/>
      <c r="AY77" s="945" t="s">
        <v>872</v>
      </c>
      <c r="AZ77" s="945"/>
      <c r="BA77" s="945"/>
      <c r="BB77" s="945"/>
      <c r="BC77" s="945"/>
      <c r="BD77" s="945"/>
      <c r="BE77" s="945"/>
      <c r="BF77" s="5"/>
      <c r="BG77" s="956" t="s">
        <v>896</v>
      </c>
      <c r="BH77" s="956"/>
      <c r="BI77" s="161" t="s">
        <v>63</v>
      </c>
      <c r="BJ77" s="5" t="s">
        <v>897</v>
      </c>
      <c r="BK77" s="5"/>
      <c r="BL77" s="5" t="s">
        <v>877</v>
      </c>
      <c r="BM77" s="5"/>
      <c r="BN77" s="5"/>
      <c r="BO77" s="5"/>
      <c r="BP77" s="5"/>
      <c r="BQ77" s="5"/>
      <c r="BR77" s="945" t="s">
        <v>872</v>
      </c>
      <c r="BS77" s="945"/>
      <c r="BT77" s="945"/>
      <c r="BU77" s="945"/>
      <c r="BV77" s="945"/>
      <c r="BW77" s="945"/>
      <c r="BX77" s="945"/>
      <c r="BY77" s="378"/>
      <c r="BZ77" s="378"/>
      <c r="CA77" s="378"/>
      <c r="CB77" s="378"/>
      <c r="CC77" s="378"/>
      <c r="CD77" s="5"/>
      <c r="CE77" s="5"/>
      <c r="CF77" s="5"/>
      <c r="CG77" s="161"/>
      <c r="CH77" s="5"/>
      <c r="CI77" s="5"/>
      <c r="CJ77" s="5"/>
      <c r="CK77" s="5"/>
      <c r="CL77" s="5"/>
      <c r="CM77" s="5"/>
      <c r="CN77" s="5"/>
      <c r="CO77" s="5"/>
      <c r="CP77" s="5"/>
      <c r="CQ77" s="5"/>
      <c r="CR77" s="5"/>
      <c r="CS77" s="5"/>
      <c r="CT77" s="5"/>
      <c r="CU77" s="5"/>
      <c r="CV77" s="5"/>
      <c r="CW77" s="372"/>
      <c r="CX77" s="5"/>
      <c r="CY77" s="5"/>
      <c r="CZ77" s="5"/>
      <c r="DA77" s="161"/>
      <c r="DB77" s="5"/>
      <c r="DC77" s="5"/>
      <c r="DD77" s="5"/>
      <c r="DE77" s="5"/>
      <c r="DF77" s="5"/>
      <c r="DG77" s="5"/>
      <c r="DH77" s="5"/>
      <c r="DI77" s="5"/>
      <c r="DJ77" s="5"/>
      <c r="DK77" s="5"/>
      <c r="DL77" s="5"/>
      <c r="DM77" s="5"/>
      <c r="DN77" s="5"/>
      <c r="DO77" s="5"/>
      <c r="DP77" s="5"/>
      <c r="DR77" s="372"/>
      <c r="DS77" s="5"/>
      <c r="DT77" s="956"/>
      <c r="DU77" s="956"/>
      <c r="DV77" s="161"/>
      <c r="DW77" s="5"/>
      <c r="DX77" s="5"/>
      <c r="DY77" s="5"/>
      <c r="DZ77" s="5"/>
      <c r="EA77" s="5"/>
      <c r="EB77" s="5"/>
      <c r="EC77" s="5"/>
      <c r="ED77" s="5"/>
      <c r="EE77" s="5"/>
      <c r="EF77" s="5"/>
      <c r="EG77" s="5"/>
      <c r="EH77" s="5"/>
      <c r="EI77" s="5"/>
      <c r="EJ77" s="5"/>
      <c r="EK77" s="5"/>
    </row>
    <row r="78" spans="1:141" ht="16.2">
      <c r="A78" s="5"/>
      <c r="B78" s="5"/>
      <c r="C78" s="5"/>
      <c r="D78" s="161" t="s">
        <v>63</v>
      </c>
      <c r="E78" s="889">
        <f>D71/E75</f>
        <v>35.189519028340079</v>
      </c>
      <c r="F78" s="889"/>
      <c r="G78" s="5" t="s">
        <v>877</v>
      </c>
      <c r="H78" s="5"/>
      <c r="I78" s="5"/>
      <c r="J78" s="5"/>
      <c r="K78" s="5"/>
      <c r="L78" s="5"/>
      <c r="M78" s="945"/>
      <c r="N78" s="945"/>
      <c r="O78" s="945"/>
      <c r="P78" s="945"/>
      <c r="Q78" s="945"/>
      <c r="R78" s="945"/>
      <c r="S78" s="945"/>
      <c r="T78" s="374"/>
      <c r="U78" s="5"/>
      <c r="V78" s="5"/>
      <c r="W78" s="161"/>
      <c r="X78" s="386"/>
      <c r="Y78" s="386"/>
      <c r="Z78" s="5"/>
      <c r="AA78" s="5"/>
      <c r="AB78" s="5"/>
      <c r="AC78" s="5"/>
      <c r="AD78" s="5"/>
      <c r="AE78" s="5"/>
      <c r="AF78" s="380"/>
      <c r="AG78" s="380"/>
      <c r="AH78" s="380"/>
      <c r="AI78" s="380"/>
      <c r="AJ78" s="380"/>
      <c r="AK78" s="380"/>
      <c r="AL78" s="380"/>
      <c r="AM78" s="5"/>
      <c r="AN78" s="5"/>
      <c r="AO78" s="5"/>
      <c r="AP78" s="161" t="s">
        <v>63</v>
      </c>
      <c r="AQ78" s="889">
        <f>AP71/AR75</f>
        <v>41.990190121457488</v>
      </c>
      <c r="AR78" s="889"/>
      <c r="AS78" s="5" t="s">
        <v>877</v>
      </c>
      <c r="AT78" s="5"/>
      <c r="AU78" s="5"/>
      <c r="AV78" s="5"/>
      <c r="AW78" s="5"/>
      <c r="AX78" s="5"/>
      <c r="AY78" s="945"/>
      <c r="AZ78" s="945"/>
      <c r="BA78" s="945"/>
      <c r="BB78" s="945"/>
      <c r="BC78" s="945"/>
      <c r="BD78" s="945"/>
      <c r="BE78" s="945"/>
      <c r="BF78" s="5"/>
      <c r="BG78" s="5"/>
      <c r="BH78" s="5"/>
      <c r="BI78" s="161" t="s">
        <v>63</v>
      </c>
      <c r="BJ78" s="889">
        <f>BI71/BK75</f>
        <v>46.402471457489881</v>
      </c>
      <c r="BK78" s="889"/>
      <c r="BL78" s="5" t="s">
        <v>877</v>
      </c>
      <c r="BM78" s="5"/>
      <c r="BN78" s="5"/>
      <c r="BO78" s="5"/>
      <c r="BP78" s="5"/>
      <c r="BQ78" s="5"/>
      <c r="BR78" s="945"/>
      <c r="BS78" s="945"/>
      <c r="BT78" s="945"/>
      <c r="BU78" s="945"/>
      <c r="BV78" s="945"/>
      <c r="BW78" s="945"/>
      <c r="BX78" s="945"/>
      <c r="BY78" s="378"/>
      <c r="BZ78" s="378"/>
      <c r="CA78" s="378"/>
      <c r="CB78" s="378"/>
      <c r="CC78" s="378"/>
      <c r="CD78" s="5"/>
      <c r="CE78" s="5"/>
      <c r="CF78" s="5"/>
      <c r="CG78" s="161"/>
      <c r="CH78" s="386"/>
      <c r="CI78" s="386"/>
      <c r="CJ78" s="5"/>
      <c r="CK78" s="5"/>
      <c r="CL78" s="5"/>
      <c r="CM78" s="5"/>
      <c r="CN78" s="5"/>
      <c r="CO78" s="5"/>
      <c r="CP78" s="5"/>
      <c r="CQ78" s="5"/>
      <c r="CR78" s="5"/>
      <c r="CS78" s="5"/>
      <c r="CT78" s="5"/>
      <c r="CU78" s="5"/>
      <c r="CV78" s="5"/>
      <c r="CW78" s="372"/>
      <c r="CX78" s="5"/>
      <c r="CY78" s="5"/>
      <c r="CZ78" s="5"/>
      <c r="DA78" s="161"/>
      <c r="DB78" s="386"/>
      <c r="DC78" s="386"/>
      <c r="DD78" s="5"/>
      <c r="DE78" s="5"/>
      <c r="DF78" s="5"/>
      <c r="DG78" s="5"/>
      <c r="DH78" s="5"/>
      <c r="DI78" s="5"/>
      <c r="DJ78" s="5"/>
      <c r="DK78" s="5"/>
      <c r="DL78" s="5"/>
      <c r="DM78" s="5"/>
      <c r="DN78" s="5"/>
      <c r="DO78" s="5"/>
      <c r="DP78" s="5"/>
      <c r="DR78" s="372"/>
      <c r="DS78" s="5"/>
      <c r="DT78" s="5"/>
      <c r="DU78" s="5"/>
      <c r="DV78" s="161"/>
      <c r="DW78" s="889"/>
      <c r="DX78" s="889"/>
      <c r="DY78" s="5"/>
      <c r="DZ78" s="5"/>
      <c r="EA78" s="5"/>
      <c r="EB78" s="5"/>
      <c r="EC78" s="5"/>
      <c r="ED78" s="5"/>
      <c r="EE78" s="5"/>
      <c r="EF78" s="5"/>
      <c r="EG78" s="5"/>
      <c r="EH78" s="5"/>
      <c r="EI78" s="5"/>
      <c r="EJ78" s="5"/>
      <c r="EK78" s="5"/>
    </row>
    <row r="79" spans="1:141">
      <c r="A79" s="5"/>
      <c r="B79" s="5"/>
      <c r="C79" s="5"/>
      <c r="D79" s="161" t="s">
        <v>63</v>
      </c>
      <c r="E79" s="954">
        <f>E78*1000</f>
        <v>35189.519028340081</v>
      </c>
      <c r="F79" s="954"/>
      <c r="G79" s="5" t="s">
        <v>879</v>
      </c>
      <c r="H79" s="5"/>
      <c r="I79" s="5"/>
      <c r="J79" s="5"/>
      <c r="K79" s="5"/>
      <c r="L79" s="5"/>
      <c r="M79" s="5"/>
      <c r="N79" s="5"/>
      <c r="O79" s="5"/>
      <c r="P79" s="5"/>
      <c r="Q79" s="5"/>
      <c r="R79" s="5"/>
      <c r="S79" s="5"/>
      <c r="T79" s="374"/>
      <c r="U79" s="5"/>
      <c r="V79" s="5"/>
      <c r="W79" s="161"/>
      <c r="X79" s="429"/>
      <c r="Y79" s="429"/>
      <c r="Z79" s="5"/>
      <c r="AA79" s="5"/>
      <c r="AB79" s="5"/>
      <c r="AC79" s="5"/>
      <c r="AD79" s="5"/>
      <c r="AE79" s="5"/>
      <c r="AF79" s="5"/>
      <c r="AG79" s="5"/>
      <c r="AH79" s="5"/>
      <c r="AI79" s="5"/>
      <c r="AJ79" s="5"/>
      <c r="AK79" s="5"/>
      <c r="AL79" s="5"/>
      <c r="AM79" s="5"/>
      <c r="AN79" s="5"/>
      <c r="AO79" s="5"/>
      <c r="AP79" s="161" t="s">
        <v>63</v>
      </c>
      <c r="AQ79" s="954">
        <f>AQ78*1000</f>
        <v>41990.19012145749</v>
      </c>
      <c r="AR79" s="954"/>
      <c r="AS79" s="5" t="s">
        <v>879</v>
      </c>
      <c r="AT79" s="5"/>
      <c r="AU79" s="5"/>
      <c r="AV79" s="5"/>
      <c r="AW79" s="5"/>
      <c r="AX79" s="5"/>
      <c r="AY79" s="5"/>
      <c r="AZ79" s="5"/>
      <c r="BA79" s="5"/>
      <c r="BB79" s="5"/>
      <c r="BC79" s="5"/>
      <c r="BD79" s="5"/>
      <c r="BE79" s="373"/>
      <c r="BF79" s="5"/>
      <c r="BG79" s="5"/>
      <c r="BH79" s="5"/>
      <c r="BI79" s="161" t="s">
        <v>63</v>
      </c>
      <c r="BJ79" s="954">
        <f>BJ78*1000</f>
        <v>46402.471457489883</v>
      </c>
      <c r="BK79" s="954"/>
      <c r="BL79" s="5" t="s">
        <v>879</v>
      </c>
      <c r="BM79" s="5"/>
      <c r="BN79" s="5"/>
      <c r="BO79" s="5"/>
      <c r="BP79" s="5"/>
      <c r="BQ79" s="5"/>
      <c r="BR79" s="5"/>
      <c r="BS79" s="5"/>
      <c r="BT79" s="5"/>
      <c r="BU79" s="5"/>
      <c r="BV79" s="5"/>
      <c r="BW79" s="5"/>
      <c r="BX79" s="373"/>
      <c r="BY79" s="5"/>
      <c r="BZ79" s="5"/>
      <c r="CA79" s="5"/>
      <c r="CB79" s="5"/>
      <c r="CC79" s="5"/>
      <c r="CD79" s="5"/>
      <c r="CE79" s="5"/>
      <c r="CF79" s="5"/>
      <c r="CG79" s="161"/>
      <c r="CH79" s="387"/>
      <c r="CI79" s="387"/>
      <c r="CJ79" s="5"/>
      <c r="CK79" s="5"/>
      <c r="CL79" s="5"/>
      <c r="CM79" s="5"/>
      <c r="CN79" s="5"/>
      <c r="CO79" s="5"/>
      <c r="CP79" s="5"/>
      <c r="CQ79" s="5"/>
      <c r="CR79" s="5"/>
      <c r="CS79" s="5"/>
      <c r="CT79" s="5"/>
      <c r="CU79" s="5"/>
      <c r="CV79" s="5"/>
      <c r="CW79" s="372"/>
      <c r="CX79" s="5"/>
      <c r="CY79" s="5"/>
      <c r="CZ79" s="5"/>
      <c r="DA79" s="161"/>
      <c r="DB79" s="387"/>
      <c r="DC79" s="387"/>
      <c r="DD79" s="5"/>
      <c r="DE79" s="5"/>
      <c r="DF79" s="5"/>
      <c r="DG79" s="5"/>
      <c r="DH79" s="5"/>
      <c r="DI79" s="5"/>
      <c r="DJ79" s="5"/>
      <c r="DK79" s="5"/>
      <c r="DL79" s="5"/>
      <c r="DM79" s="5"/>
      <c r="DN79" s="5"/>
      <c r="DO79" s="5"/>
      <c r="DP79" s="5"/>
      <c r="DR79" s="372"/>
      <c r="DS79" s="5"/>
      <c r="DT79" s="5"/>
      <c r="DU79" s="5"/>
      <c r="DV79" s="161"/>
      <c r="DW79" s="955"/>
      <c r="DX79" s="955"/>
      <c r="DY79" s="5"/>
      <c r="DZ79" s="5"/>
      <c r="EA79" s="5"/>
      <c r="EB79" s="5"/>
      <c r="EC79" s="5"/>
      <c r="ED79" s="5"/>
      <c r="EE79" s="5"/>
      <c r="EF79" s="5"/>
      <c r="EG79" s="5"/>
      <c r="EH79" s="5"/>
      <c r="EI79" s="5"/>
      <c r="EJ79" s="5"/>
      <c r="EK79" s="5"/>
    </row>
    <row r="80" spans="1:141">
      <c r="A80" s="5"/>
      <c r="B80" s="5"/>
      <c r="C80" s="5"/>
      <c r="D80" s="5"/>
      <c r="E80" s="5"/>
      <c r="F80" s="5"/>
      <c r="G80" s="5"/>
      <c r="H80" s="5"/>
      <c r="I80" s="5"/>
      <c r="J80" s="5"/>
      <c r="K80" s="5"/>
      <c r="L80" s="5"/>
      <c r="M80" s="5"/>
      <c r="N80" s="5"/>
      <c r="O80" s="5"/>
      <c r="P80" s="5"/>
      <c r="Q80" s="5"/>
      <c r="R80" s="5"/>
      <c r="S80" s="5"/>
      <c r="T80" s="374"/>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373"/>
      <c r="BF80" s="5"/>
      <c r="BG80" s="5"/>
      <c r="BH80" s="5"/>
      <c r="BI80" s="5"/>
      <c r="BJ80" s="5"/>
      <c r="BK80" s="5"/>
      <c r="BL80" s="5"/>
      <c r="BM80" s="5"/>
      <c r="BN80" s="5"/>
      <c r="BO80" s="5"/>
      <c r="BP80" s="5"/>
      <c r="BQ80" s="5"/>
      <c r="BR80" s="5"/>
      <c r="BS80" s="5"/>
      <c r="BT80" s="5"/>
      <c r="BU80" s="5"/>
      <c r="BV80" s="5"/>
      <c r="BW80" s="5"/>
      <c r="BX80" s="373"/>
      <c r="BY80" s="5"/>
      <c r="BZ80" s="5"/>
      <c r="CA80" s="5"/>
      <c r="CB80" s="5"/>
      <c r="CC80" s="5"/>
      <c r="CD80" s="5"/>
      <c r="CE80" s="5"/>
      <c r="CF80" s="5"/>
      <c r="CG80" s="5"/>
      <c r="CH80" s="5"/>
      <c r="CI80" s="5"/>
      <c r="CJ80" s="5"/>
      <c r="CK80" s="5"/>
      <c r="CL80" s="5"/>
      <c r="CM80" s="5"/>
      <c r="CN80" s="5"/>
      <c r="CO80" s="5"/>
      <c r="CP80" s="5"/>
      <c r="CQ80" s="5"/>
      <c r="CR80" s="5"/>
      <c r="CS80" s="5"/>
      <c r="CT80" s="5"/>
      <c r="CU80" s="5"/>
      <c r="CV80" s="5"/>
      <c r="CW80" s="372"/>
      <c r="CX80" s="5"/>
      <c r="CY80" s="5"/>
      <c r="CZ80" s="5"/>
      <c r="DA80" s="5"/>
      <c r="DB80" s="5"/>
      <c r="DC80" s="5"/>
      <c r="DD80" s="5"/>
      <c r="DE80" s="5"/>
      <c r="DF80" s="5"/>
      <c r="DG80" s="5"/>
      <c r="DH80" s="5"/>
      <c r="DI80" s="5"/>
      <c r="DJ80" s="5"/>
      <c r="DK80" s="5"/>
      <c r="DL80" s="5"/>
      <c r="DM80" s="5"/>
      <c r="DN80" s="5"/>
      <c r="DO80" s="5"/>
      <c r="DP80" s="5"/>
      <c r="DR80" s="372"/>
      <c r="DS80" s="5"/>
      <c r="DT80" s="5"/>
      <c r="DU80" s="5"/>
      <c r="DV80" s="5"/>
      <c r="DW80" s="5"/>
      <c r="DX80" s="5"/>
      <c r="DY80" s="5"/>
      <c r="DZ80" s="5"/>
      <c r="EA80" s="5"/>
      <c r="EB80" s="5"/>
      <c r="EC80" s="5"/>
      <c r="ED80" s="5"/>
      <c r="EE80" s="5"/>
      <c r="EF80" s="5"/>
      <c r="EG80" s="5"/>
      <c r="EH80" s="5"/>
      <c r="EI80" s="5"/>
      <c r="EJ80" s="5"/>
      <c r="EK80" s="5"/>
    </row>
    <row r="81" spans="1:141">
      <c r="A81" s="5"/>
      <c r="B81" s="5"/>
      <c r="C81" s="5"/>
      <c r="D81" s="5"/>
      <c r="E81" s="5"/>
      <c r="F81" s="5"/>
      <c r="G81" s="5"/>
      <c r="H81" s="5"/>
      <c r="I81" s="5"/>
      <c r="J81" s="5"/>
      <c r="K81" s="5"/>
      <c r="L81" s="5"/>
      <c r="M81" s="5"/>
      <c r="N81" s="5"/>
      <c r="O81" s="5"/>
      <c r="P81" s="5"/>
      <c r="Q81" s="5"/>
      <c r="R81" s="5"/>
      <c r="S81" s="5"/>
      <c r="T81" s="374"/>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373"/>
      <c r="BF81" s="5"/>
      <c r="BG81" s="5"/>
      <c r="BH81" s="5"/>
      <c r="BI81" s="5"/>
      <c r="BJ81" s="5"/>
      <c r="BK81" s="5"/>
      <c r="BL81" s="5"/>
      <c r="BM81" s="5"/>
      <c r="BN81" s="5"/>
      <c r="BO81" s="5"/>
      <c r="BP81" s="5"/>
      <c r="BQ81" s="5"/>
      <c r="BR81" s="5"/>
      <c r="BS81" s="5"/>
      <c r="BT81" s="5"/>
      <c r="BU81" s="5"/>
      <c r="BV81" s="5"/>
      <c r="BW81" s="5"/>
      <c r="BX81" s="373"/>
      <c r="BY81" s="5"/>
      <c r="BZ81" s="5"/>
      <c r="CA81" s="5"/>
      <c r="CB81" s="5"/>
      <c r="CC81" s="5"/>
      <c r="CD81" s="5"/>
      <c r="CE81" s="5"/>
      <c r="CF81" s="5"/>
      <c r="CG81" s="5"/>
      <c r="CH81" s="5"/>
      <c r="CI81" s="5"/>
      <c r="CJ81" s="5"/>
      <c r="CK81" s="5"/>
      <c r="CL81" s="5"/>
      <c r="CM81" s="5"/>
      <c r="CN81" s="5"/>
      <c r="CO81" s="5"/>
      <c r="CP81" s="5"/>
      <c r="CQ81" s="5"/>
      <c r="CR81" s="5"/>
      <c r="CS81" s="5"/>
      <c r="CT81" s="5"/>
      <c r="CU81" s="5"/>
      <c r="CV81" s="5"/>
      <c r="CW81" s="372"/>
      <c r="CX81" s="5"/>
      <c r="CY81" s="5"/>
      <c r="CZ81" s="5"/>
      <c r="DA81" s="5"/>
      <c r="DB81" s="5"/>
      <c r="DC81" s="5"/>
      <c r="DD81" s="5"/>
      <c r="DE81" s="5"/>
      <c r="DF81" s="5"/>
      <c r="DG81" s="5"/>
      <c r="DH81" s="5"/>
      <c r="DI81" s="5"/>
      <c r="DJ81" s="5"/>
      <c r="DK81" s="5"/>
      <c r="DL81" s="5"/>
      <c r="DM81" s="5"/>
      <c r="DN81" s="5"/>
      <c r="DO81" s="5"/>
      <c r="DP81" s="5"/>
      <c r="DR81" s="372"/>
      <c r="DS81" s="5"/>
      <c r="DT81" s="5"/>
      <c r="DU81" s="5"/>
      <c r="DV81" s="5"/>
      <c r="DW81" s="5"/>
      <c r="DX81" s="5"/>
      <c r="DY81" s="5"/>
      <c r="DZ81" s="5"/>
      <c r="EA81" s="5"/>
      <c r="EB81" s="5"/>
      <c r="EC81" s="5"/>
      <c r="ED81" s="5"/>
      <c r="EE81" s="5"/>
      <c r="EF81" s="5"/>
      <c r="EG81" s="5"/>
      <c r="EH81" s="5"/>
      <c r="EI81" s="5"/>
      <c r="EJ81" s="5"/>
      <c r="EK81" s="5"/>
    </row>
    <row r="82" spans="1:141">
      <c r="A82" s="5"/>
      <c r="B82" s="5"/>
      <c r="C82" s="5"/>
      <c r="D82" s="5"/>
      <c r="E82" s="5"/>
      <c r="F82" s="5"/>
      <c r="G82" s="5"/>
      <c r="H82" s="5"/>
      <c r="I82" s="5"/>
      <c r="J82" s="5"/>
      <c r="K82" s="5"/>
      <c r="L82" s="5"/>
      <c r="M82" s="5"/>
      <c r="N82" s="5"/>
      <c r="O82" s="5"/>
      <c r="P82" s="5"/>
      <c r="Q82" s="5"/>
      <c r="R82" s="5"/>
      <c r="S82" s="5"/>
      <c r="T82" s="374"/>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373"/>
      <c r="BF82" s="5"/>
      <c r="BG82" s="5"/>
      <c r="BH82" s="5"/>
      <c r="BI82" s="5"/>
      <c r="BJ82" s="5"/>
      <c r="BK82" s="5"/>
      <c r="BL82" s="5"/>
      <c r="BM82" s="5"/>
      <c r="BN82" s="5"/>
      <c r="BO82" s="5"/>
      <c r="BP82" s="5"/>
      <c r="BQ82" s="5"/>
      <c r="BR82" s="5"/>
      <c r="BS82" s="5"/>
      <c r="BT82" s="5"/>
      <c r="BU82" s="5"/>
      <c r="BV82" s="5"/>
      <c r="BW82" s="5"/>
      <c r="BX82" s="373"/>
      <c r="BY82" s="5"/>
      <c r="BZ82" s="5"/>
      <c r="CA82" s="5"/>
      <c r="CB82" s="5"/>
      <c r="CC82" s="5"/>
      <c r="CD82" s="5"/>
      <c r="CE82" s="5"/>
      <c r="CF82" s="5"/>
      <c r="CG82" s="5"/>
      <c r="CH82" s="5"/>
      <c r="CI82" s="5"/>
      <c r="CJ82" s="5"/>
      <c r="CK82" s="5"/>
      <c r="CL82" s="5"/>
      <c r="CM82" s="5"/>
      <c r="CN82" s="5"/>
      <c r="CO82" s="5"/>
      <c r="CP82" s="5"/>
      <c r="CQ82" s="5"/>
      <c r="CR82" s="5"/>
      <c r="CS82" s="5"/>
      <c r="CT82" s="5"/>
      <c r="CU82" s="5"/>
      <c r="CV82" s="5"/>
      <c r="CW82" s="372"/>
      <c r="CX82" s="5"/>
      <c r="CY82" s="5"/>
      <c r="CZ82" s="5"/>
      <c r="DA82" s="5"/>
      <c r="DB82" s="5"/>
      <c r="DC82" s="5"/>
      <c r="DD82" s="5"/>
      <c r="DE82" s="5"/>
      <c r="DF82" s="5"/>
      <c r="DG82" s="5"/>
      <c r="DH82" s="5"/>
      <c r="DI82" s="5"/>
      <c r="DJ82" s="5"/>
      <c r="DK82" s="5"/>
      <c r="DL82" s="5"/>
      <c r="DM82" s="5"/>
      <c r="DN82" s="5"/>
      <c r="DO82" s="5"/>
      <c r="DP82" s="5"/>
      <c r="DR82" s="372"/>
      <c r="DS82" s="5"/>
      <c r="DT82" s="5"/>
      <c r="DU82" s="5"/>
      <c r="DV82" s="5"/>
      <c r="DW82" s="5"/>
      <c r="DX82" s="5"/>
      <c r="DY82" s="5"/>
      <c r="DZ82" s="5"/>
      <c r="EA82" s="5"/>
      <c r="EB82" s="5"/>
      <c r="EC82" s="5"/>
      <c r="ED82" s="5"/>
      <c r="EE82" s="5"/>
      <c r="EF82" s="5"/>
      <c r="EG82" s="5"/>
      <c r="EH82" s="5"/>
      <c r="EI82" s="5"/>
      <c r="EJ82" s="5"/>
      <c r="EK82" s="5"/>
    </row>
    <row r="83" spans="1:141">
      <c r="A83" s="161" t="s">
        <v>900</v>
      </c>
      <c r="B83" s="5" t="s">
        <v>901</v>
      </c>
      <c r="C83" s="5"/>
      <c r="D83" s="5"/>
      <c r="E83" s="5"/>
      <c r="F83" s="5"/>
      <c r="G83" s="5"/>
      <c r="H83" s="5"/>
      <c r="I83" s="5"/>
      <c r="J83" s="5"/>
      <c r="K83" s="5"/>
      <c r="L83" s="5"/>
      <c r="M83" s="5"/>
      <c r="N83" s="5"/>
      <c r="O83" s="5"/>
      <c r="P83" s="5"/>
      <c r="Q83" s="5"/>
      <c r="R83" s="5"/>
      <c r="S83" s="5"/>
      <c r="T83" s="374"/>
      <c r="U83" s="5"/>
      <c r="V83" s="5"/>
      <c r="W83" s="5"/>
      <c r="X83" s="5"/>
      <c r="Y83" s="5"/>
      <c r="Z83" s="5"/>
      <c r="AA83" s="5"/>
      <c r="AB83" s="5"/>
      <c r="AC83" s="5"/>
      <c r="AD83" s="5"/>
      <c r="AE83" s="5"/>
      <c r="AF83" s="5"/>
      <c r="AG83" s="5"/>
      <c r="AH83" s="5"/>
      <c r="AI83" s="5"/>
      <c r="AJ83" s="5"/>
      <c r="AK83" s="5"/>
      <c r="AL83" s="5"/>
      <c r="AM83" s="161" t="s">
        <v>900</v>
      </c>
      <c r="AN83" s="5" t="s">
        <v>901</v>
      </c>
      <c r="AO83" s="5"/>
      <c r="AP83" s="5"/>
      <c r="AQ83" s="5"/>
      <c r="AR83" s="5"/>
      <c r="AS83" s="5"/>
      <c r="AT83" s="5"/>
      <c r="AU83" s="5"/>
      <c r="AV83" s="5"/>
      <c r="AW83" s="5"/>
      <c r="AX83" s="5"/>
      <c r="AY83" s="5"/>
      <c r="AZ83" s="5"/>
      <c r="BA83" s="5"/>
      <c r="BB83" s="5"/>
      <c r="BC83" s="5"/>
      <c r="BD83" s="5"/>
      <c r="BE83" s="373"/>
      <c r="BF83" s="161" t="s">
        <v>900</v>
      </c>
      <c r="BG83" s="5" t="s">
        <v>901</v>
      </c>
      <c r="BH83" s="5"/>
      <c r="BI83" s="5"/>
      <c r="BJ83" s="5"/>
      <c r="BK83" s="5"/>
      <c r="BL83" s="5"/>
      <c r="BM83" s="5"/>
      <c r="BN83" s="5"/>
      <c r="BO83" s="5"/>
      <c r="BP83" s="5"/>
      <c r="BQ83" s="5"/>
      <c r="BR83" s="5"/>
      <c r="BS83" s="5"/>
      <c r="BT83" s="5"/>
      <c r="BU83" s="5"/>
      <c r="BV83" s="5"/>
      <c r="BW83" s="5"/>
      <c r="BX83" s="373"/>
      <c r="BY83" s="5"/>
      <c r="BZ83" s="5"/>
      <c r="CA83" s="5"/>
      <c r="CB83" s="5"/>
      <c r="CC83" s="5"/>
      <c r="CD83" s="161"/>
      <c r="CE83" s="5"/>
      <c r="CF83" s="5"/>
      <c r="CG83" s="5"/>
      <c r="CH83" s="5"/>
      <c r="CI83" s="5"/>
      <c r="CJ83" s="5"/>
      <c r="CK83" s="5"/>
      <c r="CL83" s="5"/>
      <c r="CM83" s="5"/>
      <c r="CN83" s="5"/>
      <c r="CO83" s="5"/>
      <c r="CP83" s="5"/>
      <c r="CQ83" s="5"/>
      <c r="CR83" s="5"/>
      <c r="CS83" s="5"/>
      <c r="CT83" s="5"/>
      <c r="CU83" s="5"/>
      <c r="CV83" s="5"/>
      <c r="CW83" s="372"/>
      <c r="CX83" s="161"/>
      <c r="CY83" s="5"/>
      <c r="CZ83" s="5"/>
      <c r="DA83" s="5"/>
      <c r="DB83" s="5"/>
      <c r="DC83" s="5"/>
      <c r="DD83" s="5"/>
      <c r="DE83" s="5"/>
      <c r="DF83" s="5"/>
      <c r="DG83" s="5"/>
      <c r="DH83" s="5"/>
      <c r="DI83" s="5"/>
      <c r="DJ83" s="5"/>
      <c r="DK83" s="5"/>
      <c r="DL83" s="5"/>
      <c r="DM83" s="5"/>
      <c r="DN83" s="5"/>
      <c r="DO83" s="5"/>
      <c r="DP83" s="5"/>
      <c r="DR83" s="372"/>
      <c r="DS83" s="161"/>
      <c r="DT83" s="5"/>
      <c r="DU83" s="5"/>
      <c r="DV83" s="5"/>
      <c r="DW83" s="5"/>
      <c r="DX83" s="5"/>
      <c r="DY83" s="5"/>
      <c r="DZ83" s="5"/>
      <c r="EA83" s="5"/>
      <c r="EB83" s="5"/>
      <c r="EC83" s="5"/>
      <c r="ED83" s="5"/>
      <c r="EE83" s="5"/>
      <c r="EF83" s="5"/>
      <c r="EG83" s="5"/>
      <c r="EH83" s="5"/>
      <c r="EI83" s="5"/>
      <c r="EJ83" s="5"/>
      <c r="EK83" s="5"/>
    </row>
    <row r="84" spans="1:141" ht="15.6">
      <c r="A84" s="5"/>
      <c r="B84" s="5" t="s">
        <v>902</v>
      </c>
      <c r="C84" s="5"/>
      <c r="D84" s="5"/>
      <c r="E84" s="161" t="s">
        <v>63</v>
      </c>
      <c r="F84" s="5" t="s">
        <v>903</v>
      </c>
      <c r="G84" s="5"/>
      <c r="H84" s="5"/>
      <c r="I84" s="5"/>
      <c r="J84" s="5"/>
      <c r="K84" s="5"/>
      <c r="L84" s="5"/>
      <c r="M84" s="5"/>
      <c r="N84" s="5"/>
      <c r="O84" s="5"/>
      <c r="P84" s="5"/>
      <c r="Q84" s="5"/>
      <c r="R84" s="5"/>
      <c r="S84" s="5"/>
      <c r="T84" s="374"/>
      <c r="U84" s="5"/>
      <c r="V84" s="5"/>
      <c r="W84" s="5"/>
      <c r="X84" s="161"/>
      <c r="Y84" s="5"/>
      <c r="Z84" s="5"/>
      <c r="AA84" s="5"/>
      <c r="AB84" s="5"/>
      <c r="AC84" s="5"/>
      <c r="AD84" s="5"/>
      <c r="AE84" s="5"/>
      <c r="AF84" s="5"/>
      <c r="AG84" s="5"/>
      <c r="AH84" s="5"/>
      <c r="AI84" s="5"/>
      <c r="AJ84" s="5"/>
      <c r="AK84" s="5"/>
      <c r="AL84" s="5"/>
      <c r="AM84" s="5"/>
      <c r="AN84" s="5" t="s">
        <v>902</v>
      </c>
      <c r="AO84" s="5"/>
      <c r="AP84" s="5"/>
      <c r="AQ84" s="161" t="s">
        <v>63</v>
      </c>
      <c r="AR84" s="5" t="s">
        <v>903</v>
      </c>
      <c r="AS84" s="5"/>
      <c r="AT84" s="5"/>
      <c r="AU84" s="5"/>
      <c r="AV84" s="5"/>
      <c r="AW84" s="5"/>
      <c r="AX84" s="5"/>
      <c r="AY84" s="5"/>
      <c r="AZ84" s="5"/>
      <c r="BA84" s="5"/>
      <c r="BB84" s="5"/>
      <c r="BC84" s="5"/>
      <c r="BD84" s="5"/>
      <c r="BE84" s="373"/>
      <c r="BF84" s="5"/>
      <c r="BG84" s="5" t="s">
        <v>902</v>
      </c>
      <c r="BH84" s="5"/>
      <c r="BI84" s="5"/>
      <c r="BJ84" s="161" t="s">
        <v>63</v>
      </c>
      <c r="BK84" s="5" t="s">
        <v>903</v>
      </c>
      <c r="BL84" s="5"/>
      <c r="BM84" s="5"/>
      <c r="BN84" s="5"/>
      <c r="BO84" s="5"/>
      <c r="BP84" s="5"/>
      <c r="BQ84" s="5"/>
      <c r="BR84" s="5"/>
      <c r="BS84" s="5"/>
      <c r="BT84" s="5"/>
      <c r="BU84" s="5"/>
      <c r="BV84" s="5"/>
      <c r="BW84" s="5"/>
      <c r="BX84" s="373"/>
      <c r="BY84" s="5"/>
      <c r="BZ84" s="5"/>
      <c r="CA84" s="5"/>
      <c r="CB84" s="5"/>
      <c r="CC84" s="5"/>
      <c r="CD84" s="5"/>
      <c r="CE84" s="5"/>
      <c r="CF84" s="5"/>
      <c r="CG84" s="5"/>
      <c r="CH84" s="161"/>
      <c r="CI84" s="5"/>
      <c r="CJ84" s="5"/>
      <c r="CK84" s="5"/>
      <c r="CL84" s="5"/>
      <c r="CM84" s="5"/>
      <c r="CN84" s="5"/>
      <c r="CO84" s="5"/>
      <c r="CP84" s="5"/>
      <c r="CQ84" s="5"/>
      <c r="CR84" s="5"/>
      <c r="CS84" s="5"/>
      <c r="CT84" s="5"/>
      <c r="CU84" s="5"/>
      <c r="CV84" s="5"/>
      <c r="CW84" s="372"/>
      <c r="CX84" s="5"/>
      <c r="CY84" s="5"/>
      <c r="CZ84" s="5"/>
      <c r="DA84" s="5"/>
      <c r="DB84" s="161"/>
      <c r="DC84" s="5"/>
      <c r="DD84" s="5"/>
      <c r="DE84" s="5"/>
      <c r="DF84" s="5"/>
      <c r="DG84" s="5"/>
      <c r="DH84" s="5"/>
      <c r="DI84" s="5"/>
      <c r="DJ84" s="5"/>
      <c r="DK84" s="5"/>
      <c r="DL84" s="5"/>
      <c r="DM84" s="5"/>
      <c r="DN84" s="5"/>
      <c r="DO84" s="5"/>
      <c r="DP84" s="5"/>
      <c r="DR84" s="372"/>
      <c r="DS84" s="5"/>
      <c r="DT84" s="5"/>
      <c r="DU84" s="5"/>
      <c r="DV84" s="5"/>
      <c r="DW84" s="161"/>
      <c r="DX84" s="5"/>
      <c r="DY84" s="5"/>
      <c r="DZ84" s="5"/>
      <c r="EA84" s="5"/>
      <c r="EB84" s="5"/>
      <c r="EC84" s="5"/>
      <c r="ED84" s="5"/>
      <c r="EE84" s="5"/>
      <c r="EF84" s="5"/>
      <c r="EG84" s="5"/>
      <c r="EH84" s="5"/>
      <c r="EI84" s="5"/>
      <c r="EJ84" s="5"/>
      <c r="EK84" s="5"/>
    </row>
    <row r="85" spans="1:141" ht="16.2">
      <c r="A85" s="5"/>
      <c r="B85" s="5"/>
      <c r="C85" s="5"/>
      <c r="D85" s="5"/>
      <c r="E85" s="161" t="s">
        <v>63</v>
      </c>
      <c r="F85" s="889">
        <f>104%*E78</f>
        <v>36.597099789473681</v>
      </c>
      <c r="G85" s="889"/>
      <c r="H85" s="5" t="s">
        <v>877</v>
      </c>
      <c r="I85" s="5"/>
      <c r="J85" s="5"/>
      <c r="K85" s="5"/>
      <c r="L85" s="5"/>
      <c r="M85" s="945" t="s">
        <v>872</v>
      </c>
      <c r="N85" s="945"/>
      <c r="O85" s="945"/>
      <c r="P85" s="945"/>
      <c r="Q85" s="945"/>
      <c r="R85" s="945"/>
      <c r="S85" s="945"/>
      <c r="T85" s="374"/>
      <c r="U85" s="5"/>
      <c r="V85" s="5"/>
      <c r="W85" s="5"/>
      <c r="X85" s="161"/>
      <c r="Y85" s="386"/>
      <c r="Z85" s="386"/>
      <c r="AA85" s="5"/>
      <c r="AB85" s="5"/>
      <c r="AC85" s="5"/>
      <c r="AD85" s="5"/>
      <c r="AE85" s="5"/>
      <c r="AF85" s="380"/>
      <c r="AG85" s="380"/>
      <c r="AH85" s="380"/>
      <c r="AI85" s="380"/>
      <c r="AJ85" s="380"/>
      <c r="AK85" s="380"/>
      <c r="AL85" s="380"/>
      <c r="AM85" s="5"/>
      <c r="AN85" s="5"/>
      <c r="AO85" s="5"/>
      <c r="AP85" s="5"/>
      <c r="AQ85" s="161" t="s">
        <v>63</v>
      </c>
      <c r="AR85" s="889">
        <f>104%*AQ78</f>
        <v>43.669797726315785</v>
      </c>
      <c r="AS85" s="889"/>
      <c r="AT85" s="5" t="s">
        <v>877</v>
      </c>
      <c r="AU85" s="5"/>
      <c r="AV85" s="5"/>
      <c r="AW85" s="5"/>
      <c r="AX85" s="5"/>
      <c r="AY85" s="945" t="s">
        <v>872</v>
      </c>
      <c r="AZ85" s="945"/>
      <c r="BA85" s="945"/>
      <c r="BB85" s="945"/>
      <c r="BC85" s="945"/>
      <c r="BD85" s="945"/>
      <c r="BE85" s="945"/>
      <c r="BF85" s="5"/>
      <c r="BG85" s="5"/>
      <c r="BH85" s="5"/>
      <c r="BI85" s="5"/>
      <c r="BJ85" s="161" t="s">
        <v>63</v>
      </c>
      <c r="BK85" s="889">
        <f>104%*BJ78</f>
        <v>48.258570315789477</v>
      </c>
      <c r="BL85" s="889"/>
      <c r="BM85" s="5" t="s">
        <v>877</v>
      </c>
      <c r="BN85" s="5"/>
      <c r="BO85" s="5"/>
      <c r="BP85" s="5"/>
      <c r="BQ85" s="5"/>
      <c r="BR85" s="945" t="s">
        <v>872</v>
      </c>
      <c r="BS85" s="945"/>
      <c r="BT85" s="945"/>
      <c r="BU85" s="945"/>
      <c r="BV85" s="945"/>
      <c r="BW85" s="945"/>
      <c r="BX85" s="945"/>
      <c r="BY85" s="378"/>
      <c r="BZ85" s="378"/>
      <c r="CA85" s="378"/>
      <c r="CB85" s="378"/>
      <c r="CC85" s="378"/>
      <c r="CD85" s="5"/>
      <c r="CE85" s="5"/>
      <c r="CF85" s="5"/>
      <c r="CG85" s="5"/>
      <c r="CH85" s="161"/>
      <c r="CI85" s="386"/>
      <c r="CJ85" s="386"/>
      <c r="CK85" s="5"/>
      <c r="CL85" s="5"/>
      <c r="CM85" s="5"/>
      <c r="CN85" s="5"/>
      <c r="CO85" s="5"/>
      <c r="CP85" s="5"/>
      <c r="CQ85" s="5"/>
      <c r="CR85" s="5"/>
      <c r="CS85" s="5"/>
      <c r="CT85" s="5"/>
      <c r="CU85" s="5"/>
      <c r="CV85" s="5"/>
      <c r="CW85" s="372"/>
      <c r="CX85" s="5"/>
      <c r="CY85" s="5"/>
      <c r="CZ85" s="5"/>
      <c r="DA85" s="5"/>
      <c r="DB85" s="161"/>
      <c r="DC85" s="386"/>
      <c r="DD85" s="386"/>
      <c r="DE85" s="5"/>
      <c r="DF85" s="5"/>
      <c r="DG85" s="5"/>
      <c r="DH85" s="5"/>
      <c r="DI85" s="5"/>
      <c r="DJ85" s="5"/>
      <c r="DK85" s="5"/>
      <c r="DL85" s="5"/>
      <c r="DM85" s="5"/>
      <c r="DN85" s="5"/>
      <c r="DO85" s="5"/>
      <c r="DP85" s="5"/>
      <c r="DR85" s="372"/>
      <c r="DS85" s="5"/>
      <c r="DT85" s="5"/>
      <c r="DU85" s="5"/>
      <c r="DV85" s="5"/>
      <c r="DW85" s="161"/>
      <c r="DX85" s="889"/>
      <c r="DY85" s="889"/>
      <c r="DZ85" s="5"/>
      <c r="EA85" s="5"/>
      <c r="EB85" s="5"/>
      <c r="EC85" s="5"/>
      <c r="ED85" s="5"/>
      <c r="EE85" s="5"/>
      <c r="EF85" s="5"/>
      <c r="EG85" s="5"/>
      <c r="EH85" s="5"/>
      <c r="EI85" s="5"/>
      <c r="EJ85" s="5"/>
      <c r="EK85" s="5"/>
    </row>
    <row r="86" spans="1:141">
      <c r="A86" s="5"/>
      <c r="B86" s="5"/>
      <c r="C86" s="5"/>
      <c r="D86" s="5"/>
      <c r="E86" s="161" t="s">
        <v>63</v>
      </c>
      <c r="F86" s="954">
        <f>104%*E79</f>
        <v>36597.099789473687</v>
      </c>
      <c r="G86" s="954"/>
      <c r="H86" s="5" t="s">
        <v>879</v>
      </c>
      <c r="I86" s="5"/>
      <c r="J86" s="5"/>
      <c r="K86" s="5"/>
      <c r="L86" s="5"/>
      <c r="M86" s="945"/>
      <c r="N86" s="945"/>
      <c r="O86" s="945"/>
      <c r="P86" s="945"/>
      <c r="Q86" s="945"/>
      <c r="R86" s="945"/>
      <c r="S86" s="945"/>
      <c r="T86" s="374"/>
      <c r="U86" s="5"/>
      <c r="V86" s="5"/>
      <c r="W86" s="5"/>
      <c r="X86" s="161"/>
      <c r="Y86" s="429"/>
      <c r="Z86" s="429"/>
      <c r="AA86" s="5"/>
      <c r="AB86" s="5"/>
      <c r="AC86" s="5"/>
      <c r="AD86" s="5"/>
      <c r="AE86" s="5"/>
      <c r="AF86" s="380"/>
      <c r="AG86" s="380"/>
      <c r="AH86" s="380"/>
      <c r="AI86" s="380"/>
      <c r="AJ86" s="380"/>
      <c r="AK86" s="380"/>
      <c r="AL86" s="380"/>
      <c r="AM86" s="5"/>
      <c r="AN86" s="5"/>
      <c r="AO86" s="5"/>
      <c r="AP86" s="5"/>
      <c r="AQ86" s="161" t="s">
        <v>63</v>
      </c>
      <c r="AR86" s="954">
        <f>104%*AQ79</f>
        <v>43669.797726315788</v>
      </c>
      <c r="AS86" s="954"/>
      <c r="AT86" s="5" t="s">
        <v>879</v>
      </c>
      <c r="AU86" s="5"/>
      <c r="AV86" s="5"/>
      <c r="AW86" s="5"/>
      <c r="AX86" s="5"/>
      <c r="AY86" s="945"/>
      <c r="AZ86" s="945"/>
      <c r="BA86" s="945"/>
      <c r="BB86" s="945"/>
      <c r="BC86" s="945"/>
      <c r="BD86" s="945"/>
      <c r="BE86" s="945"/>
      <c r="BF86" s="5"/>
      <c r="BG86" s="5"/>
      <c r="BH86" s="5"/>
      <c r="BI86" s="5"/>
      <c r="BJ86" s="161" t="s">
        <v>63</v>
      </c>
      <c r="BK86" s="954">
        <f>104%*BJ79</f>
        <v>48258.570315789482</v>
      </c>
      <c r="BL86" s="954"/>
      <c r="BM86" s="5" t="s">
        <v>879</v>
      </c>
      <c r="BN86" s="5"/>
      <c r="BO86" s="5"/>
      <c r="BP86" s="5"/>
      <c r="BQ86" s="5"/>
      <c r="BR86" s="945"/>
      <c r="BS86" s="945"/>
      <c r="BT86" s="945"/>
      <c r="BU86" s="945"/>
      <c r="BV86" s="945"/>
      <c r="BW86" s="945"/>
      <c r="BX86" s="945"/>
      <c r="BY86" s="378"/>
      <c r="BZ86" s="378"/>
      <c r="CA86" s="378"/>
      <c r="CB86" s="378"/>
      <c r="CC86" s="378"/>
      <c r="CD86" s="5"/>
      <c r="CE86" s="5"/>
      <c r="CF86" s="5"/>
      <c r="CG86" s="5"/>
      <c r="CH86" s="161"/>
      <c r="CI86" s="388"/>
      <c r="CJ86" s="388"/>
      <c r="CK86" s="5"/>
      <c r="CL86" s="5"/>
      <c r="CM86" s="5"/>
      <c r="CN86" s="5"/>
      <c r="CO86" s="5"/>
      <c r="CP86" s="5"/>
      <c r="CQ86" s="5"/>
      <c r="CR86" s="5"/>
      <c r="CS86" s="5"/>
      <c r="CT86" s="5"/>
      <c r="CU86" s="5"/>
      <c r="CV86" s="5"/>
      <c r="CW86" s="372"/>
      <c r="CX86" s="5"/>
      <c r="CY86" s="5"/>
      <c r="CZ86" s="5"/>
      <c r="DA86" s="5"/>
      <c r="DB86" s="161"/>
      <c r="DC86" s="388"/>
      <c r="DD86" s="388"/>
      <c r="DE86" s="5"/>
      <c r="DF86" s="5"/>
      <c r="DG86" s="5"/>
      <c r="DH86" s="5"/>
      <c r="DI86" s="5"/>
      <c r="DJ86" s="5"/>
      <c r="DK86" s="5"/>
      <c r="DL86" s="5"/>
      <c r="DM86" s="5"/>
      <c r="DN86" s="5"/>
      <c r="DO86" s="5"/>
      <c r="DP86" s="5"/>
      <c r="DR86" s="372"/>
      <c r="DS86" s="5"/>
      <c r="DT86" s="5"/>
      <c r="DU86" s="5"/>
      <c r="DV86" s="5"/>
      <c r="DW86" s="161"/>
      <c r="DX86" s="951"/>
      <c r="DY86" s="951"/>
      <c r="DZ86" s="5"/>
      <c r="EA86" s="5"/>
      <c r="EB86" s="5"/>
      <c r="EC86" s="5"/>
      <c r="ED86" s="5"/>
      <c r="EE86" s="5"/>
      <c r="EF86" s="5"/>
      <c r="EG86" s="5"/>
      <c r="EH86" s="5"/>
      <c r="EI86" s="5"/>
      <c r="EJ86" s="5"/>
      <c r="EK86" s="5"/>
    </row>
    <row r="87" spans="1:141">
      <c r="A87" s="5"/>
      <c r="B87" s="5"/>
      <c r="C87" s="5"/>
      <c r="D87" s="5"/>
      <c r="E87" s="5"/>
      <c r="F87" s="5"/>
      <c r="G87" s="5"/>
      <c r="H87" s="5"/>
      <c r="I87" s="5"/>
      <c r="J87" s="5"/>
      <c r="K87" s="5"/>
      <c r="L87" s="5"/>
      <c r="M87" s="5"/>
      <c r="N87" s="5"/>
      <c r="O87" s="5"/>
      <c r="P87" s="5"/>
      <c r="Q87" s="5"/>
      <c r="R87" s="5"/>
      <c r="S87" s="5"/>
      <c r="T87" s="374"/>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373"/>
      <c r="BF87" s="5"/>
      <c r="BG87" s="5"/>
      <c r="BH87" s="5"/>
      <c r="BI87" s="5"/>
      <c r="BJ87" s="5"/>
      <c r="BK87" s="5"/>
      <c r="BL87" s="5"/>
      <c r="BM87" s="5"/>
      <c r="BN87" s="5"/>
      <c r="BO87" s="5"/>
      <c r="BP87" s="5"/>
      <c r="BQ87" s="5"/>
      <c r="BR87" s="5"/>
      <c r="BS87" s="5"/>
      <c r="BT87" s="5"/>
      <c r="BU87" s="5"/>
      <c r="BV87" s="5"/>
      <c r="BW87" s="5"/>
      <c r="BX87" s="373"/>
      <c r="BY87" s="5"/>
      <c r="BZ87" s="5"/>
      <c r="CA87" s="5"/>
      <c r="CB87" s="5"/>
      <c r="CC87" s="5"/>
      <c r="CD87" s="5"/>
      <c r="CE87" s="5"/>
      <c r="CF87" s="5"/>
      <c r="CG87" s="5"/>
      <c r="CH87" s="5"/>
      <c r="CI87" s="5"/>
      <c r="CJ87" s="5"/>
      <c r="CK87" s="5"/>
      <c r="CL87" s="5"/>
      <c r="CM87" s="5"/>
      <c r="CN87" s="5"/>
      <c r="CO87" s="5"/>
      <c r="CP87" s="5"/>
      <c r="CQ87" s="5"/>
      <c r="CR87" s="5"/>
      <c r="CS87" s="5"/>
      <c r="CT87" s="5"/>
      <c r="CU87" s="5"/>
      <c r="CV87" s="5"/>
      <c r="CW87" s="372"/>
      <c r="CX87" s="5"/>
      <c r="CY87" s="5"/>
      <c r="CZ87" s="5"/>
      <c r="DA87" s="5"/>
      <c r="DB87" s="5"/>
      <c r="DC87" s="5"/>
      <c r="DD87" s="5"/>
      <c r="DE87" s="5"/>
      <c r="DF87" s="5"/>
      <c r="DG87" s="5"/>
      <c r="DH87" s="5"/>
      <c r="DI87" s="5"/>
      <c r="DJ87" s="5"/>
      <c r="DK87" s="5"/>
      <c r="DL87" s="5"/>
      <c r="DM87" s="5"/>
      <c r="DN87" s="5"/>
      <c r="DO87" s="5"/>
      <c r="DP87" s="5"/>
      <c r="DR87" s="372"/>
      <c r="DS87" s="5"/>
      <c r="DT87" s="5"/>
      <c r="DU87" s="5"/>
      <c r="DV87" s="5"/>
      <c r="DW87" s="5"/>
      <c r="DX87" s="5"/>
      <c r="DY87" s="5"/>
      <c r="DZ87" s="5"/>
      <c r="EA87" s="5"/>
      <c r="EB87" s="5"/>
      <c r="EC87" s="5"/>
      <c r="ED87" s="5"/>
      <c r="EE87" s="5"/>
      <c r="EF87" s="5"/>
      <c r="EG87" s="5"/>
      <c r="EH87" s="5"/>
      <c r="EI87" s="5"/>
      <c r="EJ87" s="5"/>
      <c r="EK87" s="5"/>
    </row>
    <row r="88" spans="1:141">
      <c r="A88" s="161" t="s">
        <v>904</v>
      </c>
      <c r="B88" s="5" t="s">
        <v>905</v>
      </c>
      <c r="C88" s="5"/>
      <c r="D88" s="5"/>
      <c r="E88" s="5"/>
      <c r="F88" s="5"/>
      <c r="G88" s="5"/>
      <c r="H88" s="5"/>
      <c r="I88" s="5"/>
      <c r="J88" s="5"/>
      <c r="K88" s="5"/>
      <c r="L88" s="5"/>
      <c r="M88" s="5"/>
      <c r="N88" s="5"/>
      <c r="O88" s="5"/>
      <c r="P88" s="5"/>
      <c r="Q88" s="5"/>
      <c r="R88" s="5"/>
      <c r="S88" s="5"/>
      <c r="T88" s="374"/>
      <c r="U88" s="5"/>
      <c r="V88" s="5"/>
      <c r="W88" s="5"/>
      <c r="X88" s="5"/>
      <c r="Y88" s="5"/>
      <c r="Z88" s="5"/>
      <c r="AA88" s="5"/>
      <c r="AB88" s="5"/>
      <c r="AC88" s="5"/>
      <c r="AD88" s="5"/>
      <c r="AE88" s="5"/>
      <c r="AF88" s="5"/>
      <c r="AG88" s="5"/>
      <c r="AH88" s="5"/>
      <c r="AI88" s="5"/>
      <c r="AJ88" s="5"/>
      <c r="AK88" s="5"/>
      <c r="AL88" s="5"/>
      <c r="AM88" s="161" t="s">
        <v>904</v>
      </c>
      <c r="AN88" s="5" t="s">
        <v>905</v>
      </c>
      <c r="AO88" s="5"/>
      <c r="AP88" s="5"/>
      <c r="AQ88" s="5"/>
      <c r="AR88" s="5"/>
      <c r="AS88" s="5"/>
      <c r="AT88" s="5"/>
      <c r="AU88" s="5"/>
      <c r="AV88" s="5"/>
      <c r="AW88" s="5"/>
      <c r="AX88" s="5"/>
      <c r="AY88" s="5"/>
      <c r="AZ88" s="5"/>
      <c r="BA88" s="5"/>
      <c r="BB88" s="5"/>
      <c r="BC88" s="5"/>
      <c r="BD88" s="5"/>
      <c r="BE88" s="373"/>
      <c r="BF88" s="161" t="s">
        <v>904</v>
      </c>
      <c r="BG88" s="5" t="s">
        <v>905</v>
      </c>
      <c r="BH88" s="5"/>
      <c r="BI88" s="5"/>
      <c r="BJ88" s="5"/>
      <c r="BK88" s="5"/>
      <c r="BL88" s="5"/>
      <c r="BM88" s="5"/>
      <c r="BN88" s="5"/>
      <c r="BO88" s="5"/>
      <c r="BP88" s="5"/>
      <c r="BQ88" s="5"/>
      <c r="BR88" s="5"/>
      <c r="BS88" s="5"/>
      <c r="BT88" s="5"/>
      <c r="BU88" s="5"/>
      <c r="BV88" s="5"/>
      <c r="BW88" s="5"/>
      <c r="BX88" s="373"/>
      <c r="BY88" s="5"/>
      <c r="BZ88" s="5"/>
      <c r="CA88" s="5"/>
      <c r="CB88" s="5"/>
      <c r="CC88" s="5"/>
      <c r="CD88" s="161"/>
      <c r="CE88" s="5"/>
      <c r="CF88" s="5"/>
      <c r="CG88" s="5"/>
      <c r="CH88" s="5"/>
      <c r="CI88" s="5"/>
      <c r="CJ88" s="5"/>
      <c r="CK88" s="5"/>
      <c r="CL88" s="5"/>
      <c r="CM88" s="5"/>
      <c r="CN88" s="5"/>
      <c r="CO88" s="5"/>
      <c r="CP88" s="5"/>
      <c r="CQ88" s="5"/>
      <c r="CR88" s="5"/>
      <c r="CS88" s="5"/>
      <c r="CT88" s="5"/>
      <c r="CU88" s="5"/>
      <c r="CV88" s="5"/>
      <c r="CW88" s="372"/>
      <c r="CX88" s="161"/>
      <c r="CY88" s="5"/>
      <c r="CZ88" s="5"/>
      <c r="DA88" s="5"/>
      <c r="DB88" s="5"/>
      <c r="DC88" s="5"/>
      <c r="DD88" s="5"/>
      <c r="DE88" s="5"/>
      <c r="DF88" s="5"/>
      <c r="DG88" s="5"/>
      <c r="DH88" s="5"/>
      <c r="DI88" s="5"/>
      <c r="DJ88" s="5"/>
      <c r="DK88" s="5"/>
      <c r="DL88" s="5"/>
      <c r="DM88" s="5"/>
      <c r="DN88" s="5"/>
      <c r="DO88" s="5"/>
      <c r="DP88" s="5"/>
      <c r="DR88" s="372"/>
      <c r="DS88" s="161"/>
      <c r="DT88" s="5"/>
      <c r="DU88" s="5"/>
      <c r="DV88" s="5"/>
      <c r="DW88" s="5"/>
      <c r="DX88" s="5"/>
      <c r="DY88" s="5"/>
      <c r="DZ88" s="5"/>
      <c r="EA88" s="5"/>
      <c r="EB88" s="5"/>
      <c r="EC88" s="5"/>
      <c r="ED88" s="5"/>
      <c r="EE88" s="5"/>
      <c r="EF88" s="5"/>
      <c r="EG88" s="5"/>
      <c r="EH88" s="5"/>
      <c r="EI88" s="5"/>
      <c r="EJ88" s="5"/>
      <c r="EK88" s="5"/>
    </row>
    <row r="89" spans="1:141" ht="16.2">
      <c r="A89" s="5"/>
      <c r="B89" s="161" t="s">
        <v>906</v>
      </c>
      <c r="C89" s="161" t="s">
        <v>63</v>
      </c>
      <c r="D89" s="5" t="s">
        <v>907</v>
      </c>
      <c r="E89" s="5"/>
      <c r="F89" s="5"/>
      <c r="G89" s="5"/>
      <c r="H89" s="5"/>
      <c r="I89" s="5"/>
      <c r="J89" s="5"/>
      <c r="K89" s="5"/>
      <c r="L89" s="5"/>
      <c r="M89" s="5"/>
      <c r="N89" s="5"/>
      <c r="O89" s="5"/>
      <c r="P89" s="5"/>
      <c r="Q89" s="5"/>
      <c r="R89" s="5"/>
      <c r="S89" s="5"/>
      <c r="T89" s="374"/>
      <c r="U89" s="161"/>
      <c r="V89" s="161"/>
      <c r="W89" s="5"/>
      <c r="X89" s="5"/>
      <c r="Y89" s="5"/>
      <c r="Z89" s="5"/>
      <c r="AA89" s="5"/>
      <c r="AB89" s="5"/>
      <c r="AC89" s="5"/>
      <c r="AD89" s="5"/>
      <c r="AE89" s="5"/>
      <c r="AF89" s="5"/>
      <c r="AG89" s="5"/>
      <c r="AH89" s="5"/>
      <c r="AI89" s="5"/>
      <c r="AJ89" s="5"/>
      <c r="AK89" s="5"/>
      <c r="AL89" s="5"/>
      <c r="AM89" s="5"/>
      <c r="AN89" s="161" t="s">
        <v>906</v>
      </c>
      <c r="AO89" s="161" t="s">
        <v>63</v>
      </c>
      <c r="AP89" s="5" t="s">
        <v>907</v>
      </c>
      <c r="AQ89" s="5"/>
      <c r="AR89" s="5"/>
      <c r="AS89" s="5"/>
      <c r="AT89" s="5"/>
      <c r="AU89" s="5"/>
      <c r="AV89" s="5"/>
      <c r="AW89" s="5"/>
      <c r="AX89" s="5"/>
      <c r="AY89" s="5"/>
      <c r="AZ89" s="5"/>
      <c r="BA89" s="5"/>
      <c r="BB89" s="5"/>
      <c r="BC89" s="5"/>
      <c r="BD89" s="5"/>
      <c r="BE89" s="373"/>
      <c r="BF89" s="5"/>
      <c r="BG89" s="161" t="s">
        <v>906</v>
      </c>
      <c r="BH89" s="161" t="s">
        <v>63</v>
      </c>
      <c r="BI89" s="5" t="s">
        <v>907</v>
      </c>
      <c r="BJ89" s="5"/>
      <c r="BK89" s="5"/>
      <c r="BL89" s="5"/>
      <c r="BM89" s="5"/>
      <c r="BN89" s="5"/>
      <c r="BO89" s="5"/>
      <c r="BP89" s="5"/>
      <c r="BQ89" s="5"/>
      <c r="BR89" s="5"/>
      <c r="BS89" s="5"/>
      <c r="BT89" s="5"/>
      <c r="BU89" s="5"/>
      <c r="BV89" s="5"/>
      <c r="BW89" s="5"/>
      <c r="BX89" s="373"/>
      <c r="BY89" s="5"/>
      <c r="BZ89" s="5"/>
      <c r="CA89" s="5"/>
      <c r="CB89" s="5"/>
      <c r="CC89" s="5"/>
      <c r="CD89" s="5"/>
      <c r="CE89" s="161"/>
      <c r="CF89" s="161"/>
      <c r="CG89" s="5"/>
      <c r="CH89" s="5"/>
      <c r="CI89" s="5"/>
      <c r="CJ89" s="5"/>
      <c r="CK89" s="5"/>
      <c r="CL89" s="5"/>
      <c r="CM89" s="5"/>
      <c r="CN89" s="5"/>
      <c r="CO89" s="5"/>
      <c r="CP89" s="5"/>
      <c r="CQ89" s="5"/>
      <c r="CR89" s="5"/>
      <c r="CS89" s="5"/>
      <c r="CT89" s="5"/>
      <c r="CU89" s="5"/>
      <c r="CV89" s="5"/>
      <c r="CW89" s="372"/>
      <c r="CX89" s="5"/>
      <c r="CY89" s="161"/>
      <c r="CZ89" s="161"/>
      <c r="DA89" s="5"/>
      <c r="DB89" s="5"/>
      <c r="DC89" s="5"/>
      <c r="DD89" s="5"/>
      <c r="DE89" s="5"/>
      <c r="DF89" s="5"/>
      <c r="DG89" s="5"/>
      <c r="DH89" s="5"/>
      <c r="DI89" s="5"/>
      <c r="DJ89" s="5"/>
      <c r="DK89" s="5"/>
      <c r="DL89" s="5"/>
      <c r="DM89" s="5"/>
      <c r="DN89" s="5"/>
      <c r="DO89" s="5"/>
      <c r="DP89" s="5"/>
      <c r="DR89" s="372"/>
      <c r="DS89" s="5"/>
      <c r="DT89" s="161"/>
      <c r="DU89" s="161"/>
      <c r="DV89" s="5"/>
      <c r="DW89" s="5"/>
      <c r="DX89" s="5"/>
      <c r="DY89" s="5"/>
      <c r="DZ89" s="5"/>
      <c r="EA89" s="5"/>
      <c r="EB89" s="5"/>
      <c r="EC89" s="5"/>
      <c r="ED89" s="5"/>
      <c r="EE89" s="5"/>
      <c r="EF89" s="5"/>
      <c r="EG89" s="5"/>
      <c r="EH89" s="5"/>
      <c r="EI89" s="5"/>
      <c r="EJ89" s="5"/>
      <c r="EK89" s="5"/>
    </row>
    <row r="90" spans="1:141" ht="15.6">
      <c r="A90" s="5"/>
      <c r="B90" s="374" t="s">
        <v>856</v>
      </c>
      <c r="C90" s="161" t="s">
        <v>63</v>
      </c>
      <c r="D90" s="5" t="s">
        <v>857</v>
      </c>
      <c r="E90" s="5"/>
      <c r="F90" s="5"/>
      <c r="H90" s="5"/>
      <c r="I90" s="5"/>
      <c r="J90" s="5"/>
      <c r="K90" s="5"/>
      <c r="L90" s="5"/>
      <c r="M90" s="5"/>
      <c r="N90" s="5"/>
      <c r="O90" s="5"/>
      <c r="P90" s="5"/>
      <c r="Q90" s="5"/>
      <c r="R90" s="5"/>
      <c r="S90" s="5"/>
      <c r="T90" s="374"/>
      <c r="U90" s="374"/>
      <c r="V90" s="161"/>
      <c r="W90" s="5"/>
      <c r="X90" s="5"/>
      <c r="Y90" s="5"/>
      <c r="AA90" s="5"/>
      <c r="AB90" s="5"/>
      <c r="AC90" s="5"/>
      <c r="AD90" s="5"/>
      <c r="AE90" s="5"/>
      <c r="AF90" s="5"/>
      <c r="AG90" s="5"/>
      <c r="AH90" s="5"/>
      <c r="AI90" s="5"/>
      <c r="AJ90" s="5"/>
      <c r="AK90" s="5"/>
      <c r="AL90" s="5"/>
      <c r="AM90" s="5"/>
      <c r="AN90" s="374" t="s">
        <v>856</v>
      </c>
      <c r="AO90" s="161" t="s">
        <v>63</v>
      </c>
      <c r="AP90" s="5" t="s">
        <v>857</v>
      </c>
      <c r="AQ90" s="5"/>
      <c r="AR90" s="5"/>
      <c r="AT90" s="5"/>
      <c r="AU90" s="5"/>
      <c r="AV90" s="5"/>
      <c r="AW90" s="5"/>
      <c r="AX90" s="5"/>
      <c r="AY90" s="5"/>
      <c r="AZ90" s="5"/>
      <c r="BA90" s="5"/>
      <c r="BB90" s="5"/>
      <c r="BC90" s="5"/>
      <c r="BD90" s="5"/>
      <c r="BE90" s="373"/>
      <c r="BF90" s="5"/>
      <c r="BG90" s="374" t="s">
        <v>856</v>
      </c>
      <c r="BH90" s="161" t="s">
        <v>63</v>
      </c>
      <c r="BI90" s="5" t="s">
        <v>857</v>
      </c>
      <c r="BJ90" s="5"/>
      <c r="BK90" s="5"/>
      <c r="BM90" s="5"/>
      <c r="BN90" s="5"/>
      <c r="BO90" s="5"/>
      <c r="BP90" s="5"/>
      <c r="BQ90" s="5"/>
      <c r="BR90" s="5"/>
      <c r="BS90" s="5"/>
      <c r="BT90" s="5"/>
      <c r="BU90" s="5"/>
      <c r="BV90" s="5"/>
      <c r="BW90" s="5"/>
      <c r="BX90" s="373"/>
      <c r="BY90" s="5"/>
      <c r="BZ90" s="5"/>
      <c r="CA90" s="5"/>
      <c r="CB90" s="5"/>
      <c r="CC90" s="5"/>
      <c r="CD90" s="5"/>
      <c r="CE90" s="374"/>
      <c r="CF90" s="5"/>
      <c r="CG90" s="161"/>
      <c r="CH90" s="5"/>
      <c r="CI90" s="5"/>
      <c r="CJ90" s="5"/>
      <c r="CK90" s="5"/>
      <c r="CL90" s="5"/>
      <c r="CM90" s="5"/>
      <c r="CN90" s="5"/>
      <c r="CO90" s="5"/>
      <c r="CP90" s="5"/>
      <c r="CQ90" s="5"/>
      <c r="CR90" s="5"/>
      <c r="CS90" s="5"/>
      <c r="CT90" s="5"/>
      <c r="CU90" s="5"/>
      <c r="CV90" s="5"/>
      <c r="CW90" s="372"/>
      <c r="CX90" s="5"/>
      <c r="CY90" s="374"/>
      <c r="CZ90" s="5"/>
      <c r="DA90" s="161"/>
      <c r="DB90" s="5"/>
      <c r="DC90" s="5"/>
      <c r="DD90" s="5"/>
      <c r="DE90" s="5"/>
      <c r="DF90" s="5"/>
      <c r="DG90" s="5"/>
      <c r="DH90" s="5"/>
      <c r="DI90" s="5"/>
      <c r="DJ90" s="5"/>
      <c r="DK90" s="5"/>
      <c r="DL90" s="5"/>
      <c r="DM90" s="5"/>
      <c r="DN90" s="5"/>
      <c r="DO90" s="5"/>
      <c r="DP90" s="5"/>
      <c r="DR90" s="372"/>
      <c r="DS90" s="5"/>
      <c r="DT90" s="374"/>
      <c r="DU90" s="5"/>
      <c r="DV90" s="161"/>
      <c r="DW90" s="5"/>
      <c r="DX90" s="5"/>
      <c r="DY90" s="5"/>
      <c r="DZ90" s="5"/>
      <c r="EA90" s="5"/>
      <c r="EB90" s="5"/>
      <c r="EC90" s="5"/>
      <c r="ED90" s="5"/>
      <c r="EE90" s="5"/>
      <c r="EF90" s="5"/>
      <c r="EG90" s="5"/>
      <c r="EH90" s="5"/>
      <c r="EI90" s="5"/>
      <c r="EJ90" s="5"/>
      <c r="EK90" s="5"/>
    </row>
    <row r="91" spans="1:141" ht="15.6">
      <c r="A91" s="5"/>
      <c r="B91" s="161" t="s">
        <v>908</v>
      </c>
      <c r="C91" s="161" t="s">
        <v>63</v>
      </c>
      <c r="D91" s="374">
        <v>0.8</v>
      </c>
      <c r="E91" s="5"/>
      <c r="F91" s="5"/>
      <c r="H91" s="5"/>
      <c r="I91" s="5"/>
      <c r="J91" s="5"/>
      <c r="K91" s="5"/>
      <c r="L91" s="5"/>
      <c r="M91" s="5"/>
      <c r="N91" s="5"/>
      <c r="O91" s="5"/>
      <c r="P91" s="5"/>
      <c r="Q91" s="5"/>
      <c r="R91" s="5"/>
      <c r="S91" s="5"/>
      <c r="T91" s="374"/>
      <c r="U91" s="161"/>
      <c r="V91" s="161"/>
      <c r="W91" s="374"/>
      <c r="X91" s="5"/>
      <c r="Y91" s="5"/>
      <c r="AA91" s="5"/>
      <c r="AB91" s="5"/>
      <c r="AC91" s="5"/>
      <c r="AD91" s="5"/>
      <c r="AE91" s="5"/>
      <c r="AF91" s="5"/>
      <c r="AG91" s="5"/>
      <c r="AH91" s="5"/>
      <c r="AI91" s="5"/>
      <c r="AJ91" s="5"/>
      <c r="AK91" s="5"/>
      <c r="AL91" s="5"/>
      <c r="AM91" s="5"/>
      <c r="AN91" s="161" t="s">
        <v>908</v>
      </c>
      <c r="AO91" s="161" t="s">
        <v>63</v>
      </c>
      <c r="AP91" s="374">
        <v>0.6</v>
      </c>
      <c r="AQ91" s="5"/>
      <c r="AR91" s="5"/>
      <c r="AT91" s="5"/>
      <c r="AU91" s="5"/>
      <c r="AV91" s="5"/>
      <c r="AW91" s="5"/>
      <c r="AX91" s="5"/>
      <c r="AY91" s="5"/>
      <c r="AZ91" s="5"/>
      <c r="BA91" s="5"/>
      <c r="BB91" s="5"/>
      <c r="BC91" s="5"/>
      <c r="BD91" s="5"/>
      <c r="BE91" s="373"/>
      <c r="BF91" s="5"/>
      <c r="BG91" s="161" t="s">
        <v>908</v>
      </c>
      <c r="BH91" s="161" t="s">
        <v>63</v>
      </c>
      <c r="BI91" s="374">
        <v>0.35</v>
      </c>
      <c r="BJ91" s="5"/>
      <c r="BK91" s="5"/>
      <c r="BM91" s="5"/>
      <c r="BN91" s="5"/>
      <c r="BO91" s="5"/>
      <c r="BP91" s="5"/>
      <c r="BQ91" s="5"/>
      <c r="BR91" s="5"/>
      <c r="BS91" s="5"/>
      <c r="BT91" s="5"/>
      <c r="BU91" s="5"/>
      <c r="BV91" s="5"/>
      <c r="BW91" s="5"/>
      <c r="BX91" s="373"/>
      <c r="BY91" s="5"/>
      <c r="BZ91" s="5"/>
      <c r="CA91" s="5"/>
      <c r="CB91" s="5"/>
      <c r="CC91" s="5"/>
      <c r="CD91" s="5"/>
      <c r="CE91" s="161"/>
      <c r="CF91" s="5"/>
      <c r="CG91" s="161"/>
      <c r="CH91" s="374"/>
      <c r="CI91" s="5"/>
      <c r="CJ91" s="5"/>
      <c r="CK91" s="5"/>
      <c r="CL91" s="5"/>
      <c r="CM91" s="5"/>
      <c r="CN91" s="5"/>
      <c r="CO91" s="5"/>
      <c r="CP91" s="5"/>
      <c r="CQ91" s="5"/>
      <c r="CR91" s="5"/>
      <c r="CS91" s="5"/>
      <c r="CT91" s="5"/>
      <c r="CU91" s="5"/>
      <c r="CV91" s="5"/>
      <c r="CW91" s="372"/>
      <c r="CX91" s="5"/>
      <c r="CY91" s="161"/>
      <c r="CZ91" s="5"/>
      <c r="DA91" s="161"/>
      <c r="DB91" s="374"/>
      <c r="DC91" s="5"/>
      <c r="DD91" s="5"/>
      <c r="DE91" s="5"/>
      <c r="DF91" s="5"/>
      <c r="DG91" s="5"/>
      <c r="DH91" s="5"/>
      <c r="DI91" s="5"/>
      <c r="DJ91" s="5"/>
      <c r="DK91" s="5"/>
      <c r="DL91" s="5"/>
      <c r="DM91" s="5"/>
      <c r="DN91" s="5"/>
      <c r="DO91" s="5"/>
      <c r="DP91" s="5"/>
      <c r="DR91" s="372"/>
      <c r="DS91" s="5"/>
      <c r="DT91" s="161"/>
      <c r="DU91" s="5"/>
      <c r="DV91" s="161"/>
      <c r="DW91" s="374"/>
      <c r="DX91" s="5"/>
      <c r="DY91" s="5"/>
      <c r="DZ91" s="5"/>
      <c r="EA91" s="5"/>
      <c r="EB91" s="5"/>
      <c r="EC91" s="5"/>
      <c r="ED91" s="5"/>
      <c r="EE91" s="5"/>
      <c r="EF91" s="5"/>
      <c r="EG91" s="5"/>
      <c r="EH91" s="5"/>
      <c r="EI91" s="5"/>
      <c r="EJ91" s="5"/>
      <c r="EK91" s="5"/>
    </row>
    <row r="92" spans="1:141">
      <c r="A92" s="5"/>
      <c r="B92" s="161" t="s">
        <v>385</v>
      </c>
      <c r="C92" s="161" t="s">
        <v>63</v>
      </c>
      <c r="D92" s="5" t="s">
        <v>862</v>
      </c>
      <c r="E92" s="5"/>
      <c r="F92" s="5"/>
      <c r="H92" s="5"/>
      <c r="I92" s="5"/>
      <c r="J92" s="5"/>
      <c r="K92" s="5"/>
      <c r="L92" s="5"/>
      <c r="M92" s="5"/>
      <c r="N92" s="5"/>
      <c r="O92" s="5"/>
      <c r="P92" s="5"/>
      <c r="Q92" s="5"/>
      <c r="R92" s="5"/>
      <c r="S92" s="5"/>
      <c r="T92" s="374"/>
      <c r="U92" s="161"/>
      <c r="V92" s="161"/>
      <c r="W92" s="5"/>
      <c r="X92" s="5"/>
      <c r="Y92" s="5"/>
      <c r="AA92" s="5"/>
      <c r="AB92" s="5"/>
      <c r="AC92" s="5"/>
      <c r="AD92" s="5"/>
      <c r="AE92" s="5"/>
      <c r="AF92" s="5"/>
      <c r="AG92" s="5"/>
      <c r="AH92" s="5"/>
      <c r="AI92" s="5"/>
      <c r="AJ92" s="5"/>
      <c r="AK92" s="5"/>
      <c r="AL92" s="5"/>
      <c r="AM92" s="5"/>
      <c r="AN92" s="161" t="s">
        <v>385</v>
      </c>
      <c r="AO92" s="161" t="s">
        <v>63</v>
      </c>
      <c r="AP92" s="5" t="s">
        <v>862</v>
      </c>
      <c r="AQ92" s="5"/>
      <c r="AR92" s="5"/>
      <c r="AT92" s="5"/>
      <c r="AU92" s="5"/>
      <c r="AV92" s="5"/>
      <c r="AW92" s="5"/>
      <c r="AX92" s="5"/>
      <c r="AY92" s="5"/>
      <c r="AZ92" s="5"/>
      <c r="BA92" s="5"/>
      <c r="BB92" s="5"/>
      <c r="BC92" s="5"/>
      <c r="BD92" s="5"/>
      <c r="BE92" s="373"/>
      <c r="BF92" s="5"/>
      <c r="BG92" s="161" t="s">
        <v>385</v>
      </c>
      <c r="BH92" s="161" t="s">
        <v>63</v>
      </c>
      <c r="BI92" s="5" t="s">
        <v>862</v>
      </c>
      <c r="BJ92" s="5"/>
      <c r="BK92" s="5"/>
      <c r="BM92" s="5"/>
      <c r="BN92" s="5"/>
      <c r="BO92" s="5"/>
      <c r="BP92" s="5"/>
      <c r="BQ92" s="5"/>
      <c r="BR92" s="5"/>
      <c r="BS92" s="5"/>
      <c r="BT92" s="5"/>
      <c r="BU92" s="5"/>
      <c r="BV92" s="5"/>
      <c r="BW92" s="5"/>
      <c r="BX92" s="373"/>
      <c r="BY92" s="5"/>
      <c r="BZ92" s="5"/>
      <c r="CA92" s="5"/>
      <c r="CB92" s="5"/>
      <c r="CC92" s="5"/>
      <c r="CD92" s="5"/>
      <c r="CE92" s="161"/>
      <c r="CF92" s="5"/>
      <c r="CG92" s="161"/>
      <c r="CH92" s="5"/>
      <c r="CI92" s="5"/>
      <c r="CJ92" s="5"/>
      <c r="CK92" s="5"/>
      <c r="CL92" s="5"/>
      <c r="CM92" s="5"/>
      <c r="CN92" s="5"/>
      <c r="CO92" s="5"/>
      <c r="CP92" s="5"/>
      <c r="CQ92" s="5"/>
      <c r="CR92" s="5"/>
      <c r="CS92" s="5"/>
      <c r="CT92" s="5"/>
      <c r="CU92" s="5"/>
      <c r="CV92" s="5"/>
      <c r="CW92" s="372"/>
      <c r="CX92" s="5"/>
      <c r="CY92" s="161"/>
      <c r="CZ92" s="5"/>
      <c r="DA92" s="161"/>
      <c r="DB92" s="5"/>
      <c r="DC92" s="5"/>
      <c r="DD92" s="5"/>
      <c r="DE92" s="5"/>
      <c r="DF92" s="5"/>
      <c r="DG92" s="5"/>
      <c r="DH92" s="5"/>
      <c r="DI92" s="5"/>
      <c r="DJ92" s="5"/>
      <c r="DK92" s="5"/>
      <c r="DL92" s="5"/>
      <c r="DM92" s="5"/>
      <c r="DN92" s="5"/>
      <c r="DO92" s="5"/>
      <c r="DP92" s="5"/>
      <c r="DR92" s="372"/>
      <c r="DS92" s="5"/>
      <c r="DT92" s="161"/>
      <c r="DU92" s="5"/>
      <c r="DV92" s="161"/>
      <c r="DW92" s="5"/>
      <c r="DX92" s="5"/>
      <c r="DY92" s="5"/>
      <c r="DZ92" s="5"/>
      <c r="EA92" s="5"/>
      <c r="EB92" s="5"/>
      <c r="EC92" s="5"/>
      <c r="ED92" s="5"/>
      <c r="EE92" s="5"/>
      <c r="EF92" s="5"/>
      <c r="EG92" s="5"/>
      <c r="EH92" s="5"/>
      <c r="EI92" s="5"/>
      <c r="EJ92" s="5"/>
      <c r="EK92" s="5"/>
    </row>
    <row r="93" spans="1:141">
      <c r="A93" s="5"/>
      <c r="B93" s="161" t="s">
        <v>10</v>
      </c>
      <c r="C93" s="161" t="s">
        <v>63</v>
      </c>
      <c r="D93" s="5" t="s">
        <v>863</v>
      </c>
      <c r="E93" s="5"/>
      <c r="F93" s="5"/>
      <c r="H93" s="5"/>
      <c r="I93" s="5"/>
      <c r="J93" s="5"/>
      <c r="K93" s="5"/>
      <c r="L93" s="5"/>
      <c r="M93" s="5"/>
      <c r="N93" s="5"/>
      <c r="O93" s="5"/>
      <c r="P93" s="5"/>
      <c r="Q93" s="5"/>
      <c r="R93" s="5"/>
      <c r="S93" s="5"/>
      <c r="T93" s="374"/>
      <c r="U93" s="161"/>
      <c r="V93" s="161"/>
      <c r="W93" s="5"/>
      <c r="X93" s="5"/>
      <c r="Y93" s="5"/>
      <c r="AA93" s="5"/>
      <c r="AB93" s="5"/>
      <c r="AC93" s="5"/>
      <c r="AD93" s="5"/>
      <c r="AE93" s="5"/>
      <c r="AF93" s="5"/>
      <c r="AG93" s="5"/>
      <c r="AH93" s="5"/>
      <c r="AI93" s="5"/>
      <c r="AJ93" s="5"/>
      <c r="AK93" s="5"/>
      <c r="AL93" s="5"/>
      <c r="AM93" s="5"/>
      <c r="AN93" s="161" t="s">
        <v>10</v>
      </c>
      <c r="AO93" s="161" t="s">
        <v>63</v>
      </c>
      <c r="AP93" s="5" t="s">
        <v>863</v>
      </c>
      <c r="AQ93" s="5"/>
      <c r="AR93" s="5"/>
      <c r="AT93" s="5"/>
      <c r="AU93" s="5"/>
      <c r="AV93" s="5"/>
      <c r="AW93" s="5"/>
      <c r="AX93" s="5"/>
      <c r="AY93" s="5"/>
      <c r="AZ93" s="5"/>
      <c r="BA93" s="5"/>
      <c r="BB93" s="5"/>
      <c r="BC93" s="5"/>
      <c r="BD93" s="5"/>
      <c r="BE93" s="373"/>
      <c r="BF93" s="5"/>
      <c r="BG93" s="161" t="s">
        <v>10</v>
      </c>
      <c r="BH93" s="161" t="s">
        <v>63</v>
      </c>
      <c r="BI93" s="5" t="s">
        <v>863</v>
      </c>
      <c r="BJ93" s="5"/>
      <c r="BK93" s="5"/>
      <c r="BM93" s="5"/>
      <c r="BN93" s="5"/>
      <c r="BO93" s="5"/>
      <c r="BP93" s="5"/>
      <c r="BQ93" s="5"/>
      <c r="BR93" s="5"/>
      <c r="BS93" s="5"/>
      <c r="BT93" s="5"/>
      <c r="BU93" s="5"/>
      <c r="BV93" s="5"/>
      <c r="BW93" s="5"/>
      <c r="BX93" s="373"/>
      <c r="BY93" s="5"/>
      <c r="BZ93" s="5"/>
      <c r="CA93" s="5"/>
      <c r="CB93" s="5"/>
      <c r="CC93" s="5"/>
      <c r="CD93" s="5"/>
      <c r="CE93" s="161"/>
      <c r="CF93" s="5"/>
      <c r="CG93" s="161"/>
      <c r="CH93" s="5"/>
      <c r="CI93" s="5"/>
      <c r="CJ93" s="5"/>
      <c r="CK93" s="5"/>
      <c r="CL93" s="5"/>
      <c r="CM93" s="5"/>
      <c r="CN93" s="5"/>
      <c r="CO93" s="5"/>
      <c r="CP93" s="5"/>
      <c r="CQ93" s="5"/>
      <c r="CR93" s="5"/>
      <c r="CS93" s="5"/>
      <c r="CT93" s="5"/>
      <c r="CU93" s="5"/>
      <c r="CV93" s="5"/>
      <c r="CW93" s="372"/>
      <c r="CX93" s="5"/>
      <c r="CY93" s="161"/>
      <c r="CZ93" s="5"/>
      <c r="DA93" s="161"/>
      <c r="DB93" s="5"/>
      <c r="DC93" s="5"/>
      <c r="DD93" s="5"/>
      <c r="DE93" s="5"/>
      <c r="DF93" s="5"/>
      <c r="DG93" s="5"/>
      <c r="DH93" s="5"/>
      <c r="DI93" s="5"/>
      <c r="DJ93" s="5"/>
      <c r="DK93" s="5"/>
      <c r="DL93" s="5"/>
      <c r="DM93" s="5"/>
      <c r="DN93" s="5"/>
      <c r="DO93" s="5"/>
      <c r="DP93" s="5"/>
      <c r="DR93" s="372"/>
      <c r="DS93" s="5"/>
      <c r="DT93" s="161"/>
      <c r="DU93" s="5"/>
      <c r="DV93" s="161"/>
      <c r="DW93" s="5"/>
      <c r="DX93" s="5"/>
      <c r="DY93" s="5"/>
      <c r="DZ93" s="5"/>
      <c r="EA93" s="5"/>
      <c r="EB93" s="5"/>
      <c r="EC93" s="5"/>
      <c r="ED93" s="5"/>
      <c r="EE93" s="5"/>
      <c r="EF93" s="5"/>
      <c r="EG93" s="5"/>
      <c r="EH93" s="5"/>
      <c r="EI93" s="5"/>
      <c r="EJ93" s="5"/>
      <c r="EK93" s="5"/>
    </row>
    <row r="94" spans="1:141">
      <c r="A94" s="5"/>
      <c r="B94" s="161" t="s">
        <v>864</v>
      </c>
      <c r="C94" s="161" t="s">
        <v>63</v>
      </c>
      <c r="D94" s="5" t="s">
        <v>865</v>
      </c>
      <c r="E94" s="5"/>
      <c r="F94" s="5"/>
      <c r="H94" s="5"/>
      <c r="I94" s="5"/>
      <c r="J94" s="5"/>
      <c r="K94" s="5"/>
      <c r="L94" s="5"/>
      <c r="M94" s="5"/>
      <c r="N94" s="5"/>
      <c r="O94" s="5"/>
      <c r="P94" s="5"/>
      <c r="Q94" s="5"/>
      <c r="R94" s="5"/>
      <c r="S94" s="5"/>
      <c r="T94" s="374"/>
      <c r="U94" s="161"/>
      <c r="V94" s="161"/>
      <c r="W94" s="5"/>
      <c r="X94" s="5"/>
      <c r="Y94" s="5"/>
      <c r="AA94" s="5"/>
      <c r="AB94" s="5"/>
      <c r="AC94" s="5"/>
      <c r="AD94" s="5"/>
      <c r="AE94" s="5"/>
      <c r="AF94" s="5"/>
      <c r="AG94" s="5"/>
      <c r="AH94" s="5"/>
      <c r="AI94" s="5"/>
      <c r="AJ94" s="5"/>
      <c r="AK94" s="5"/>
      <c r="AL94" s="5"/>
      <c r="AM94" s="5"/>
      <c r="AN94" s="161" t="s">
        <v>864</v>
      </c>
      <c r="AO94" s="161" t="s">
        <v>63</v>
      </c>
      <c r="AP94" s="5" t="s">
        <v>865</v>
      </c>
      <c r="AQ94" s="5"/>
      <c r="AR94" s="5"/>
      <c r="AT94" s="5"/>
      <c r="AU94" s="5"/>
      <c r="AV94" s="5"/>
      <c r="AW94" s="5"/>
      <c r="AX94" s="5"/>
      <c r="AY94" s="5"/>
      <c r="AZ94" s="5"/>
      <c r="BA94" s="5"/>
      <c r="BB94" s="5"/>
      <c r="BC94" s="5"/>
      <c r="BD94" s="5"/>
      <c r="BE94" s="373"/>
      <c r="BF94" s="5"/>
      <c r="BG94" s="161" t="s">
        <v>864</v>
      </c>
      <c r="BH94" s="161" t="s">
        <v>63</v>
      </c>
      <c r="BI94" s="5" t="s">
        <v>865</v>
      </c>
      <c r="BJ94" s="5"/>
      <c r="BK94" s="5"/>
      <c r="BM94" s="5"/>
      <c r="BN94" s="5"/>
      <c r="BO94" s="5"/>
      <c r="BP94" s="5"/>
      <c r="BQ94" s="5"/>
      <c r="BR94" s="5"/>
      <c r="BS94" s="5"/>
      <c r="BT94" s="5"/>
      <c r="BU94" s="5"/>
      <c r="BV94" s="5"/>
      <c r="BW94" s="5"/>
      <c r="BX94" s="373"/>
      <c r="BY94" s="5"/>
      <c r="BZ94" s="5"/>
      <c r="CA94" s="5"/>
      <c r="CB94" s="5"/>
      <c r="CC94" s="5"/>
      <c r="CD94" s="5"/>
      <c r="CE94" s="161"/>
      <c r="CF94" s="5"/>
      <c r="CG94" s="161"/>
      <c r="CH94" s="5"/>
      <c r="CI94" s="5"/>
      <c r="CJ94" s="5"/>
      <c r="CK94" s="5"/>
      <c r="CL94" s="5"/>
      <c r="CM94" s="5"/>
      <c r="CN94" s="5"/>
      <c r="CO94" s="5"/>
      <c r="CP94" s="5"/>
      <c r="CQ94" s="5"/>
      <c r="CR94" s="5"/>
      <c r="CS94" s="5"/>
      <c r="CT94" s="5"/>
      <c r="CU94" s="5"/>
      <c r="CV94" s="5"/>
      <c r="CW94" s="372"/>
      <c r="CX94" s="5"/>
      <c r="CY94" s="161"/>
      <c r="CZ94" s="5"/>
      <c r="DA94" s="161"/>
      <c r="DB94" s="5"/>
      <c r="DC94" s="5"/>
      <c r="DD94" s="5"/>
      <c r="DE94" s="5"/>
      <c r="DF94" s="5"/>
      <c r="DG94" s="5"/>
      <c r="DH94" s="5"/>
      <c r="DI94" s="5"/>
      <c r="DJ94" s="5"/>
      <c r="DK94" s="5"/>
      <c r="DL94" s="5"/>
      <c r="DM94" s="5"/>
      <c r="DN94" s="5"/>
      <c r="DO94" s="5"/>
      <c r="DP94" s="5"/>
      <c r="DR94" s="372"/>
      <c r="DS94" s="5"/>
      <c r="DT94" s="161"/>
      <c r="DU94" s="5"/>
      <c r="DV94" s="161"/>
      <c r="DW94" s="5"/>
      <c r="DX94" s="5"/>
      <c r="DY94" s="5"/>
      <c r="DZ94" s="5"/>
      <c r="EA94" s="5"/>
      <c r="EB94" s="5"/>
      <c r="EC94" s="5"/>
      <c r="ED94" s="5"/>
      <c r="EE94" s="5"/>
      <c r="EF94" s="5"/>
      <c r="EG94" s="5"/>
      <c r="EH94" s="5"/>
      <c r="EI94" s="5"/>
      <c r="EJ94" s="5"/>
      <c r="EK94" s="5"/>
    </row>
    <row r="95" spans="1:141">
      <c r="A95" s="5"/>
      <c r="B95" s="5"/>
      <c r="C95" s="5"/>
      <c r="D95" s="5"/>
      <c r="E95" s="5"/>
      <c r="F95" s="5"/>
      <c r="G95" s="5"/>
      <c r="H95" s="5"/>
      <c r="I95" s="5"/>
      <c r="J95" s="5"/>
      <c r="K95" s="5"/>
      <c r="L95" s="945" t="s">
        <v>872</v>
      </c>
      <c r="M95" s="945"/>
      <c r="N95" s="945"/>
      <c r="O95" s="945"/>
      <c r="P95" s="945"/>
      <c r="Q95" s="945"/>
      <c r="R95" s="945"/>
      <c r="S95" s="5"/>
      <c r="T95" s="374"/>
      <c r="U95" s="5"/>
      <c r="V95" s="5"/>
      <c r="W95" s="5"/>
      <c r="X95" s="5"/>
      <c r="Y95" s="5"/>
      <c r="Z95" s="5"/>
      <c r="AA95" s="5"/>
      <c r="AB95" s="5"/>
      <c r="AC95" s="5"/>
      <c r="AD95" s="5"/>
      <c r="AE95" s="380"/>
      <c r="AF95" s="380"/>
      <c r="AG95" s="380"/>
      <c r="AH95" s="380"/>
      <c r="AI95" s="380"/>
      <c r="AJ95" s="380"/>
      <c r="AK95" s="380"/>
      <c r="AL95" s="5"/>
      <c r="AM95" s="5"/>
      <c r="AN95" s="5"/>
      <c r="AO95" s="5"/>
      <c r="AP95" s="5"/>
      <c r="AQ95" s="5"/>
      <c r="AR95" s="5"/>
      <c r="AS95" s="5"/>
      <c r="AT95" s="5"/>
      <c r="AU95" s="5"/>
      <c r="AV95" s="5"/>
      <c r="AW95" s="5"/>
      <c r="AX95" s="945" t="s">
        <v>872</v>
      </c>
      <c r="AY95" s="945"/>
      <c r="AZ95" s="945"/>
      <c r="BA95" s="945"/>
      <c r="BB95" s="945"/>
      <c r="BC95" s="945"/>
      <c r="BD95" s="945"/>
      <c r="BE95" s="373"/>
      <c r="BF95" s="5"/>
      <c r="BG95" s="5"/>
      <c r="BH95" s="5"/>
      <c r="BI95" s="5"/>
      <c r="BJ95" s="5"/>
      <c r="BK95" s="5"/>
      <c r="BL95" s="5"/>
      <c r="BM95" s="5"/>
      <c r="BN95" s="5"/>
      <c r="BO95" s="5"/>
      <c r="BP95" s="5"/>
      <c r="BQ95" s="945" t="s">
        <v>872</v>
      </c>
      <c r="BR95" s="945"/>
      <c r="BS95" s="945"/>
      <c r="BT95" s="945"/>
      <c r="BU95" s="945"/>
      <c r="BV95" s="945"/>
      <c r="BW95" s="945"/>
      <c r="BX95" s="373"/>
      <c r="BY95" s="5"/>
      <c r="BZ95" s="5"/>
      <c r="CA95" s="5"/>
      <c r="CB95" s="5"/>
      <c r="CC95" s="5"/>
      <c r="CD95" s="5"/>
      <c r="CE95" s="5"/>
      <c r="CF95" s="5"/>
      <c r="CG95" s="5"/>
      <c r="CH95" s="5"/>
      <c r="CI95" s="5"/>
      <c r="CJ95" s="5"/>
      <c r="CK95" s="5"/>
      <c r="CL95" s="5"/>
      <c r="CM95" s="5"/>
      <c r="CN95" s="5"/>
      <c r="CO95" s="5"/>
      <c r="CP95" s="5"/>
      <c r="CQ95" s="5"/>
      <c r="CR95" s="5"/>
      <c r="CS95" s="5"/>
      <c r="CT95" s="5"/>
      <c r="CU95" s="5"/>
      <c r="CV95" s="5"/>
      <c r="CW95" s="372"/>
      <c r="CX95" s="5"/>
      <c r="CY95" s="5"/>
      <c r="CZ95" s="5"/>
      <c r="DA95" s="5"/>
      <c r="DB95" s="5"/>
      <c r="DC95" s="5"/>
      <c r="DD95" s="5"/>
      <c r="DE95" s="5"/>
      <c r="DF95" s="5"/>
      <c r="DG95" s="5"/>
      <c r="DH95" s="5"/>
      <c r="DI95" s="5"/>
      <c r="DJ95" s="5"/>
      <c r="DK95" s="5"/>
      <c r="DL95" s="5"/>
      <c r="DM95" s="5"/>
      <c r="DN95" s="5"/>
      <c r="DO95" s="5"/>
      <c r="DP95" s="5"/>
      <c r="DR95" s="372"/>
      <c r="DS95" s="5"/>
      <c r="DT95" s="5"/>
      <c r="DU95" s="5"/>
      <c r="DV95" s="5"/>
      <c r="DW95" s="5"/>
      <c r="DX95" s="5"/>
      <c r="DY95" s="5"/>
      <c r="DZ95" s="5"/>
      <c r="EA95" s="5"/>
      <c r="EB95" s="5"/>
      <c r="EC95" s="5"/>
      <c r="ED95" s="5"/>
      <c r="EE95" s="5"/>
      <c r="EF95" s="5"/>
      <c r="EG95" s="5"/>
      <c r="EH95" s="5"/>
      <c r="EI95" s="5"/>
      <c r="EJ95" s="5"/>
      <c r="EK95" s="5"/>
    </row>
    <row r="96" spans="1:141" ht="16.2">
      <c r="A96" s="5"/>
      <c r="B96" s="161" t="s">
        <v>906</v>
      </c>
      <c r="C96" s="161" t="s">
        <v>63</v>
      </c>
      <c r="D96" s="375" t="s">
        <v>907</v>
      </c>
      <c r="E96" s="5"/>
      <c r="F96" s="5"/>
      <c r="G96" s="5"/>
      <c r="H96" s="5"/>
      <c r="I96" s="5"/>
      <c r="J96" s="5"/>
      <c r="K96" s="5"/>
      <c r="L96" s="945"/>
      <c r="M96" s="945"/>
      <c r="N96" s="945"/>
      <c r="O96" s="945"/>
      <c r="P96" s="945"/>
      <c r="Q96" s="945"/>
      <c r="R96" s="945"/>
      <c r="S96" s="5"/>
      <c r="T96" s="374"/>
      <c r="U96" s="161"/>
      <c r="V96" s="161"/>
      <c r="W96" s="375"/>
      <c r="X96" s="5"/>
      <c r="Y96" s="5"/>
      <c r="Z96" s="5"/>
      <c r="AA96" s="5"/>
      <c r="AB96" s="5"/>
      <c r="AC96" s="5"/>
      <c r="AD96" s="5"/>
      <c r="AE96" s="380"/>
      <c r="AF96" s="380"/>
      <c r="AG96" s="380"/>
      <c r="AH96" s="380"/>
      <c r="AI96" s="380"/>
      <c r="AJ96" s="380"/>
      <c r="AK96" s="380"/>
      <c r="AL96" s="5"/>
      <c r="AM96" s="5"/>
      <c r="AN96" s="161" t="s">
        <v>906</v>
      </c>
      <c r="AO96" s="161" t="s">
        <v>63</v>
      </c>
      <c r="AP96" s="375" t="s">
        <v>907</v>
      </c>
      <c r="AQ96" s="5"/>
      <c r="AR96" s="5"/>
      <c r="AS96" s="5"/>
      <c r="AT96" s="5"/>
      <c r="AU96" s="5"/>
      <c r="AV96" s="5"/>
      <c r="AW96" s="5"/>
      <c r="AX96" s="945"/>
      <c r="AY96" s="945"/>
      <c r="AZ96" s="945"/>
      <c r="BA96" s="945"/>
      <c r="BB96" s="945"/>
      <c r="BC96" s="945"/>
      <c r="BD96" s="945"/>
      <c r="BE96" s="373"/>
      <c r="BF96" s="5"/>
      <c r="BG96" s="161" t="s">
        <v>906</v>
      </c>
      <c r="BH96" s="161" t="s">
        <v>63</v>
      </c>
      <c r="BI96" s="375" t="s">
        <v>907</v>
      </c>
      <c r="BJ96" s="5"/>
      <c r="BK96" s="5"/>
      <c r="BL96" s="5"/>
      <c r="BM96" s="5"/>
      <c r="BN96" s="5"/>
      <c r="BO96" s="5"/>
      <c r="BP96" s="5"/>
      <c r="BQ96" s="945"/>
      <c r="BR96" s="945"/>
      <c r="BS96" s="945"/>
      <c r="BT96" s="945"/>
      <c r="BU96" s="945"/>
      <c r="BV96" s="945"/>
      <c r="BW96" s="945"/>
      <c r="BX96" s="373"/>
      <c r="BY96" s="5"/>
      <c r="BZ96" s="5"/>
      <c r="CA96" s="5"/>
      <c r="CB96" s="5"/>
      <c r="CC96" s="5"/>
      <c r="CD96" s="5"/>
      <c r="CE96" s="161"/>
      <c r="CF96" s="161"/>
      <c r="CG96" s="5"/>
      <c r="CH96" s="5"/>
      <c r="CI96" s="5"/>
      <c r="CJ96" s="5"/>
      <c r="CK96" s="5"/>
      <c r="CL96" s="5"/>
      <c r="CM96" s="5"/>
      <c r="CN96" s="5"/>
      <c r="CO96" s="5"/>
      <c r="CP96" s="5"/>
      <c r="CQ96" s="5"/>
      <c r="CR96" s="5"/>
      <c r="CS96" s="5"/>
      <c r="CT96" s="5"/>
      <c r="CU96" s="5"/>
      <c r="CV96" s="5"/>
      <c r="CW96" s="372"/>
      <c r="CX96" s="5"/>
      <c r="CY96" s="161"/>
      <c r="CZ96" s="161"/>
      <c r="DA96" s="5"/>
      <c r="DB96" s="5"/>
      <c r="DC96" s="5"/>
      <c r="DD96" s="5"/>
      <c r="DE96" s="5"/>
      <c r="DF96" s="5"/>
      <c r="DG96" s="5"/>
      <c r="DH96" s="5"/>
      <c r="DI96" s="5"/>
      <c r="DJ96" s="5"/>
      <c r="DK96" s="5"/>
      <c r="DL96" s="5"/>
      <c r="DM96" s="5"/>
      <c r="DN96" s="5"/>
      <c r="DO96" s="5"/>
      <c r="DP96" s="5"/>
      <c r="DR96" s="372"/>
      <c r="DS96" s="5"/>
      <c r="DT96" s="161"/>
      <c r="DU96" s="161"/>
      <c r="DV96" s="5"/>
      <c r="DW96" s="5"/>
      <c r="DX96" s="5"/>
      <c r="DY96" s="5"/>
      <c r="DZ96" s="5"/>
      <c r="EA96" s="5"/>
      <c r="EB96" s="5"/>
      <c r="EC96" s="5"/>
      <c r="ED96" s="5"/>
      <c r="EE96" s="5"/>
      <c r="EF96" s="5"/>
      <c r="EG96" s="5"/>
      <c r="EH96" s="5"/>
      <c r="EI96" s="5"/>
      <c r="EJ96" s="5"/>
      <c r="EK96" s="5"/>
    </row>
    <row r="97" spans="1:141">
      <c r="A97" s="5"/>
      <c r="B97" s="5"/>
      <c r="C97" s="161" t="s">
        <v>63</v>
      </c>
      <c r="D97" s="946">
        <f>4480*D91*(O44/K45)*10^-6*1.3</f>
        <v>1.2153344000000001</v>
      </c>
      <c r="E97" s="946"/>
      <c r="F97" s="5" t="s">
        <v>361</v>
      </c>
      <c r="G97" s="5"/>
      <c r="H97" s="389">
        <f>0.2*D97*3</f>
        <v>0.72920064000000018</v>
      </c>
      <c r="I97" s="5"/>
      <c r="J97" s="5"/>
      <c r="K97" s="5"/>
      <c r="L97" s="5"/>
      <c r="M97" s="5"/>
      <c r="N97" s="5"/>
      <c r="O97" s="5"/>
      <c r="P97" s="5"/>
      <c r="Q97" s="5"/>
      <c r="R97" s="5"/>
      <c r="S97" s="5"/>
      <c r="T97" s="374"/>
      <c r="U97" s="5"/>
      <c r="V97" s="161"/>
      <c r="W97" s="430"/>
      <c r="X97" s="430"/>
      <c r="Y97" s="5"/>
      <c r="Z97" s="5"/>
      <c r="AA97" s="389"/>
      <c r="AB97" s="5"/>
      <c r="AC97" s="5"/>
      <c r="AD97" s="5"/>
      <c r="AE97" s="5"/>
      <c r="AF97" s="5"/>
      <c r="AG97" s="5"/>
      <c r="AH97" s="5"/>
      <c r="AI97" s="5"/>
      <c r="AJ97" s="5"/>
      <c r="AK97" s="5"/>
      <c r="AL97" s="5"/>
      <c r="AM97" s="5"/>
      <c r="AN97" s="5"/>
      <c r="AO97" s="161" t="s">
        <v>63</v>
      </c>
      <c r="AP97" s="946">
        <f>3920*AP91*(BA44/AW45)*10^-6*1.3</f>
        <v>0.79756320000000003</v>
      </c>
      <c r="AQ97" s="946"/>
      <c r="AR97" s="5" t="s">
        <v>361</v>
      </c>
      <c r="AS97" s="5"/>
      <c r="AT97" s="389">
        <f>0.2*AP97*3</f>
        <v>0.47853792000000006</v>
      </c>
      <c r="AU97" s="5"/>
      <c r="AV97" s="5"/>
      <c r="AW97" s="5"/>
      <c r="AX97" s="5"/>
      <c r="AY97" s="5"/>
      <c r="AZ97" s="5"/>
      <c r="BA97" s="5"/>
      <c r="BB97" s="5"/>
      <c r="BC97" s="5"/>
      <c r="BD97" s="5"/>
      <c r="BE97" s="373"/>
      <c r="BF97" s="5"/>
      <c r="BG97" s="5"/>
      <c r="BH97" s="161" t="s">
        <v>63</v>
      </c>
      <c r="BI97" s="946">
        <f>3920*BI91*(BT44/BP45)*10^-6*1.3</f>
        <v>0.46524520000000003</v>
      </c>
      <c r="BJ97" s="946"/>
      <c r="BK97" s="5" t="s">
        <v>361</v>
      </c>
      <c r="BL97" s="5"/>
      <c r="BM97" s="389">
        <f>0.2*BI97*3</f>
        <v>0.27914712000000003</v>
      </c>
      <c r="BN97" s="5"/>
      <c r="BO97" s="5"/>
      <c r="BP97" s="5"/>
      <c r="BQ97" s="5"/>
      <c r="BR97" s="5"/>
      <c r="BS97" s="5"/>
      <c r="BT97" s="5"/>
      <c r="BU97" s="5"/>
      <c r="BV97" s="5"/>
      <c r="BW97" s="5"/>
      <c r="BX97" s="373"/>
      <c r="BY97" s="5"/>
      <c r="BZ97" s="5"/>
      <c r="CA97" s="5"/>
      <c r="CB97" s="5"/>
      <c r="CC97" s="5"/>
      <c r="CD97" s="5"/>
      <c r="CE97" s="5"/>
      <c r="CF97" s="161"/>
      <c r="CG97" s="390"/>
      <c r="CH97" s="390"/>
      <c r="CI97" s="5"/>
      <c r="CJ97" s="5"/>
      <c r="CK97" s="5"/>
      <c r="CL97" s="5"/>
      <c r="CM97" s="5"/>
      <c r="CN97" s="5"/>
      <c r="CO97" s="5"/>
      <c r="CP97" s="5"/>
      <c r="CQ97" s="5"/>
      <c r="CR97" s="5"/>
      <c r="CS97" s="5"/>
      <c r="CT97" s="5"/>
      <c r="CU97" s="5"/>
      <c r="CV97" s="5"/>
      <c r="CW97" s="372"/>
      <c r="CX97" s="5"/>
      <c r="CY97" s="5"/>
      <c r="CZ97" s="161"/>
      <c r="DA97" s="390"/>
      <c r="DB97" s="390"/>
      <c r="DC97" s="5"/>
      <c r="DD97" s="5"/>
      <c r="DE97" s="5"/>
      <c r="DF97" s="5"/>
      <c r="DG97" s="5"/>
      <c r="DH97" s="5"/>
      <c r="DI97" s="5"/>
      <c r="DJ97" s="5"/>
      <c r="DK97" s="5"/>
      <c r="DL97" s="5"/>
      <c r="DM97" s="5"/>
      <c r="DN97" s="5"/>
      <c r="DO97" s="5"/>
      <c r="DP97" s="5"/>
      <c r="DR97" s="372"/>
      <c r="DS97" s="5"/>
      <c r="DT97" s="5"/>
      <c r="DU97" s="161"/>
      <c r="DV97" s="947"/>
      <c r="DW97" s="947"/>
      <c r="DX97" s="5"/>
      <c r="DY97" s="5"/>
      <c r="DZ97" s="5"/>
      <c r="EA97" s="5"/>
      <c r="EB97" s="5"/>
      <c r="EC97" s="5"/>
      <c r="ED97" s="5"/>
      <c r="EE97" s="5"/>
      <c r="EF97" s="5"/>
      <c r="EG97" s="5"/>
      <c r="EH97" s="5"/>
      <c r="EI97" s="5"/>
      <c r="EJ97" s="5"/>
      <c r="EK97" s="5"/>
    </row>
    <row r="98" spans="1:141">
      <c r="A98" s="5"/>
      <c r="B98" s="5"/>
      <c r="C98" s="5"/>
      <c r="D98" s="5"/>
      <c r="E98" s="5"/>
      <c r="F98" s="5"/>
      <c r="G98" s="5"/>
      <c r="H98" s="5"/>
      <c r="I98" s="5"/>
      <c r="J98" s="5"/>
      <c r="K98" s="5"/>
      <c r="L98" s="5"/>
      <c r="M98" s="5"/>
      <c r="N98" s="5"/>
      <c r="O98" s="5"/>
      <c r="P98" s="5"/>
      <c r="Q98" s="5"/>
      <c r="R98" s="5"/>
      <c r="S98" s="5"/>
      <c r="T98" s="374"/>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373"/>
      <c r="BF98" s="5"/>
      <c r="BG98" s="5"/>
      <c r="BH98" s="5"/>
      <c r="BI98" s="5"/>
      <c r="BJ98" s="5"/>
      <c r="BK98" s="5"/>
      <c r="BL98" s="5"/>
      <c r="BM98" s="5"/>
      <c r="BN98" s="5"/>
      <c r="BO98" s="5"/>
      <c r="BP98" s="5"/>
      <c r="BQ98" s="5"/>
      <c r="BR98" s="5"/>
      <c r="BS98" s="5"/>
      <c r="BT98" s="5"/>
      <c r="BU98" s="5"/>
      <c r="BV98" s="5"/>
      <c r="BW98" s="5"/>
      <c r="BX98" s="373"/>
      <c r="BY98" s="5"/>
      <c r="BZ98" s="5"/>
      <c r="CA98" s="5"/>
      <c r="CB98" s="5"/>
      <c r="CC98" s="5"/>
      <c r="CD98" s="5"/>
      <c r="CE98" s="5"/>
      <c r="CF98" s="5"/>
      <c r="CG98" s="5"/>
      <c r="CH98" s="5"/>
      <c r="CI98" s="5"/>
      <c r="CJ98" s="5"/>
      <c r="CK98" s="5"/>
      <c r="CL98" s="5"/>
      <c r="CM98" s="5"/>
      <c r="CN98" s="5"/>
      <c r="CO98" s="5"/>
      <c r="CP98" s="5"/>
      <c r="CQ98" s="5"/>
      <c r="CR98" s="5"/>
      <c r="CS98" s="5"/>
      <c r="CT98" s="5"/>
      <c r="CU98" s="5"/>
      <c r="CV98" s="5"/>
      <c r="CW98" s="372"/>
      <c r="CX98" s="5"/>
      <c r="CY98" s="5"/>
      <c r="CZ98" s="5"/>
      <c r="DA98" s="5"/>
      <c r="DB98" s="5"/>
      <c r="DC98" s="5"/>
      <c r="DD98" s="5"/>
      <c r="DE98" s="5"/>
      <c r="DF98" s="5"/>
      <c r="DG98" s="5"/>
      <c r="DH98" s="5"/>
      <c r="DI98" s="5"/>
      <c r="DJ98" s="5"/>
      <c r="DK98" s="5"/>
      <c r="DL98" s="5"/>
      <c r="DM98" s="5"/>
      <c r="DN98" s="5"/>
      <c r="DO98" s="5"/>
      <c r="DP98" s="5"/>
      <c r="DR98" s="372"/>
      <c r="DS98" s="5"/>
      <c r="DT98" s="5"/>
      <c r="DU98" s="5"/>
      <c r="DV98" s="5"/>
      <c r="DW98" s="5"/>
      <c r="DX98" s="5"/>
      <c r="DY98" s="5"/>
      <c r="DZ98" s="5"/>
      <c r="EA98" s="5"/>
      <c r="EB98" s="5"/>
      <c r="EC98" s="5"/>
      <c r="ED98" s="5"/>
      <c r="EE98" s="5"/>
      <c r="EF98" s="5"/>
      <c r="EG98" s="5"/>
      <c r="EH98" s="5"/>
      <c r="EI98" s="5"/>
      <c r="EJ98" s="5"/>
      <c r="EK98" s="5"/>
    </row>
    <row r="99" spans="1:141">
      <c r="A99" s="161" t="s">
        <v>909</v>
      </c>
      <c r="B99" s="5" t="s">
        <v>910</v>
      </c>
      <c r="C99" s="5"/>
      <c r="D99" s="5"/>
      <c r="E99" s="5"/>
      <c r="F99" s="5"/>
      <c r="G99" s="5"/>
      <c r="H99" s="5"/>
      <c r="I99" s="5"/>
      <c r="J99" s="5"/>
      <c r="K99" s="5"/>
      <c r="L99" s="5"/>
      <c r="M99" s="5"/>
      <c r="N99" s="5"/>
      <c r="O99" s="5"/>
      <c r="P99" s="5"/>
      <c r="Q99" s="5"/>
      <c r="R99" s="5"/>
      <c r="S99" s="5"/>
      <c r="T99" s="374"/>
      <c r="U99" s="5"/>
      <c r="V99" s="5"/>
      <c r="W99" s="5"/>
      <c r="X99" s="5"/>
      <c r="Y99" s="5"/>
      <c r="Z99" s="5"/>
      <c r="AA99" s="5"/>
      <c r="AB99" s="5"/>
      <c r="AC99" s="5"/>
      <c r="AD99" s="5"/>
      <c r="AE99" s="5"/>
      <c r="AF99" s="5"/>
      <c r="AG99" s="5"/>
      <c r="AH99" s="5"/>
      <c r="AI99" s="5"/>
      <c r="AJ99" s="5"/>
      <c r="AK99" s="5"/>
      <c r="AL99" s="5"/>
      <c r="AM99" s="161" t="s">
        <v>909</v>
      </c>
      <c r="AN99" s="5" t="s">
        <v>910</v>
      </c>
      <c r="AO99" s="5"/>
      <c r="AP99" s="5"/>
      <c r="AQ99" s="5"/>
      <c r="AR99" s="5"/>
      <c r="AS99" s="5"/>
      <c r="AT99" s="5"/>
      <c r="AU99" s="5"/>
      <c r="AV99" s="5"/>
      <c r="AW99" s="5"/>
      <c r="AX99" s="5"/>
      <c r="AY99" s="5"/>
      <c r="AZ99" s="5"/>
      <c r="BA99" s="5"/>
      <c r="BB99" s="5"/>
      <c r="BC99" s="5"/>
      <c r="BD99" s="5"/>
      <c r="BE99" s="373"/>
      <c r="BF99" s="161" t="s">
        <v>909</v>
      </c>
      <c r="BG99" s="5" t="s">
        <v>910</v>
      </c>
      <c r="BH99" s="5"/>
      <c r="BI99" s="5"/>
      <c r="BJ99" s="5"/>
      <c r="BK99" s="5"/>
      <c r="BL99" s="5"/>
      <c r="BM99" s="5"/>
      <c r="BN99" s="5"/>
      <c r="BO99" s="5"/>
      <c r="BP99" s="5"/>
      <c r="BQ99" s="5"/>
      <c r="BR99" s="5"/>
      <c r="BS99" s="5"/>
      <c r="BT99" s="5"/>
      <c r="BU99" s="5"/>
      <c r="BV99" s="5"/>
      <c r="BW99" s="5"/>
      <c r="BX99" s="373"/>
      <c r="BY99" s="5"/>
      <c r="BZ99" s="5"/>
      <c r="CA99" s="5"/>
      <c r="CB99" s="5"/>
      <c r="CC99" s="5"/>
      <c r="CD99" s="161"/>
      <c r="CE99" s="5"/>
      <c r="CF99" s="5"/>
      <c r="CG99" s="5"/>
      <c r="CH99" s="5"/>
      <c r="CI99" s="5"/>
      <c r="CJ99" s="5"/>
      <c r="CK99" s="5"/>
      <c r="CL99" s="5"/>
      <c r="CM99" s="5"/>
      <c r="CN99" s="5"/>
      <c r="CO99" s="5"/>
      <c r="CP99" s="5"/>
      <c r="CQ99" s="5"/>
      <c r="CR99" s="5"/>
      <c r="CS99" s="5"/>
      <c r="CT99" s="5"/>
      <c r="CU99" s="5"/>
      <c r="CV99" s="5"/>
      <c r="CW99" s="372"/>
      <c r="CX99" s="161"/>
      <c r="CY99" s="5"/>
      <c r="CZ99" s="5"/>
      <c r="DA99" s="5"/>
      <c r="DB99" s="5"/>
      <c r="DC99" s="5"/>
      <c r="DD99" s="5"/>
      <c r="DE99" s="5"/>
      <c r="DF99" s="5"/>
      <c r="DG99" s="5"/>
      <c r="DH99" s="5"/>
      <c r="DI99" s="5"/>
      <c r="DJ99" s="5"/>
      <c r="DK99" s="5"/>
      <c r="DL99" s="5"/>
      <c r="DM99" s="5"/>
      <c r="DN99" s="5"/>
      <c r="DO99" s="5"/>
      <c r="DP99" s="5"/>
      <c r="DR99" s="372"/>
      <c r="DS99" s="161"/>
      <c r="DT99" s="5"/>
      <c r="DU99" s="5"/>
      <c r="DV99" s="5"/>
      <c r="DW99" s="5"/>
      <c r="DX99" s="5"/>
      <c r="DY99" s="5"/>
      <c r="DZ99" s="5"/>
      <c r="EA99" s="5"/>
      <c r="EB99" s="5"/>
      <c r="EC99" s="5"/>
      <c r="ED99" s="5"/>
      <c r="EE99" s="5"/>
      <c r="EF99" s="5"/>
      <c r="EG99" s="5"/>
      <c r="EH99" s="5"/>
      <c r="EI99" s="5"/>
      <c r="EJ99" s="5"/>
      <c r="EK99" s="5"/>
    </row>
    <row r="100" spans="1:141" ht="16.2">
      <c r="A100" s="5"/>
      <c r="B100" s="5" t="s">
        <v>911</v>
      </c>
      <c r="C100" s="5"/>
      <c r="D100" s="161" t="s">
        <v>63</v>
      </c>
      <c r="E100" s="5" t="s">
        <v>912</v>
      </c>
      <c r="F100" s="5"/>
      <c r="G100" s="5" t="s">
        <v>877</v>
      </c>
      <c r="H100" s="5"/>
      <c r="I100" s="5"/>
      <c r="J100" s="5"/>
      <c r="K100" s="5"/>
      <c r="L100" s="5"/>
      <c r="M100" s="5"/>
      <c r="N100" s="5"/>
      <c r="O100" s="5"/>
      <c r="P100" s="5"/>
      <c r="Q100" s="5"/>
      <c r="R100" s="5"/>
      <c r="S100" s="5"/>
      <c r="T100" s="374"/>
      <c r="U100" s="5"/>
      <c r="V100" s="5"/>
      <c r="W100" s="161"/>
      <c r="X100" s="5"/>
      <c r="Y100" s="5"/>
      <c r="Z100" s="5"/>
      <c r="AA100" s="5"/>
      <c r="AB100" s="5"/>
      <c r="AC100" s="5"/>
      <c r="AD100" s="5"/>
      <c r="AE100" s="5"/>
      <c r="AF100" s="5"/>
      <c r="AG100" s="5"/>
      <c r="AH100" s="5"/>
      <c r="AI100" s="5"/>
      <c r="AJ100" s="5"/>
      <c r="AK100" s="5"/>
      <c r="AL100" s="5"/>
      <c r="AM100" s="5"/>
      <c r="AN100" s="5" t="s">
        <v>911</v>
      </c>
      <c r="AO100" s="5"/>
      <c r="AP100" s="161" t="s">
        <v>63</v>
      </c>
      <c r="AQ100" s="5" t="s">
        <v>912</v>
      </c>
      <c r="AR100" s="5"/>
      <c r="AS100" s="5" t="s">
        <v>877</v>
      </c>
      <c r="AT100" s="5"/>
      <c r="AU100" s="5"/>
      <c r="AV100" s="5"/>
      <c r="AW100" s="5"/>
      <c r="AX100" s="5"/>
      <c r="AY100" s="5"/>
      <c r="AZ100" s="5"/>
      <c r="BA100" s="5"/>
      <c r="BB100" s="5"/>
      <c r="BC100" s="5"/>
      <c r="BD100" s="5"/>
      <c r="BE100" s="373"/>
      <c r="BF100" s="5"/>
      <c r="BG100" s="5" t="s">
        <v>911</v>
      </c>
      <c r="BH100" s="5"/>
      <c r="BI100" s="161" t="s">
        <v>63</v>
      </c>
      <c r="BJ100" s="5" t="s">
        <v>912</v>
      </c>
      <c r="BK100" s="5"/>
      <c r="BL100" s="5" t="s">
        <v>877</v>
      </c>
      <c r="BM100" s="5"/>
      <c r="BN100" s="5"/>
      <c r="BO100" s="5"/>
      <c r="BP100" s="5"/>
      <c r="BQ100" s="5"/>
      <c r="BR100" s="5"/>
      <c r="BS100" s="5"/>
      <c r="BT100" s="5"/>
      <c r="BU100" s="5"/>
      <c r="BV100" s="5"/>
      <c r="BW100" s="5"/>
      <c r="BX100" s="373"/>
      <c r="BY100" s="5"/>
      <c r="BZ100" s="5"/>
      <c r="CA100" s="5"/>
      <c r="CB100" s="5"/>
      <c r="CC100" s="5"/>
      <c r="CD100" s="5"/>
      <c r="CE100" s="5"/>
      <c r="CF100" s="5"/>
      <c r="CG100" s="161"/>
      <c r="CH100" s="5"/>
      <c r="CI100" s="5"/>
      <c r="CJ100" s="5"/>
      <c r="CK100" s="5"/>
      <c r="CL100" s="5"/>
      <c r="CM100" s="5"/>
      <c r="CN100" s="5"/>
      <c r="CO100" s="5"/>
      <c r="CP100" s="5"/>
      <c r="CQ100" s="5"/>
      <c r="CR100" s="5"/>
      <c r="CS100" s="5"/>
      <c r="CT100" s="5"/>
      <c r="CU100" s="5"/>
      <c r="CV100" s="5"/>
      <c r="CW100" s="372"/>
      <c r="CX100" s="5"/>
      <c r="CY100" s="5"/>
      <c r="CZ100" s="5"/>
      <c r="DA100" s="161"/>
      <c r="DB100" s="5"/>
      <c r="DC100" s="5"/>
      <c r="DD100" s="5"/>
      <c r="DE100" s="5"/>
      <c r="DF100" s="5"/>
      <c r="DG100" s="5"/>
      <c r="DH100" s="5"/>
      <c r="DI100" s="5"/>
      <c r="DJ100" s="5"/>
      <c r="DK100" s="5"/>
      <c r="DL100" s="5"/>
      <c r="DM100" s="5"/>
      <c r="DN100" s="5"/>
      <c r="DO100" s="5"/>
      <c r="DP100" s="5"/>
      <c r="DR100" s="372"/>
      <c r="DS100" s="5"/>
      <c r="DT100" s="5"/>
      <c r="DU100" s="5"/>
      <c r="DV100" s="161"/>
      <c r="DW100" s="5"/>
      <c r="DX100" s="5"/>
      <c r="DY100" s="5"/>
      <c r="DZ100" s="5"/>
      <c r="EA100" s="5"/>
      <c r="EB100" s="5"/>
      <c r="EC100" s="5"/>
      <c r="ED100" s="5"/>
      <c r="EE100" s="5"/>
      <c r="EF100" s="5"/>
      <c r="EG100" s="5"/>
      <c r="EH100" s="5"/>
      <c r="EI100" s="5"/>
      <c r="EJ100" s="5"/>
      <c r="EK100" s="5"/>
    </row>
    <row r="101" spans="1:141" ht="16.2">
      <c r="A101" s="5"/>
      <c r="B101" s="5" t="s">
        <v>913</v>
      </c>
      <c r="C101" s="5"/>
      <c r="D101" s="5"/>
      <c r="E101" s="5"/>
      <c r="F101" s="161" t="s">
        <v>63</v>
      </c>
      <c r="G101" s="161">
        <v>0.9</v>
      </c>
      <c r="H101" s="5" t="s">
        <v>899</v>
      </c>
      <c r="I101" s="5"/>
      <c r="J101" s="5"/>
      <c r="K101" s="5"/>
      <c r="L101" s="5"/>
      <c r="M101" s="5"/>
      <c r="N101" s="5"/>
      <c r="O101" s="5"/>
      <c r="P101" s="5"/>
      <c r="Q101" s="5"/>
      <c r="R101" s="5"/>
      <c r="S101" s="5"/>
      <c r="T101" s="374"/>
      <c r="U101" s="5"/>
      <c r="V101" s="5"/>
      <c r="W101" s="5"/>
      <c r="X101" s="5"/>
      <c r="Y101" s="161"/>
      <c r="Z101" s="161"/>
      <c r="AA101" s="5"/>
      <c r="AB101" s="5"/>
      <c r="AC101" s="5"/>
      <c r="AD101" s="5"/>
      <c r="AE101" s="5"/>
      <c r="AF101" s="5"/>
      <c r="AG101" s="5"/>
      <c r="AH101" s="5"/>
      <c r="AI101" s="5"/>
      <c r="AJ101" s="5"/>
      <c r="AK101" s="5"/>
      <c r="AL101" s="5"/>
      <c r="AM101" s="5"/>
      <c r="AN101" s="5" t="s">
        <v>913</v>
      </c>
      <c r="AO101" s="5"/>
      <c r="AP101" s="5"/>
      <c r="AQ101" s="5"/>
      <c r="AR101" s="161" t="s">
        <v>63</v>
      </c>
      <c r="AS101" s="161">
        <v>0.9</v>
      </c>
      <c r="AT101" s="5" t="s">
        <v>899</v>
      </c>
      <c r="AU101" s="5"/>
      <c r="AV101" s="5"/>
      <c r="AW101" s="5"/>
      <c r="AX101" s="5"/>
      <c r="AY101" s="5"/>
      <c r="AZ101" s="5"/>
      <c r="BA101" s="5"/>
      <c r="BB101" s="5"/>
      <c r="BC101" s="5"/>
      <c r="BD101" s="5"/>
      <c r="BE101" s="373"/>
      <c r="BF101" s="5"/>
      <c r="BG101" s="5" t="s">
        <v>913</v>
      </c>
      <c r="BH101" s="5"/>
      <c r="BI101" s="5"/>
      <c r="BJ101" s="5"/>
      <c r="BK101" s="161" t="s">
        <v>63</v>
      </c>
      <c r="BL101" s="161">
        <v>0.9</v>
      </c>
      <c r="BM101" s="5" t="s">
        <v>899</v>
      </c>
      <c r="BN101" s="5"/>
      <c r="BO101" s="5"/>
      <c r="BP101" s="5"/>
      <c r="BQ101" s="5"/>
      <c r="BR101" s="5"/>
      <c r="BS101" s="5"/>
      <c r="BT101" s="5"/>
      <c r="BU101" s="5"/>
      <c r="BV101" s="5"/>
      <c r="BW101" s="5"/>
      <c r="BX101" s="373"/>
      <c r="BY101" s="5"/>
      <c r="BZ101" s="5"/>
      <c r="CA101" s="5"/>
      <c r="CB101" s="5"/>
      <c r="CC101" s="5"/>
      <c r="CD101" s="5"/>
      <c r="CE101" s="5"/>
      <c r="CF101" s="5"/>
      <c r="CG101" s="5"/>
      <c r="CH101" s="5"/>
      <c r="CI101" s="161"/>
      <c r="CJ101" s="161"/>
      <c r="CK101" s="5"/>
      <c r="CL101" s="5"/>
      <c r="CM101" s="5"/>
      <c r="CN101" s="5"/>
      <c r="CO101" s="5"/>
      <c r="CP101" s="5"/>
      <c r="CQ101" s="5"/>
      <c r="CR101" s="5"/>
      <c r="CS101" s="5"/>
      <c r="CT101" s="5"/>
      <c r="CU101" s="5"/>
      <c r="CV101" s="5"/>
      <c r="CW101" s="372"/>
      <c r="CX101" s="5"/>
      <c r="CY101" s="5"/>
      <c r="CZ101" s="5"/>
      <c r="DA101" s="5"/>
      <c r="DB101" s="5"/>
      <c r="DC101" s="161"/>
      <c r="DD101" s="161"/>
      <c r="DE101" s="5"/>
      <c r="DF101" s="5"/>
      <c r="DG101" s="5"/>
      <c r="DH101" s="5"/>
      <c r="DI101" s="5"/>
      <c r="DJ101" s="5"/>
      <c r="DK101" s="5"/>
      <c r="DL101" s="5"/>
      <c r="DM101" s="5"/>
      <c r="DN101" s="5"/>
      <c r="DO101" s="5"/>
      <c r="DP101" s="5"/>
      <c r="DR101" s="372"/>
      <c r="DS101" s="5"/>
      <c r="DT101" s="5"/>
      <c r="DU101" s="5"/>
      <c r="DV101" s="5"/>
      <c r="DW101" s="5"/>
      <c r="DX101" s="161"/>
      <c r="DY101" s="161"/>
      <c r="DZ101" s="5"/>
      <c r="EA101" s="5"/>
      <c r="EB101" s="5"/>
      <c r="EC101" s="5"/>
      <c r="ED101" s="5"/>
      <c r="EE101" s="5"/>
      <c r="EF101" s="5"/>
      <c r="EG101" s="5"/>
      <c r="EH101" s="5"/>
      <c r="EI101" s="5"/>
      <c r="EJ101" s="5"/>
      <c r="EK101" s="5"/>
    </row>
    <row r="102" spans="1:141">
      <c r="A102" s="5"/>
      <c r="B102" s="5"/>
      <c r="C102" s="5"/>
      <c r="D102" s="5"/>
      <c r="E102" s="5"/>
      <c r="F102" s="5"/>
      <c r="G102" s="5"/>
      <c r="H102" s="5"/>
      <c r="I102" s="5"/>
      <c r="J102" s="5"/>
      <c r="K102" s="5"/>
      <c r="L102" s="5"/>
      <c r="M102" s="5"/>
      <c r="N102" s="5"/>
      <c r="O102" s="5"/>
      <c r="P102" s="5"/>
      <c r="Q102" s="5"/>
      <c r="R102" s="5"/>
      <c r="S102" s="5"/>
      <c r="T102" s="374"/>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373"/>
      <c r="BF102" s="5"/>
      <c r="BG102" s="5"/>
      <c r="BH102" s="5"/>
      <c r="BI102" s="5"/>
      <c r="BJ102" s="5"/>
      <c r="BK102" s="5"/>
      <c r="BL102" s="5"/>
      <c r="BM102" s="5"/>
      <c r="BN102" s="5"/>
      <c r="BO102" s="5"/>
      <c r="BP102" s="5"/>
      <c r="BQ102" s="5"/>
      <c r="BR102" s="5"/>
      <c r="BS102" s="5"/>
      <c r="BT102" s="5"/>
      <c r="BU102" s="5"/>
      <c r="BV102" s="5"/>
      <c r="BW102" s="5"/>
      <c r="BX102" s="373"/>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372"/>
      <c r="CX102" s="5"/>
      <c r="CY102" s="5"/>
      <c r="CZ102" s="5"/>
      <c r="DA102" s="5"/>
      <c r="DB102" s="5"/>
      <c r="DC102" s="5"/>
      <c r="DD102" s="5"/>
      <c r="DE102" s="5"/>
      <c r="DF102" s="5"/>
      <c r="DG102" s="5"/>
      <c r="DH102" s="5"/>
      <c r="DI102" s="5"/>
      <c r="DJ102" s="5"/>
      <c r="DK102" s="5"/>
      <c r="DL102" s="5"/>
      <c r="DM102" s="5"/>
      <c r="DN102" s="5"/>
      <c r="DO102" s="5"/>
      <c r="DP102" s="5"/>
      <c r="DR102" s="372"/>
      <c r="DS102" s="5"/>
      <c r="DT102" s="5"/>
      <c r="DU102" s="5"/>
      <c r="DV102" s="5"/>
      <c r="DW102" s="5"/>
      <c r="DX102" s="5"/>
      <c r="DY102" s="5"/>
      <c r="DZ102" s="5"/>
      <c r="EA102" s="5"/>
      <c r="EB102" s="5"/>
      <c r="EC102" s="5"/>
      <c r="ED102" s="5"/>
      <c r="EE102" s="5"/>
      <c r="EF102" s="5"/>
      <c r="EG102" s="5"/>
      <c r="EH102" s="5"/>
      <c r="EI102" s="5"/>
      <c r="EJ102" s="5"/>
      <c r="EK102" s="5"/>
    </row>
    <row r="103" spans="1:141" ht="15.6">
      <c r="A103" s="5"/>
      <c r="B103" s="5" t="s">
        <v>911</v>
      </c>
      <c r="C103" s="5"/>
      <c r="D103" s="161" t="s">
        <v>63</v>
      </c>
      <c r="E103" s="5" t="s">
        <v>912</v>
      </c>
      <c r="F103" s="5"/>
      <c r="G103" s="5"/>
      <c r="H103" s="5"/>
      <c r="I103" s="5"/>
      <c r="J103" s="5"/>
      <c r="K103" s="5"/>
      <c r="L103" s="5"/>
      <c r="M103" s="5"/>
      <c r="N103" s="5"/>
      <c r="O103" s="5"/>
      <c r="P103" s="5"/>
      <c r="Q103" s="5"/>
      <c r="R103" s="5"/>
      <c r="S103" s="5"/>
      <c r="T103" s="374"/>
      <c r="U103" s="5"/>
      <c r="V103" s="5"/>
      <c r="W103" s="161"/>
      <c r="X103" s="5"/>
      <c r="Y103" s="5"/>
      <c r="Z103" s="5"/>
      <c r="AA103" s="5"/>
      <c r="AB103" s="5"/>
      <c r="AC103" s="5"/>
      <c r="AD103" s="5"/>
      <c r="AE103" s="5"/>
      <c r="AF103" s="5"/>
      <c r="AG103" s="5"/>
      <c r="AH103" s="5"/>
      <c r="AI103" s="5"/>
      <c r="AJ103" s="5"/>
      <c r="AK103" s="5"/>
      <c r="AL103" s="5"/>
      <c r="AM103" s="5"/>
      <c r="AN103" s="5" t="s">
        <v>911</v>
      </c>
      <c r="AO103" s="5"/>
      <c r="AP103" s="161" t="s">
        <v>63</v>
      </c>
      <c r="AQ103" s="5" t="s">
        <v>912</v>
      </c>
      <c r="AR103" s="5"/>
      <c r="AS103" s="5"/>
      <c r="AT103" s="5"/>
      <c r="AU103" s="5"/>
      <c r="AV103" s="5"/>
      <c r="AW103" s="5"/>
      <c r="AX103" s="5"/>
      <c r="AY103" s="5"/>
      <c r="AZ103" s="5"/>
      <c r="BA103" s="5"/>
      <c r="BB103" s="5"/>
      <c r="BC103" s="5"/>
      <c r="BD103" s="5"/>
      <c r="BE103" s="373"/>
      <c r="BF103" s="5"/>
      <c r="BG103" s="5" t="s">
        <v>911</v>
      </c>
      <c r="BH103" s="5"/>
      <c r="BI103" s="161" t="s">
        <v>63</v>
      </c>
      <c r="BJ103" s="5" t="s">
        <v>912</v>
      </c>
      <c r="BK103" s="5"/>
      <c r="BL103" s="5"/>
      <c r="BM103" s="5"/>
      <c r="BN103" s="5"/>
      <c r="BO103" s="5"/>
      <c r="BP103" s="5"/>
      <c r="BQ103" s="5"/>
      <c r="BR103" s="5"/>
      <c r="BS103" s="5"/>
      <c r="BT103" s="5"/>
      <c r="BU103" s="5"/>
      <c r="BV103" s="5"/>
      <c r="BW103" s="5"/>
      <c r="BX103" s="373"/>
      <c r="BY103" s="5"/>
      <c r="BZ103" s="5"/>
      <c r="CA103" s="5"/>
      <c r="CB103" s="5"/>
      <c r="CC103" s="5"/>
      <c r="CD103" s="5"/>
      <c r="CE103" s="5"/>
      <c r="CF103" s="5"/>
      <c r="CG103" s="161"/>
      <c r="CH103" s="5"/>
      <c r="CI103" s="5"/>
      <c r="CJ103" s="5"/>
      <c r="CK103" s="5"/>
      <c r="CL103" s="5"/>
      <c r="CM103" s="5"/>
      <c r="CN103" s="5"/>
      <c r="CO103" s="5"/>
      <c r="CP103" s="5"/>
      <c r="CQ103" s="5"/>
      <c r="CR103" s="5"/>
      <c r="CS103" s="5"/>
      <c r="CT103" s="5"/>
      <c r="CU103" s="5"/>
      <c r="CV103" s="5"/>
      <c r="CW103" s="372"/>
      <c r="CX103" s="5"/>
      <c r="CY103" s="5"/>
      <c r="CZ103" s="5"/>
      <c r="DA103" s="161"/>
      <c r="DB103" s="5"/>
      <c r="DC103" s="5"/>
      <c r="DD103" s="5"/>
      <c r="DE103" s="5"/>
      <c r="DF103" s="5"/>
      <c r="DG103" s="5"/>
      <c r="DH103" s="5"/>
      <c r="DI103" s="5"/>
      <c r="DJ103" s="5"/>
      <c r="DK103" s="5"/>
      <c r="DL103" s="5"/>
      <c r="DM103" s="5"/>
      <c r="DN103" s="5"/>
      <c r="DO103" s="5"/>
      <c r="DP103" s="5"/>
      <c r="DR103" s="372"/>
      <c r="DS103" s="5"/>
      <c r="DT103" s="5"/>
      <c r="DU103" s="5"/>
      <c r="DV103" s="161"/>
      <c r="DW103" s="5"/>
      <c r="DX103" s="5"/>
      <c r="DY103" s="5"/>
      <c r="DZ103" s="5"/>
      <c r="EA103" s="5"/>
      <c r="EB103" s="5"/>
      <c r="EC103" s="5"/>
      <c r="ED103" s="5"/>
      <c r="EE103" s="5"/>
      <c r="EF103" s="5"/>
      <c r="EG103" s="5"/>
      <c r="EH103" s="5"/>
      <c r="EI103" s="5"/>
      <c r="EJ103" s="5"/>
      <c r="EK103" s="5"/>
    </row>
    <row r="104" spans="1:141" ht="16.2">
      <c r="A104" s="5"/>
      <c r="B104" s="5"/>
      <c r="C104" s="5"/>
      <c r="D104" s="161" t="s">
        <v>63</v>
      </c>
      <c r="E104" s="891">
        <f>D97/G101</f>
        <v>1.3503715555555558</v>
      </c>
      <c r="F104" s="891"/>
      <c r="G104" s="5" t="s">
        <v>877</v>
      </c>
      <c r="H104" s="5"/>
      <c r="I104" s="5"/>
      <c r="J104" s="5"/>
      <c r="K104" s="5"/>
      <c r="L104" s="945" t="s">
        <v>872</v>
      </c>
      <c r="M104" s="945"/>
      <c r="N104" s="945"/>
      <c r="O104" s="945"/>
      <c r="P104" s="945"/>
      <c r="Q104" s="945"/>
      <c r="R104" s="945"/>
      <c r="S104" s="5"/>
      <c r="T104" s="374"/>
      <c r="U104" s="5"/>
      <c r="V104" s="5"/>
      <c r="W104" s="161"/>
      <c r="X104" s="383"/>
      <c r="Y104" s="383"/>
      <c r="Z104" s="5"/>
      <c r="AA104" s="5"/>
      <c r="AB104" s="5"/>
      <c r="AC104" s="5"/>
      <c r="AD104" s="5"/>
      <c r="AE104" s="380"/>
      <c r="AF104" s="380"/>
      <c r="AG104" s="380"/>
      <c r="AH104" s="380"/>
      <c r="AI104" s="380"/>
      <c r="AJ104" s="380"/>
      <c r="AK104" s="380"/>
      <c r="AL104" s="5"/>
      <c r="AM104" s="5"/>
      <c r="AN104" s="5"/>
      <c r="AO104" s="5"/>
      <c r="AP104" s="161" t="s">
        <v>63</v>
      </c>
      <c r="AQ104" s="891">
        <f>AP97/AS101</f>
        <v>0.88618133333333338</v>
      </c>
      <c r="AR104" s="891"/>
      <c r="AS104" s="5" t="s">
        <v>877</v>
      </c>
      <c r="AT104" s="5"/>
      <c r="AU104" s="5"/>
      <c r="AV104" s="5"/>
      <c r="AW104" s="5"/>
      <c r="AX104" s="945" t="s">
        <v>872</v>
      </c>
      <c r="AY104" s="945"/>
      <c r="AZ104" s="945"/>
      <c r="BA104" s="945"/>
      <c r="BB104" s="945"/>
      <c r="BC104" s="945"/>
      <c r="BD104" s="945"/>
      <c r="BE104" s="373"/>
      <c r="BF104" s="5"/>
      <c r="BG104" s="5"/>
      <c r="BH104" s="5"/>
      <c r="BI104" s="161" t="s">
        <v>63</v>
      </c>
      <c r="BJ104" s="891">
        <f>BI97/BL101</f>
        <v>0.51693911111111113</v>
      </c>
      <c r="BK104" s="891"/>
      <c r="BL104" s="5" t="s">
        <v>877</v>
      </c>
      <c r="BM104" s="5"/>
      <c r="BN104" s="5"/>
      <c r="BO104" s="5"/>
      <c r="BP104" s="5"/>
      <c r="BQ104" s="945" t="s">
        <v>872</v>
      </c>
      <c r="BR104" s="945"/>
      <c r="BS104" s="945"/>
      <c r="BT104" s="945"/>
      <c r="BU104" s="945"/>
      <c r="BV104" s="945"/>
      <c r="BW104" s="945"/>
      <c r="BX104" s="373"/>
      <c r="BY104" s="5"/>
      <c r="BZ104" s="5"/>
      <c r="CA104" s="5"/>
      <c r="CB104" s="5"/>
      <c r="CC104" s="5"/>
      <c r="CD104" s="5"/>
      <c r="CE104" s="5"/>
      <c r="CF104" s="5"/>
      <c r="CG104" s="161"/>
      <c r="CH104" s="383"/>
      <c r="CI104" s="383"/>
      <c r="CJ104" s="5"/>
      <c r="CK104" s="5"/>
      <c r="CL104" s="5"/>
      <c r="CM104" s="5"/>
      <c r="CN104" s="5"/>
      <c r="CO104" s="5"/>
      <c r="CP104" s="5"/>
      <c r="CQ104" s="5"/>
      <c r="CR104" s="5"/>
      <c r="CS104" s="5"/>
      <c r="CT104" s="5"/>
      <c r="CU104" s="5"/>
      <c r="CV104" s="5"/>
      <c r="CW104" s="372"/>
      <c r="CX104" s="5"/>
      <c r="CY104" s="5"/>
      <c r="CZ104" s="5"/>
      <c r="DA104" s="161"/>
      <c r="DB104" s="383"/>
      <c r="DC104" s="383"/>
      <c r="DD104" s="5"/>
      <c r="DE104" s="5"/>
      <c r="DF104" s="5"/>
      <c r="DG104" s="5"/>
      <c r="DH104" s="5"/>
      <c r="DI104" s="5"/>
      <c r="DJ104" s="5"/>
      <c r="DK104" s="5"/>
      <c r="DL104" s="5"/>
      <c r="DM104" s="5"/>
      <c r="DN104" s="5"/>
      <c r="DO104" s="5"/>
      <c r="DP104" s="5"/>
      <c r="DR104" s="372"/>
      <c r="DS104" s="5"/>
      <c r="DT104" s="5"/>
      <c r="DU104" s="5"/>
      <c r="DV104" s="161"/>
      <c r="DW104" s="891"/>
      <c r="DX104" s="891"/>
      <c r="DY104" s="5"/>
      <c r="DZ104" s="5"/>
      <c r="EA104" s="5"/>
      <c r="EB104" s="5"/>
      <c r="EC104" s="5"/>
      <c r="ED104" s="5"/>
      <c r="EE104" s="5"/>
      <c r="EF104" s="5"/>
      <c r="EG104" s="5"/>
      <c r="EH104" s="5"/>
      <c r="EI104" s="5"/>
      <c r="EJ104" s="5"/>
      <c r="EK104" s="5"/>
    </row>
    <row r="105" spans="1:141">
      <c r="A105" s="5"/>
      <c r="B105" s="5"/>
      <c r="C105" s="5"/>
      <c r="D105" s="161" t="s">
        <v>63</v>
      </c>
      <c r="E105" s="952">
        <f>E104*1000</f>
        <v>1350.3715555555557</v>
      </c>
      <c r="F105" s="952"/>
      <c r="G105" s="5" t="s">
        <v>879</v>
      </c>
      <c r="H105" s="5"/>
      <c r="I105" s="5"/>
      <c r="J105" s="5"/>
      <c r="K105" s="5"/>
      <c r="L105" s="945"/>
      <c r="M105" s="945"/>
      <c r="N105" s="945"/>
      <c r="O105" s="945"/>
      <c r="P105" s="945"/>
      <c r="Q105" s="945"/>
      <c r="R105" s="945"/>
      <c r="S105" s="5"/>
      <c r="T105" s="374"/>
      <c r="U105" s="5"/>
      <c r="V105" s="5"/>
      <c r="W105" s="161"/>
      <c r="X105" s="427"/>
      <c r="Y105" s="427"/>
      <c r="Z105" s="5"/>
      <c r="AA105" s="5"/>
      <c r="AB105" s="5"/>
      <c r="AC105" s="5"/>
      <c r="AD105" s="5"/>
      <c r="AE105" s="380"/>
      <c r="AF105" s="380"/>
      <c r="AG105" s="380"/>
      <c r="AH105" s="380"/>
      <c r="AI105" s="380"/>
      <c r="AJ105" s="380"/>
      <c r="AK105" s="380"/>
      <c r="AL105" s="5"/>
      <c r="AM105" s="5"/>
      <c r="AN105" s="5"/>
      <c r="AO105" s="5"/>
      <c r="AP105" s="161" t="s">
        <v>63</v>
      </c>
      <c r="AQ105" s="952">
        <f>AQ104*1000</f>
        <v>886.18133333333333</v>
      </c>
      <c r="AR105" s="952"/>
      <c r="AS105" s="5" t="s">
        <v>879</v>
      </c>
      <c r="AT105" s="5"/>
      <c r="AU105" s="5"/>
      <c r="AV105" s="5"/>
      <c r="AW105" s="5"/>
      <c r="AX105" s="945"/>
      <c r="AY105" s="945"/>
      <c r="AZ105" s="945"/>
      <c r="BA105" s="945"/>
      <c r="BB105" s="945"/>
      <c r="BC105" s="945"/>
      <c r="BD105" s="945"/>
      <c r="BE105" s="373"/>
      <c r="BF105" s="5"/>
      <c r="BG105" s="5"/>
      <c r="BH105" s="5"/>
      <c r="BI105" s="161" t="s">
        <v>63</v>
      </c>
      <c r="BJ105" s="952">
        <f>BJ104*1000</f>
        <v>516.93911111111117</v>
      </c>
      <c r="BK105" s="952"/>
      <c r="BL105" s="5" t="s">
        <v>879</v>
      </c>
      <c r="BM105" s="5"/>
      <c r="BN105" s="5"/>
      <c r="BO105" s="5"/>
      <c r="BP105" s="5"/>
      <c r="BQ105" s="945"/>
      <c r="BR105" s="945"/>
      <c r="BS105" s="945"/>
      <c r="BT105" s="945"/>
      <c r="BU105" s="945"/>
      <c r="BV105" s="945"/>
      <c r="BW105" s="945"/>
      <c r="BX105" s="373"/>
      <c r="BY105" s="5"/>
      <c r="BZ105" s="5"/>
      <c r="CA105" s="5"/>
      <c r="CB105" s="5"/>
      <c r="CC105" s="5"/>
      <c r="CD105" s="5"/>
      <c r="CE105" s="5"/>
      <c r="CF105" s="5"/>
      <c r="CG105" s="161"/>
      <c r="CH105" s="384"/>
      <c r="CI105" s="384"/>
      <c r="CJ105" s="5"/>
      <c r="CK105" s="5"/>
      <c r="CL105" s="5"/>
      <c r="CM105" s="5"/>
      <c r="CN105" s="5"/>
      <c r="CO105" s="5"/>
      <c r="CP105" s="5"/>
      <c r="CQ105" s="5"/>
      <c r="CR105" s="5"/>
      <c r="CS105" s="5"/>
      <c r="CT105" s="5"/>
      <c r="CU105" s="5"/>
      <c r="CV105" s="5"/>
      <c r="CW105" s="372"/>
      <c r="CX105" s="5"/>
      <c r="CY105" s="5"/>
      <c r="CZ105" s="5"/>
      <c r="DA105" s="161"/>
      <c r="DB105" s="384"/>
      <c r="DC105" s="384"/>
      <c r="DD105" s="5"/>
      <c r="DE105" s="5"/>
      <c r="DF105" s="5"/>
      <c r="DG105" s="5"/>
      <c r="DH105" s="5"/>
      <c r="DI105" s="5"/>
      <c r="DJ105" s="5"/>
      <c r="DK105" s="5"/>
      <c r="DL105" s="5"/>
      <c r="DM105" s="5"/>
      <c r="DN105" s="5"/>
      <c r="DO105" s="5"/>
      <c r="DP105" s="5"/>
      <c r="DR105" s="372"/>
      <c r="DS105" s="5"/>
      <c r="DT105" s="5"/>
      <c r="DU105" s="5"/>
      <c r="DV105" s="161"/>
      <c r="DW105" s="948"/>
      <c r="DX105" s="948"/>
      <c r="DY105" s="5"/>
      <c r="DZ105" s="5"/>
      <c r="EA105" s="5"/>
      <c r="EB105" s="5"/>
      <c r="EC105" s="5"/>
      <c r="ED105" s="5"/>
      <c r="EE105" s="5"/>
      <c r="EF105" s="5"/>
      <c r="EG105" s="5"/>
      <c r="EH105" s="5"/>
      <c r="EI105" s="5"/>
      <c r="EJ105" s="5"/>
      <c r="EK105" s="5"/>
    </row>
    <row r="106" spans="1:141">
      <c r="A106" s="5"/>
      <c r="B106" s="5"/>
      <c r="C106" s="5"/>
      <c r="D106" s="5"/>
      <c r="E106" s="5"/>
      <c r="F106" s="5"/>
      <c r="G106" s="5"/>
      <c r="H106" s="5"/>
      <c r="I106" s="5"/>
      <c r="J106" s="5"/>
      <c r="K106" s="5"/>
      <c r="L106" s="5"/>
      <c r="M106" s="5"/>
      <c r="N106" s="5"/>
      <c r="O106" s="5"/>
      <c r="P106" s="5"/>
      <c r="Q106" s="5"/>
      <c r="R106" s="5"/>
      <c r="S106" s="5"/>
      <c r="T106" s="374"/>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373"/>
      <c r="BF106" s="5"/>
      <c r="BG106" s="5"/>
      <c r="BH106" s="5"/>
      <c r="BI106" s="5"/>
      <c r="BJ106" s="5"/>
      <c r="BK106" s="5"/>
      <c r="BL106" s="5"/>
      <c r="BM106" s="5"/>
      <c r="BN106" s="5"/>
      <c r="BO106" s="5"/>
      <c r="BP106" s="5"/>
      <c r="BQ106" s="5"/>
      <c r="BR106" s="5"/>
      <c r="BS106" s="5"/>
      <c r="BT106" s="5"/>
      <c r="BU106" s="5"/>
      <c r="BV106" s="5"/>
      <c r="BW106" s="5"/>
      <c r="BX106" s="373"/>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372"/>
      <c r="CX106" s="5"/>
      <c r="CY106" s="5"/>
      <c r="CZ106" s="5"/>
      <c r="DA106" s="5"/>
      <c r="DB106" s="5"/>
      <c r="DC106" s="5"/>
      <c r="DD106" s="5"/>
      <c r="DE106" s="5"/>
      <c r="DF106" s="5"/>
      <c r="DG106" s="5"/>
      <c r="DH106" s="5"/>
      <c r="DI106" s="5"/>
      <c r="DJ106" s="5"/>
      <c r="DK106" s="5"/>
      <c r="DL106" s="5"/>
      <c r="DM106" s="5"/>
      <c r="DN106" s="5"/>
      <c r="DO106" s="5"/>
      <c r="DP106" s="5"/>
      <c r="DR106" s="372"/>
      <c r="DS106" s="5"/>
      <c r="DT106" s="5"/>
      <c r="DU106" s="5"/>
      <c r="DV106" s="5"/>
      <c r="DW106" s="5"/>
      <c r="DX106" s="5"/>
      <c r="DY106" s="5"/>
      <c r="DZ106" s="5"/>
      <c r="EA106" s="5"/>
      <c r="EB106" s="5"/>
      <c r="EC106" s="5"/>
      <c r="ED106" s="5"/>
      <c r="EE106" s="5"/>
      <c r="EF106" s="5"/>
      <c r="EG106" s="5"/>
      <c r="EH106" s="5"/>
      <c r="EI106" s="5"/>
      <c r="EJ106" s="5"/>
      <c r="EK106" s="5"/>
    </row>
    <row r="107" spans="1:141">
      <c r="A107" s="161" t="s">
        <v>914</v>
      </c>
      <c r="B107" s="5" t="s">
        <v>915</v>
      </c>
      <c r="C107" s="5"/>
      <c r="D107" s="5"/>
      <c r="E107" s="5"/>
      <c r="F107" s="5"/>
      <c r="G107" s="5"/>
      <c r="H107" s="5"/>
      <c r="I107" s="5"/>
      <c r="J107" s="5"/>
      <c r="K107" s="5"/>
      <c r="L107" s="5"/>
      <c r="M107" s="5"/>
      <c r="N107" s="5"/>
      <c r="O107" s="5"/>
      <c r="P107" s="5"/>
      <c r="Q107" s="5"/>
      <c r="R107" s="5"/>
      <c r="S107" s="5"/>
      <c r="T107" s="374"/>
      <c r="U107" s="5"/>
      <c r="V107" s="5"/>
      <c r="W107" s="5"/>
      <c r="X107" s="5"/>
      <c r="Y107" s="5"/>
      <c r="Z107" s="5"/>
      <c r="AA107" s="5"/>
      <c r="AB107" s="5"/>
      <c r="AC107" s="5"/>
      <c r="AD107" s="5"/>
      <c r="AE107" s="5"/>
      <c r="AF107" s="5"/>
      <c r="AG107" s="5"/>
      <c r="AH107" s="5"/>
      <c r="AI107" s="5"/>
      <c r="AJ107" s="5"/>
      <c r="AK107" s="5"/>
      <c r="AL107" s="5"/>
      <c r="AM107" s="161" t="s">
        <v>914</v>
      </c>
      <c r="AN107" s="5" t="s">
        <v>915</v>
      </c>
      <c r="AO107" s="5"/>
      <c r="AP107" s="5"/>
      <c r="AQ107" s="5"/>
      <c r="AR107" s="5"/>
      <c r="AS107" s="5"/>
      <c r="AT107" s="5"/>
      <c r="AU107" s="5"/>
      <c r="AV107" s="5"/>
      <c r="AW107" s="5"/>
      <c r="AX107" s="5"/>
      <c r="AY107" s="5"/>
      <c r="AZ107" s="5"/>
      <c r="BA107" s="5"/>
      <c r="BB107" s="5"/>
      <c r="BC107" s="5"/>
      <c r="BD107" s="5"/>
      <c r="BE107" s="373"/>
      <c r="BF107" s="161" t="s">
        <v>914</v>
      </c>
      <c r="BG107" s="5" t="s">
        <v>915</v>
      </c>
      <c r="BH107" s="5"/>
      <c r="BI107" s="5"/>
      <c r="BJ107" s="5"/>
      <c r="BK107" s="5"/>
      <c r="BL107" s="5"/>
      <c r="BM107" s="5"/>
      <c r="BN107" s="5"/>
      <c r="BO107" s="5"/>
      <c r="BP107" s="5"/>
      <c r="BQ107" s="5"/>
      <c r="BR107" s="5"/>
      <c r="BS107" s="5"/>
      <c r="BT107" s="5"/>
      <c r="BU107" s="5"/>
      <c r="BV107" s="5"/>
      <c r="BW107" s="5"/>
      <c r="BX107" s="373"/>
      <c r="BY107" s="5"/>
      <c r="BZ107" s="5"/>
      <c r="CA107" s="5"/>
      <c r="CB107" s="5"/>
      <c r="CC107" s="5"/>
      <c r="CD107" s="161"/>
      <c r="CE107" s="5"/>
      <c r="CF107" s="5"/>
      <c r="CG107" s="5"/>
      <c r="CH107" s="5"/>
      <c r="CI107" s="5"/>
      <c r="CJ107" s="5"/>
      <c r="CK107" s="5"/>
      <c r="CL107" s="5"/>
      <c r="CM107" s="5"/>
      <c r="CN107" s="5"/>
      <c r="CO107" s="5"/>
      <c r="CP107" s="5"/>
      <c r="CQ107" s="5"/>
      <c r="CR107" s="5"/>
      <c r="CS107" s="5"/>
      <c r="CT107" s="5"/>
      <c r="CU107" s="5"/>
      <c r="CV107" s="5"/>
      <c r="CW107" s="372"/>
      <c r="CX107" s="161"/>
      <c r="CY107" s="5"/>
      <c r="CZ107" s="5"/>
      <c r="DA107" s="5"/>
      <c r="DB107" s="5"/>
      <c r="DC107" s="5"/>
      <c r="DD107" s="5"/>
      <c r="DE107" s="5"/>
      <c r="DF107" s="5"/>
      <c r="DG107" s="5"/>
      <c r="DH107" s="5"/>
      <c r="DI107" s="5"/>
      <c r="DJ107" s="5"/>
      <c r="DK107" s="5"/>
      <c r="DL107" s="5"/>
      <c r="DM107" s="5"/>
      <c r="DN107" s="5"/>
      <c r="DO107" s="5"/>
      <c r="DP107" s="5"/>
      <c r="DR107" s="372"/>
      <c r="DS107" s="161"/>
      <c r="DT107" s="5"/>
      <c r="DU107" s="5"/>
      <c r="DV107" s="5"/>
      <c r="DW107" s="5"/>
      <c r="DX107" s="5"/>
      <c r="DY107" s="5"/>
      <c r="DZ107" s="5"/>
      <c r="EA107" s="5"/>
      <c r="EB107" s="5"/>
      <c r="EC107" s="5"/>
      <c r="ED107" s="5"/>
      <c r="EE107" s="5"/>
      <c r="EF107" s="5"/>
      <c r="EG107" s="5"/>
      <c r="EH107" s="5"/>
      <c r="EI107" s="5"/>
      <c r="EJ107" s="5"/>
      <c r="EK107" s="5"/>
    </row>
    <row r="108" spans="1:141" ht="15.6">
      <c r="A108" s="5"/>
      <c r="B108" s="5" t="s">
        <v>916</v>
      </c>
      <c r="C108" s="5"/>
      <c r="D108" s="5"/>
      <c r="E108" s="161" t="s">
        <v>63</v>
      </c>
      <c r="F108" s="5" t="s">
        <v>917</v>
      </c>
      <c r="G108" s="5"/>
      <c r="H108" s="5"/>
      <c r="I108" s="5"/>
      <c r="J108" s="5"/>
      <c r="K108" s="5"/>
      <c r="L108" s="5"/>
      <c r="M108" s="5"/>
      <c r="N108" s="5"/>
      <c r="O108" s="5"/>
      <c r="P108" s="5"/>
      <c r="Q108" s="5"/>
      <c r="R108" s="5"/>
      <c r="S108" s="5"/>
      <c r="T108" s="374"/>
      <c r="U108" s="5"/>
      <c r="V108" s="5"/>
      <c r="W108" s="5"/>
      <c r="X108" s="161"/>
      <c r="Y108" s="5"/>
      <c r="Z108" s="5"/>
      <c r="AA108" s="5"/>
      <c r="AB108" s="5"/>
      <c r="AC108" s="5"/>
      <c r="AD108" s="5"/>
      <c r="AE108" s="5"/>
      <c r="AF108" s="5"/>
      <c r="AG108" s="5"/>
      <c r="AH108" s="5"/>
      <c r="AI108" s="5"/>
      <c r="AJ108" s="5"/>
      <c r="AK108" s="5"/>
      <c r="AL108" s="5"/>
      <c r="AM108" s="5"/>
      <c r="AN108" s="5" t="s">
        <v>916</v>
      </c>
      <c r="AO108" s="5"/>
      <c r="AP108" s="5"/>
      <c r="AQ108" s="161" t="s">
        <v>63</v>
      </c>
      <c r="AR108" s="5" t="s">
        <v>917</v>
      </c>
      <c r="AS108" s="5"/>
      <c r="AT108" s="5"/>
      <c r="AU108" s="5"/>
      <c r="AV108" s="5"/>
      <c r="AW108" s="5"/>
      <c r="AX108" s="5"/>
      <c r="AY108" s="5"/>
      <c r="AZ108" s="5"/>
      <c r="BA108" s="5"/>
      <c r="BB108" s="5"/>
      <c r="BC108" s="5"/>
      <c r="BD108" s="5"/>
      <c r="BE108" s="373"/>
      <c r="BF108" s="5"/>
      <c r="BG108" s="5" t="s">
        <v>916</v>
      </c>
      <c r="BH108" s="5"/>
      <c r="BI108" s="5"/>
      <c r="BJ108" s="161" t="s">
        <v>63</v>
      </c>
      <c r="BK108" s="5" t="s">
        <v>917</v>
      </c>
      <c r="BL108" s="5"/>
      <c r="BM108" s="5"/>
      <c r="BN108" s="5"/>
      <c r="BO108" s="5"/>
      <c r="BP108" s="5"/>
      <c r="BQ108" s="5"/>
      <c r="BR108" s="5"/>
      <c r="BS108" s="5"/>
      <c r="BT108" s="5"/>
      <c r="BU108" s="5"/>
      <c r="BV108" s="5"/>
      <c r="BW108" s="5"/>
      <c r="BX108" s="373"/>
      <c r="BY108" s="5"/>
      <c r="BZ108" s="5"/>
      <c r="CA108" s="5"/>
      <c r="CB108" s="5"/>
      <c r="CC108" s="5"/>
      <c r="CD108" s="5"/>
      <c r="CE108" s="5"/>
      <c r="CF108" s="5"/>
      <c r="CG108" s="5"/>
      <c r="CH108" s="161"/>
      <c r="CI108" s="5"/>
      <c r="CJ108" s="5"/>
      <c r="CK108" s="5"/>
      <c r="CL108" s="5"/>
      <c r="CM108" s="5"/>
      <c r="CN108" s="5"/>
      <c r="CO108" s="5"/>
      <c r="CP108" s="5"/>
      <c r="CQ108" s="5"/>
      <c r="CR108" s="5"/>
      <c r="CS108" s="5"/>
      <c r="CT108" s="5"/>
      <c r="CU108" s="5"/>
      <c r="CV108" s="5"/>
      <c r="CW108" s="372"/>
      <c r="CX108" s="5"/>
      <c r="CY108" s="5"/>
      <c r="CZ108" s="5"/>
      <c r="DA108" s="5"/>
      <c r="DB108" s="161"/>
      <c r="DC108" s="5"/>
      <c r="DD108" s="5"/>
      <c r="DE108" s="5"/>
      <c r="DF108" s="5"/>
      <c r="DG108" s="5"/>
      <c r="DH108" s="5"/>
      <c r="DI108" s="5"/>
      <c r="DJ108" s="5"/>
      <c r="DK108" s="5"/>
      <c r="DL108" s="5"/>
      <c r="DM108" s="5"/>
      <c r="DN108" s="5"/>
      <c r="DO108" s="5"/>
      <c r="DP108" s="5"/>
      <c r="DR108" s="372"/>
      <c r="DS108" s="5"/>
      <c r="DT108" s="5"/>
      <c r="DU108" s="5"/>
      <c r="DV108" s="5"/>
      <c r="DW108" s="161"/>
      <c r="DX108" s="5"/>
      <c r="DY108" s="5"/>
      <c r="DZ108" s="5"/>
      <c r="EA108" s="5"/>
      <c r="EB108" s="5"/>
      <c r="EC108" s="5"/>
      <c r="ED108" s="5"/>
      <c r="EE108" s="5"/>
      <c r="EF108" s="5"/>
      <c r="EG108" s="5"/>
      <c r="EH108" s="5"/>
      <c r="EI108" s="5"/>
      <c r="EJ108" s="5"/>
      <c r="EK108" s="5"/>
    </row>
    <row r="109" spans="1:141" ht="16.2">
      <c r="A109" s="5"/>
      <c r="B109" s="5"/>
      <c r="C109" s="5"/>
      <c r="D109" s="5"/>
      <c r="E109" s="161" t="s">
        <v>63</v>
      </c>
      <c r="F109" s="953">
        <f>104%*E104</f>
        <v>1.4043864177777781</v>
      </c>
      <c r="G109" s="953"/>
      <c r="H109" s="373" t="s">
        <v>877</v>
      </c>
      <c r="I109" s="5"/>
      <c r="J109" s="5"/>
      <c r="K109" s="5"/>
      <c r="L109" s="945" t="s">
        <v>872</v>
      </c>
      <c r="M109" s="945"/>
      <c r="N109" s="945"/>
      <c r="O109" s="945"/>
      <c r="P109" s="945"/>
      <c r="Q109" s="945"/>
      <c r="R109" s="945"/>
      <c r="S109" s="5"/>
      <c r="T109" s="374"/>
      <c r="U109" s="5"/>
      <c r="V109" s="5"/>
      <c r="W109" s="5"/>
      <c r="X109" s="161"/>
      <c r="Y109" s="383"/>
      <c r="Z109" s="383"/>
      <c r="AA109" s="5"/>
      <c r="AB109" s="5"/>
      <c r="AC109" s="5"/>
      <c r="AD109" s="5"/>
      <c r="AE109" s="380"/>
      <c r="AF109" s="380"/>
      <c r="AG109" s="380"/>
      <c r="AH109" s="380"/>
      <c r="AI109" s="380"/>
      <c r="AJ109" s="380"/>
      <c r="AK109" s="380"/>
      <c r="AL109" s="5"/>
      <c r="AM109" s="5"/>
      <c r="AN109" s="5"/>
      <c r="AO109" s="5"/>
      <c r="AP109" s="5"/>
      <c r="AQ109" s="161" t="s">
        <v>63</v>
      </c>
      <c r="AR109" s="891">
        <f>104%*AQ104</f>
        <v>0.92162858666666669</v>
      </c>
      <c r="AS109" s="891"/>
      <c r="AT109" s="5" t="s">
        <v>877</v>
      </c>
      <c r="AU109" s="5"/>
      <c r="AV109" s="5"/>
      <c r="AW109" s="5"/>
      <c r="AX109" s="945" t="s">
        <v>872</v>
      </c>
      <c r="AY109" s="945"/>
      <c r="AZ109" s="945"/>
      <c r="BA109" s="945"/>
      <c r="BB109" s="945"/>
      <c r="BC109" s="945"/>
      <c r="BD109" s="945"/>
      <c r="BE109" s="373"/>
      <c r="BF109" s="5"/>
      <c r="BG109" s="5"/>
      <c r="BH109" s="5"/>
      <c r="BI109" s="5"/>
      <c r="BJ109" s="161" t="s">
        <v>63</v>
      </c>
      <c r="BK109" s="891">
        <f>104%*BJ104</f>
        <v>0.53761667555555559</v>
      </c>
      <c r="BL109" s="891"/>
      <c r="BM109" s="5" t="s">
        <v>877</v>
      </c>
      <c r="BN109" s="5"/>
      <c r="BO109" s="5"/>
      <c r="BP109" s="5"/>
      <c r="BQ109" s="945" t="s">
        <v>872</v>
      </c>
      <c r="BR109" s="945"/>
      <c r="BS109" s="945"/>
      <c r="BT109" s="945"/>
      <c r="BU109" s="945"/>
      <c r="BV109" s="945"/>
      <c r="BW109" s="945"/>
      <c r="BX109" s="373"/>
      <c r="BY109" s="5"/>
      <c r="BZ109" s="5"/>
      <c r="CA109" s="5"/>
      <c r="CB109" s="5"/>
      <c r="CC109" s="5"/>
      <c r="CD109" s="5"/>
      <c r="CE109" s="5"/>
      <c r="CF109" s="5"/>
      <c r="CG109" s="5"/>
      <c r="CH109" s="161"/>
      <c r="CI109" s="383"/>
      <c r="CJ109" s="383"/>
      <c r="CK109" s="5"/>
      <c r="CL109" s="5"/>
      <c r="CM109" s="5"/>
      <c r="CN109" s="5"/>
      <c r="CO109" s="5"/>
      <c r="CP109" s="5"/>
      <c r="CQ109" s="5"/>
      <c r="CR109" s="5"/>
      <c r="CS109" s="5"/>
      <c r="CT109" s="5"/>
      <c r="CU109" s="5"/>
      <c r="CV109" s="5"/>
      <c r="CW109" s="372"/>
      <c r="CX109" s="5"/>
      <c r="CY109" s="5"/>
      <c r="CZ109" s="5"/>
      <c r="DA109" s="5"/>
      <c r="DB109" s="161"/>
      <c r="DC109" s="383"/>
      <c r="DD109" s="383"/>
      <c r="DE109" s="5"/>
      <c r="DF109" s="5"/>
      <c r="DG109" s="5"/>
      <c r="DH109" s="5"/>
      <c r="DI109" s="5"/>
      <c r="DJ109" s="5"/>
      <c r="DK109" s="5"/>
      <c r="DL109" s="5"/>
      <c r="DM109" s="5"/>
      <c r="DN109" s="5"/>
      <c r="DO109" s="5"/>
      <c r="DP109" s="5"/>
      <c r="DR109" s="372"/>
      <c r="DS109" s="5"/>
      <c r="DT109" s="5"/>
      <c r="DU109" s="5"/>
      <c r="DV109" s="5"/>
      <c r="DW109" s="161"/>
      <c r="DX109" s="891"/>
      <c r="DY109" s="891"/>
      <c r="DZ109" s="5"/>
      <c r="EA109" s="5"/>
      <c r="EB109" s="5"/>
      <c r="EC109" s="5"/>
      <c r="ED109" s="5"/>
      <c r="EE109" s="5"/>
      <c r="EF109" s="5"/>
      <c r="EG109" s="5"/>
      <c r="EH109" s="5"/>
      <c r="EI109" s="5"/>
      <c r="EJ109" s="5"/>
      <c r="EK109" s="5"/>
    </row>
    <row r="110" spans="1:141">
      <c r="A110" s="5"/>
      <c r="B110" s="5"/>
      <c r="C110" s="5"/>
      <c r="D110" s="5"/>
      <c r="E110" s="161" t="s">
        <v>63</v>
      </c>
      <c r="F110" s="952">
        <f>104%*E105</f>
        <v>1404.386417777778</v>
      </c>
      <c r="G110" s="952"/>
      <c r="H110" s="5" t="s">
        <v>879</v>
      </c>
      <c r="I110" s="5"/>
      <c r="J110" s="5"/>
      <c r="K110" s="5"/>
      <c r="L110" s="945"/>
      <c r="M110" s="945"/>
      <c r="N110" s="945"/>
      <c r="O110" s="945"/>
      <c r="P110" s="945"/>
      <c r="Q110" s="945"/>
      <c r="R110" s="945"/>
      <c r="S110" s="5"/>
      <c r="T110" s="374"/>
      <c r="U110" s="5"/>
      <c r="V110" s="5"/>
      <c r="W110" s="5"/>
      <c r="X110" s="161"/>
      <c r="Y110" s="427"/>
      <c r="Z110" s="427"/>
      <c r="AA110" s="5"/>
      <c r="AB110" s="5"/>
      <c r="AC110" s="5"/>
      <c r="AD110" s="5"/>
      <c r="AE110" s="380"/>
      <c r="AF110" s="380"/>
      <c r="AG110" s="380"/>
      <c r="AH110" s="380"/>
      <c r="AI110" s="380"/>
      <c r="AJ110" s="380"/>
      <c r="AK110" s="380"/>
      <c r="AL110" s="5"/>
      <c r="AM110" s="5"/>
      <c r="AN110" s="5"/>
      <c r="AO110" s="5"/>
      <c r="AP110" s="5"/>
      <c r="AQ110" s="161" t="s">
        <v>63</v>
      </c>
      <c r="AR110" s="952">
        <f>104%*AQ105</f>
        <v>921.62858666666671</v>
      </c>
      <c r="AS110" s="952"/>
      <c r="AT110" s="5" t="s">
        <v>879</v>
      </c>
      <c r="AU110" s="5"/>
      <c r="AV110" s="5"/>
      <c r="AW110" s="5"/>
      <c r="AX110" s="945"/>
      <c r="AY110" s="945"/>
      <c r="AZ110" s="945"/>
      <c r="BA110" s="945"/>
      <c r="BB110" s="945"/>
      <c r="BC110" s="945"/>
      <c r="BD110" s="945"/>
      <c r="BE110" s="373"/>
      <c r="BF110" s="5"/>
      <c r="BG110" s="5"/>
      <c r="BH110" s="5"/>
      <c r="BI110" s="5"/>
      <c r="BJ110" s="161" t="s">
        <v>63</v>
      </c>
      <c r="BK110" s="952">
        <f>104%*BJ105</f>
        <v>537.61667555555562</v>
      </c>
      <c r="BL110" s="952"/>
      <c r="BM110" s="5" t="s">
        <v>879</v>
      </c>
      <c r="BN110" s="5"/>
      <c r="BO110" s="5"/>
      <c r="BP110" s="5"/>
      <c r="BQ110" s="945"/>
      <c r="BR110" s="945"/>
      <c r="BS110" s="945"/>
      <c r="BT110" s="945"/>
      <c r="BU110" s="945"/>
      <c r="BV110" s="945"/>
      <c r="BW110" s="945"/>
      <c r="BX110" s="373"/>
      <c r="BY110" s="5"/>
      <c r="BZ110" s="5"/>
      <c r="CA110" s="5"/>
      <c r="CB110" s="5"/>
      <c r="CC110" s="5"/>
      <c r="CD110" s="5"/>
      <c r="CE110" s="5"/>
      <c r="CF110" s="5"/>
      <c r="CG110" s="5"/>
      <c r="CH110" s="161"/>
      <c r="CI110" s="384"/>
      <c r="CJ110" s="384"/>
      <c r="CK110" s="5"/>
      <c r="CL110" s="5"/>
      <c r="CM110" s="5"/>
      <c r="CN110" s="5"/>
      <c r="CO110" s="5"/>
      <c r="CP110" s="5"/>
      <c r="CQ110" s="5"/>
      <c r="CR110" s="5"/>
      <c r="CS110" s="5"/>
      <c r="CT110" s="5"/>
      <c r="CU110" s="5"/>
      <c r="CV110" s="5"/>
      <c r="CW110" s="372"/>
      <c r="CX110" s="5"/>
      <c r="CY110" s="5"/>
      <c r="CZ110" s="5"/>
      <c r="DA110" s="5"/>
      <c r="DB110" s="161"/>
      <c r="DC110" s="384"/>
      <c r="DD110" s="384"/>
      <c r="DE110" s="5"/>
      <c r="DF110" s="5"/>
      <c r="DG110" s="5"/>
      <c r="DH110" s="5"/>
      <c r="DI110" s="5"/>
      <c r="DJ110" s="5"/>
      <c r="DK110" s="5"/>
      <c r="DL110" s="5"/>
      <c r="DM110" s="5"/>
      <c r="DN110" s="5"/>
      <c r="DO110" s="5"/>
      <c r="DP110" s="5"/>
      <c r="DR110" s="372"/>
      <c r="DS110" s="5"/>
      <c r="DT110" s="5"/>
      <c r="DU110" s="5"/>
      <c r="DV110" s="5"/>
      <c r="DW110" s="161"/>
      <c r="DX110" s="948"/>
      <c r="DY110" s="948"/>
      <c r="DZ110" s="5"/>
      <c r="EA110" s="5"/>
      <c r="EB110" s="5"/>
      <c r="EC110" s="5"/>
      <c r="ED110" s="5"/>
      <c r="EE110" s="5"/>
      <c r="EF110" s="5"/>
      <c r="EG110" s="5"/>
      <c r="EH110" s="5"/>
      <c r="EI110" s="5"/>
      <c r="EJ110" s="5"/>
      <c r="EK110" s="5"/>
    </row>
    <row r="111" spans="1:141">
      <c r="A111" s="5"/>
      <c r="B111" s="5"/>
      <c r="C111" s="5"/>
      <c r="D111" s="5"/>
      <c r="E111" s="5"/>
      <c r="F111" s="5"/>
      <c r="G111" s="5"/>
      <c r="H111" s="5"/>
      <c r="I111" s="5"/>
      <c r="J111" s="5"/>
      <c r="K111" s="5"/>
      <c r="L111" s="5"/>
      <c r="M111" s="5"/>
      <c r="N111" s="5"/>
      <c r="O111" s="5"/>
      <c r="P111" s="5"/>
      <c r="Q111" s="5"/>
      <c r="R111" s="5"/>
      <c r="S111" s="5"/>
      <c r="T111" s="374"/>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373"/>
      <c r="BF111" s="5"/>
      <c r="BG111" s="5"/>
      <c r="BH111" s="5"/>
      <c r="BI111" s="5"/>
      <c r="BJ111" s="5"/>
      <c r="BK111" s="5"/>
      <c r="BL111" s="5"/>
      <c r="BM111" s="5"/>
      <c r="BN111" s="5"/>
      <c r="BO111" s="5"/>
      <c r="BP111" s="5"/>
      <c r="BQ111" s="5"/>
      <c r="BR111" s="5"/>
      <c r="BS111" s="5"/>
      <c r="BT111" s="5"/>
      <c r="BU111" s="5"/>
      <c r="BV111" s="5"/>
      <c r="BW111" s="5"/>
      <c r="BX111" s="373"/>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372"/>
      <c r="CX111" s="5"/>
      <c r="CY111" s="5"/>
      <c r="CZ111" s="5"/>
      <c r="DA111" s="5"/>
      <c r="DB111" s="5"/>
      <c r="DC111" s="5"/>
      <c r="DD111" s="5"/>
      <c r="DE111" s="5"/>
      <c r="DF111" s="5"/>
      <c r="DG111" s="5"/>
      <c r="DH111" s="5"/>
      <c r="DI111" s="5"/>
      <c r="DJ111" s="5"/>
      <c r="DK111" s="5"/>
      <c r="DL111" s="5"/>
      <c r="DM111" s="5"/>
      <c r="DN111" s="5"/>
      <c r="DO111" s="5"/>
      <c r="DP111" s="5"/>
      <c r="DR111" s="372"/>
      <c r="DS111" s="5"/>
      <c r="DT111" s="5"/>
      <c r="DU111" s="5"/>
      <c r="DV111" s="5"/>
      <c r="DW111" s="5"/>
      <c r="DX111" s="5"/>
      <c r="DY111" s="5"/>
      <c r="DZ111" s="5"/>
      <c r="EA111" s="5"/>
      <c r="EB111" s="5"/>
      <c r="EC111" s="5"/>
      <c r="ED111" s="5"/>
      <c r="EE111" s="5"/>
      <c r="EF111" s="5"/>
      <c r="EG111" s="5"/>
      <c r="EH111" s="5"/>
      <c r="EI111" s="5"/>
      <c r="EJ111" s="5"/>
      <c r="EK111" s="5"/>
    </row>
    <row r="112" spans="1:141">
      <c r="A112" s="925" t="s">
        <v>918</v>
      </c>
      <c r="B112" s="926"/>
      <c r="C112" s="926"/>
      <c r="D112" s="926"/>
      <c r="E112" s="926"/>
      <c r="F112" s="926"/>
      <c r="G112" s="926"/>
      <c r="H112" s="926"/>
      <c r="I112" s="926"/>
      <c r="J112" s="926"/>
      <c r="K112" s="926"/>
      <c r="L112" s="926"/>
      <c r="M112" s="926"/>
      <c r="N112" s="926"/>
      <c r="O112" s="926"/>
      <c r="P112" s="926"/>
      <c r="Q112" s="926"/>
      <c r="R112" s="926"/>
      <c r="S112" s="926"/>
      <c r="T112" s="434"/>
      <c r="U112" s="371"/>
      <c r="V112" s="371"/>
      <c r="W112" s="371"/>
      <c r="X112" s="371"/>
      <c r="Y112" s="371"/>
      <c r="Z112" s="371"/>
      <c r="AA112" s="371"/>
      <c r="AB112" s="371"/>
      <c r="AC112" s="371"/>
      <c r="AD112" s="371"/>
      <c r="AE112" s="371"/>
      <c r="AF112" s="371"/>
      <c r="AG112" s="371"/>
      <c r="AH112" s="371"/>
      <c r="AI112" s="371"/>
      <c r="AJ112" s="371"/>
      <c r="AK112" s="371"/>
      <c r="AL112" s="371"/>
      <c r="AM112" s="942" t="s">
        <v>918</v>
      </c>
      <c r="AN112" s="942"/>
      <c r="AO112" s="942"/>
      <c r="AP112" s="942"/>
      <c r="AQ112" s="942"/>
      <c r="AR112" s="942"/>
      <c r="AS112" s="942"/>
      <c r="AT112" s="942"/>
      <c r="AU112" s="942"/>
      <c r="AV112" s="942"/>
      <c r="AW112" s="942"/>
      <c r="AX112" s="942"/>
      <c r="AY112" s="942"/>
      <c r="AZ112" s="942"/>
      <c r="BA112" s="942"/>
      <c r="BB112" s="942"/>
      <c r="BC112" s="942"/>
      <c r="BD112" s="942"/>
      <c r="BE112" s="943"/>
      <c r="BF112" s="944" t="s">
        <v>918</v>
      </c>
      <c r="BG112" s="942"/>
      <c r="BH112" s="942"/>
      <c r="BI112" s="942"/>
      <c r="BJ112" s="942"/>
      <c r="BK112" s="942"/>
      <c r="BL112" s="942"/>
      <c r="BM112" s="942"/>
      <c r="BN112" s="942"/>
      <c r="BO112" s="942"/>
      <c r="BP112" s="942"/>
      <c r="BQ112" s="942"/>
      <c r="BR112" s="942"/>
      <c r="BS112" s="942"/>
      <c r="BT112" s="942"/>
      <c r="BU112" s="942"/>
      <c r="BV112" s="942"/>
      <c r="BW112" s="942"/>
      <c r="BX112" s="943"/>
      <c r="BY112" s="391"/>
      <c r="BZ112" s="391"/>
      <c r="CA112" s="391"/>
      <c r="CB112" s="391"/>
      <c r="CC112" s="391"/>
      <c r="CD112" s="371"/>
      <c r="CE112" s="371"/>
      <c r="CF112" s="371"/>
      <c r="CG112" s="371"/>
      <c r="CH112" s="371"/>
      <c r="CI112" s="371"/>
      <c r="CJ112" s="371"/>
      <c r="CK112" s="371"/>
      <c r="CL112" s="371"/>
      <c r="CM112" s="371"/>
      <c r="CN112" s="371"/>
      <c r="CO112" s="371"/>
      <c r="CP112" s="371"/>
      <c r="CQ112" s="371"/>
      <c r="CR112" s="371"/>
      <c r="CS112" s="371"/>
      <c r="CT112" s="371"/>
      <c r="CU112" s="371"/>
      <c r="CV112" s="371"/>
      <c r="CW112" s="372"/>
      <c r="CX112" s="371"/>
      <c r="CY112" s="371"/>
      <c r="CZ112" s="371"/>
      <c r="DA112" s="371"/>
      <c r="DB112" s="371"/>
      <c r="DC112" s="371"/>
      <c r="DD112" s="371"/>
      <c r="DE112" s="371"/>
      <c r="DF112" s="371"/>
      <c r="DG112" s="371"/>
      <c r="DH112" s="371"/>
      <c r="DI112" s="371"/>
      <c r="DJ112" s="371"/>
      <c r="DK112" s="371"/>
      <c r="DL112" s="371"/>
      <c r="DM112" s="371"/>
      <c r="DN112" s="371"/>
      <c r="DO112" s="371"/>
      <c r="DP112" s="371"/>
      <c r="DR112" s="372"/>
      <c r="DS112" s="888"/>
      <c r="DT112" s="888"/>
      <c r="DU112" s="888"/>
      <c r="DV112" s="888"/>
      <c r="DW112" s="888"/>
      <c r="DX112" s="888"/>
      <c r="DY112" s="888"/>
      <c r="DZ112" s="888"/>
      <c r="EA112" s="888"/>
      <c r="EB112" s="888"/>
      <c r="EC112" s="888"/>
      <c r="ED112" s="888"/>
      <c r="EE112" s="888"/>
      <c r="EF112" s="888"/>
      <c r="EG112" s="888"/>
      <c r="EH112" s="888"/>
      <c r="EI112" s="888"/>
      <c r="EJ112" s="888"/>
      <c r="EK112" s="888"/>
    </row>
    <row r="113" spans="1:141">
      <c r="A113" s="161" t="s">
        <v>850</v>
      </c>
      <c r="B113" s="5" t="s">
        <v>919</v>
      </c>
      <c r="C113" s="5"/>
      <c r="D113" s="5"/>
      <c r="E113" s="5"/>
      <c r="F113" s="5"/>
      <c r="G113" s="5"/>
      <c r="H113" s="5"/>
      <c r="I113" s="5"/>
      <c r="J113" s="5"/>
      <c r="K113" s="5"/>
      <c r="L113" s="5"/>
      <c r="M113" s="5"/>
      <c r="N113" s="5"/>
      <c r="O113" s="5"/>
      <c r="P113" s="5"/>
      <c r="Q113" s="5"/>
      <c r="R113" s="5"/>
      <c r="S113" s="5"/>
      <c r="T113" s="374"/>
      <c r="U113" s="5"/>
      <c r="V113" s="5"/>
      <c r="W113" s="5"/>
      <c r="X113" s="5"/>
      <c r="Y113" s="5"/>
      <c r="Z113" s="5"/>
      <c r="AA113" s="5"/>
      <c r="AB113" s="5"/>
      <c r="AC113" s="5"/>
      <c r="AD113" s="5"/>
      <c r="AE113" s="5"/>
      <c r="AF113" s="5"/>
      <c r="AG113" s="5"/>
      <c r="AH113" s="5"/>
      <c r="AI113" s="5"/>
      <c r="AJ113" s="5"/>
      <c r="AK113" s="5"/>
      <c r="AL113" s="5"/>
      <c r="AM113" s="161" t="s">
        <v>850</v>
      </c>
      <c r="AN113" s="5" t="s">
        <v>919</v>
      </c>
      <c r="AO113" s="5"/>
      <c r="AP113" s="5"/>
      <c r="AQ113" s="5"/>
      <c r="AR113" s="5"/>
      <c r="AS113" s="5"/>
      <c r="AT113" s="5"/>
      <c r="AU113" s="5"/>
      <c r="AV113" s="5"/>
      <c r="AW113" s="5"/>
      <c r="AX113" s="5"/>
      <c r="AY113" s="5"/>
      <c r="AZ113" s="5"/>
      <c r="BA113" s="5"/>
      <c r="BB113" s="5"/>
      <c r="BC113" s="5"/>
      <c r="BD113" s="5"/>
      <c r="BE113" s="373"/>
      <c r="BF113" s="161" t="s">
        <v>850</v>
      </c>
      <c r="BG113" s="5" t="s">
        <v>919</v>
      </c>
      <c r="BH113" s="5"/>
      <c r="BI113" s="5"/>
      <c r="BJ113" s="5"/>
      <c r="BK113" s="5"/>
      <c r="BL113" s="5"/>
      <c r="BM113" s="5"/>
      <c r="BN113" s="5"/>
      <c r="BO113" s="5"/>
      <c r="BP113" s="5"/>
      <c r="BQ113" s="5"/>
      <c r="BR113" s="5"/>
      <c r="BS113" s="5"/>
      <c r="BT113" s="5"/>
      <c r="BU113" s="5"/>
      <c r="BV113" s="5"/>
      <c r="BW113" s="5"/>
      <c r="BX113" s="373"/>
      <c r="BY113" s="5"/>
      <c r="BZ113" s="5"/>
      <c r="CA113" s="5"/>
      <c r="CB113" s="5"/>
      <c r="CC113" s="5"/>
      <c r="CD113" s="161"/>
      <c r="CE113" s="5"/>
      <c r="CF113" s="5"/>
      <c r="CG113" s="5"/>
      <c r="CH113" s="5"/>
      <c r="CI113" s="5"/>
      <c r="CJ113" s="5"/>
      <c r="CK113" s="5"/>
      <c r="CL113" s="5"/>
      <c r="CM113" s="5"/>
      <c r="CN113" s="5"/>
      <c r="CO113" s="5"/>
      <c r="CP113" s="5"/>
      <c r="CQ113" s="5"/>
      <c r="CR113" s="5"/>
      <c r="CS113" s="5"/>
      <c r="CT113" s="5"/>
      <c r="CU113" s="5"/>
      <c r="CV113" s="5"/>
      <c r="CW113" s="372"/>
      <c r="CX113" s="161"/>
      <c r="CY113" s="5"/>
      <c r="CZ113" s="5"/>
      <c r="DA113" s="5"/>
      <c r="DB113" s="5"/>
      <c r="DC113" s="5"/>
      <c r="DD113" s="5"/>
      <c r="DE113" s="5"/>
      <c r="DF113" s="5"/>
      <c r="DG113" s="5"/>
      <c r="DH113" s="5"/>
      <c r="DI113" s="5"/>
      <c r="DJ113" s="5"/>
      <c r="DK113" s="5"/>
      <c r="DL113" s="5"/>
      <c r="DM113" s="5"/>
      <c r="DN113" s="5"/>
      <c r="DO113" s="5"/>
      <c r="DP113" s="5"/>
      <c r="DR113" s="372"/>
      <c r="DS113" s="161"/>
      <c r="DT113" s="5"/>
      <c r="DU113" s="5"/>
      <c r="DV113" s="5"/>
      <c r="DW113" s="5"/>
      <c r="DX113" s="5"/>
      <c r="DY113" s="5"/>
      <c r="DZ113" s="5"/>
      <c r="EA113" s="5"/>
      <c r="EB113" s="5"/>
      <c r="EC113" s="5"/>
      <c r="ED113" s="5"/>
      <c r="EE113" s="5"/>
      <c r="EF113" s="5"/>
      <c r="EG113" s="5"/>
      <c r="EH113" s="5"/>
      <c r="EI113" s="5"/>
      <c r="EJ113" s="5"/>
      <c r="EK113" s="5"/>
    </row>
    <row r="114" spans="1:141" ht="15.6">
      <c r="A114" s="5"/>
      <c r="B114" s="161" t="s">
        <v>920</v>
      </c>
      <c r="C114" s="161" t="s">
        <v>63</v>
      </c>
      <c r="D114" s="5" t="s">
        <v>921</v>
      </c>
      <c r="E114" s="5"/>
      <c r="F114" s="5"/>
      <c r="G114" s="5"/>
      <c r="H114" s="5"/>
      <c r="I114" s="5"/>
      <c r="J114" s="5"/>
      <c r="K114" s="5"/>
      <c r="L114" s="5"/>
      <c r="M114" s="161"/>
      <c r="N114" s="5"/>
      <c r="O114" s="5"/>
      <c r="P114" s="5"/>
      <c r="Q114" s="5"/>
      <c r="R114" s="5"/>
      <c r="S114" s="5"/>
      <c r="T114" s="374"/>
      <c r="U114" s="161"/>
      <c r="V114" s="161"/>
      <c r="W114" s="5"/>
      <c r="X114" s="5"/>
      <c r="Y114" s="5"/>
      <c r="Z114" s="5"/>
      <c r="AA114" s="5"/>
      <c r="AB114" s="5"/>
      <c r="AC114" s="5"/>
      <c r="AD114" s="5"/>
      <c r="AE114" s="5"/>
      <c r="AF114" s="161"/>
      <c r="AG114" s="5"/>
      <c r="AH114" s="5"/>
      <c r="AI114" s="5"/>
      <c r="AJ114" s="5"/>
      <c r="AK114" s="5"/>
      <c r="AL114" s="5"/>
      <c r="AM114" s="5"/>
      <c r="AN114" s="161" t="s">
        <v>920</v>
      </c>
      <c r="AO114" s="161" t="s">
        <v>63</v>
      </c>
      <c r="AP114" s="5" t="s">
        <v>921</v>
      </c>
      <c r="AQ114" s="5"/>
      <c r="AR114" s="5"/>
      <c r="AS114" s="5"/>
      <c r="AT114" s="5"/>
      <c r="AU114" s="5"/>
      <c r="AV114" s="5"/>
      <c r="AW114" s="5"/>
      <c r="AX114" s="5"/>
      <c r="AY114" s="161"/>
      <c r="AZ114" s="5"/>
      <c r="BA114" s="5"/>
      <c r="BB114" s="5"/>
      <c r="BC114" s="5"/>
      <c r="BD114" s="5"/>
      <c r="BE114" s="373"/>
      <c r="BF114" s="5"/>
      <c r="BG114" s="161" t="s">
        <v>920</v>
      </c>
      <c r="BH114" s="161" t="s">
        <v>63</v>
      </c>
      <c r="BI114" s="5" t="s">
        <v>921</v>
      </c>
      <c r="BJ114" s="5"/>
      <c r="BK114" s="5"/>
      <c r="BL114" s="5"/>
      <c r="BM114" s="5"/>
      <c r="BN114" s="5"/>
      <c r="BO114" s="5"/>
      <c r="BP114" s="5"/>
      <c r="BQ114" s="5"/>
      <c r="BR114" s="161"/>
      <c r="BS114" s="5"/>
      <c r="BT114" s="5"/>
      <c r="BU114" s="5"/>
      <c r="BV114" s="5"/>
      <c r="BW114" s="5"/>
      <c r="BX114" s="373"/>
      <c r="BY114" s="5"/>
      <c r="BZ114" s="5"/>
      <c r="CA114" s="5"/>
      <c r="CB114" s="5"/>
      <c r="CC114" s="5"/>
      <c r="CD114" s="5"/>
      <c r="CE114" s="161"/>
      <c r="CF114" s="161"/>
      <c r="CG114" s="5"/>
      <c r="CH114" s="5"/>
      <c r="CI114" s="5"/>
      <c r="CJ114" s="5"/>
      <c r="CK114" s="5"/>
      <c r="CL114" s="5"/>
      <c r="CM114" s="5"/>
      <c r="CN114" s="5"/>
      <c r="CO114" s="5"/>
      <c r="CP114" s="161"/>
      <c r="CQ114" s="5"/>
      <c r="CR114" s="5"/>
      <c r="CS114" s="5"/>
      <c r="CT114" s="5"/>
      <c r="CU114" s="5"/>
      <c r="CV114" s="5"/>
      <c r="CW114" s="372"/>
      <c r="CX114" s="5"/>
      <c r="CY114" s="161"/>
      <c r="CZ114" s="161"/>
      <c r="DA114" s="5"/>
      <c r="DB114" s="5"/>
      <c r="DC114" s="5"/>
      <c r="DD114" s="5"/>
      <c r="DE114" s="5"/>
      <c r="DF114" s="5"/>
      <c r="DG114" s="5"/>
      <c r="DH114" s="5"/>
      <c r="DI114" s="5"/>
      <c r="DJ114" s="161"/>
      <c r="DK114" s="5"/>
      <c r="DL114" s="5"/>
      <c r="DM114" s="5"/>
      <c r="DN114" s="5"/>
      <c r="DO114" s="5"/>
      <c r="DP114" s="5"/>
      <c r="DR114" s="372"/>
      <c r="DS114" s="5"/>
      <c r="DT114" s="161"/>
      <c r="DU114" s="161"/>
      <c r="DV114" s="5"/>
      <c r="DW114" s="5"/>
      <c r="DX114" s="5"/>
      <c r="DY114" s="5"/>
      <c r="DZ114" s="5"/>
      <c r="EA114" s="5"/>
      <c r="EB114" s="5"/>
      <c r="EC114" s="5"/>
      <c r="ED114" s="5"/>
      <c r="EE114" s="161"/>
      <c r="EF114" s="5"/>
      <c r="EG114" s="5"/>
      <c r="EH114" s="5"/>
      <c r="EI114" s="5"/>
      <c r="EJ114" s="5"/>
      <c r="EK114" s="5"/>
    </row>
    <row r="115" spans="1:141" ht="15.6">
      <c r="A115" s="5"/>
      <c r="B115" s="5"/>
      <c r="C115" s="161" t="s">
        <v>63</v>
      </c>
      <c r="D115" s="375" t="s">
        <v>922</v>
      </c>
      <c r="E115" s="5"/>
      <c r="F115" s="5"/>
      <c r="G115" s="5"/>
      <c r="H115" s="5"/>
      <c r="I115" s="5"/>
      <c r="J115" s="5"/>
      <c r="K115" s="5"/>
      <c r="L115" s="5"/>
      <c r="M115" s="161"/>
      <c r="N115" s="5"/>
      <c r="O115" s="5"/>
      <c r="P115" s="5"/>
      <c r="Q115" s="5"/>
      <c r="R115" s="5"/>
      <c r="S115" s="5"/>
      <c r="T115" s="374"/>
      <c r="U115" s="5"/>
      <c r="V115" s="161"/>
      <c r="W115" s="375"/>
      <c r="X115" s="5"/>
      <c r="Y115" s="5"/>
      <c r="Z115" s="5"/>
      <c r="AA115" s="5"/>
      <c r="AB115" s="5"/>
      <c r="AC115" s="5"/>
      <c r="AD115" s="5"/>
      <c r="AE115" s="5"/>
      <c r="AF115" s="161"/>
      <c r="AG115" s="5"/>
      <c r="AH115" s="5"/>
      <c r="AI115" s="5"/>
      <c r="AJ115" s="5"/>
      <c r="AK115" s="5"/>
      <c r="AL115" s="5"/>
      <c r="AM115" s="5"/>
      <c r="AN115" s="5"/>
      <c r="AO115" s="161" t="s">
        <v>63</v>
      </c>
      <c r="AP115" s="375" t="s">
        <v>922</v>
      </c>
      <c r="AQ115" s="5"/>
      <c r="AR115" s="5"/>
      <c r="AS115" s="5"/>
      <c r="AT115" s="5"/>
      <c r="AU115" s="5"/>
      <c r="AV115" s="5"/>
      <c r="AW115" s="5"/>
      <c r="AX115" s="5"/>
      <c r="AY115" s="161"/>
      <c r="AZ115" s="5"/>
      <c r="BA115" s="5"/>
      <c r="BB115" s="5"/>
      <c r="BC115" s="5"/>
      <c r="BD115" s="5"/>
      <c r="BE115" s="373"/>
      <c r="BF115" s="5"/>
      <c r="BG115" s="5"/>
      <c r="BH115" s="161" t="s">
        <v>63</v>
      </c>
      <c r="BI115" s="375" t="s">
        <v>922</v>
      </c>
      <c r="BJ115" s="5"/>
      <c r="BK115" s="5"/>
      <c r="BL115" s="5"/>
      <c r="BM115" s="5"/>
      <c r="BN115" s="5"/>
      <c r="BO115" s="5"/>
      <c r="BP115" s="5"/>
      <c r="BQ115" s="5"/>
      <c r="BR115" s="161"/>
      <c r="BS115" s="5"/>
      <c r="BT115" s="5"/>
      <c r="BU115" s="5"/>
      <c r="BV115" s="5"/>
      <c r="BW115" s="5"/>
      <c r="BX115" s="373"/>
      <c r="BY115" s="5"/>
      <c r="BZ115" s="5"/>
      <c r="CA115" s="5"/>
      <c r="CB115" s="5"/>
      <c r="CC115" s="5"/>
      <c r="CD115" s="5"/>
      <c r="CE115" s="5"/>
      <c r="CF115" s="161"/>
      <c r="CG115" s="5"/>
      <c r="CH115" s="5"/>
      <c r="CI115" s="5"/>
      <c r="CJ115" s="5"/>
      <c r="CK115" s="5"/>
      <c r="CL115" s="5"/>
      <c r="CM115" s="5"/>
      <c r="CN115" s="5"/>
      <c r="CO115" s="5"/>
      <c r="CP115" s="161"/>
      <c r="CQ115" s="5"/>
      <c r="CR115" s="5"/>
      <c r="CS115" s="5"/>
      <c r="CT115" s="5"/>
      <c r="CU115" s="5"/>
      <c r="CV115" s="5"/>
      <c r="CW115" s="372"/>
      <c r="CX115" s="5"/>
      <c r="CY115" s="5"/>
      <c r="CZ115" s="161"/>
      <c r="DA115" s="5"/>
      <c r="DB115" s="5"/>
      <c r="DC115" s="5"/>
      <c r="DD115" s="5"/>
      <c r="DE115" s="5"/>
      <c r="DF115" s="5"/>
      <c r="DG115" s="5"/>
      <c r="DH115" s="5"/>
      <c r="DI115" s="5"/>
      <c r="DJ115" s="161"/>
      <c r="DK115" s="5"/>
      <c r="DL115" s="5"/>
      <c r="DM115" s="5"/>
      <c r="DN115" s="5"/>
      <c r="DO115" s="5"/>
      <c r="DP115" s="5"/>
      <c r="DR115" s="372"/>
      <c r="DS115" s="5"/>
      <c r="DT115" s="5"/>
      <c r="DU115" s="161"/>
      <c r="DV115" s="5"/>
      <c r="DW115" s="5"/>
      <c r="DX115" s="5"/>
      <c r="DY115" s="5"/>
      <c r="DZ115" s="5"/>
      <c r="EA115" s="5"/>
      <c r="EB115" s="5"/>
      <c r="EC115" s="5"/>
      <c r="ED115" s="5"/>
      <c r="EE115" s="161"/>
      <c r="EF115" s="5"/>
      <c r="EG115" s="5"/>
      <c r="EH115" s="5"/>
      <c r="EI115" s="5"/>
      <c r="EJ115" s="5"/>
      <c r="EK115" s="5"/>
    </row>
    <row r="116" spans="1:141">
      <c r="A116" s="5"/>
      <c r="B116" s="5"/>
      <c r="C116" s="161" t="s">
        <v>63</v>
      </c>
      <c r="D116" s="892">
        <f>(20*20*O45)/(24*K46)</f>
        <v>4347.4358974358975</v>
      </c>
      <c r="E116" s="892"/>
      <c r="F116" s="5" t="s">
        <v>346</v>
      </c>
      <c r="G116" s="5"/>
      <c r="H116" s="5"/>
      <c r="I116" s="5"/>
      <c r="J116" s="5"/>
      <c r="K116" s="5"/>
      <c r="L116" s="5"/>
      <c r="M116" s="945" t="s">
        <v>923</v>
      </c>
      <c r="N116" s="945"/>
      <c r="O116" s="945"/>
      <c r="P116" s="945"/>
      <c r="Q116" s="945"/>
      <c r="R116" s="945"/>
      <c r="S116" s="945"/>
      <c r="T116" s="374"/>
      <c r="U116" s="5"/>
      <c r="V116" s="161"/>
      <c r="W116" s="397"/>
      <c r="X116" s="397"/>
      <c r="Y116" s="5"/>
      <c r="Z116" s="5"/>
      <c r="AA116" s="5"/>
      <c r="AB116" s="5"/>
      <c r="AC116" s="5"/>
      <c r="AD116" s="5"/>
      <c r="AE116" s="5"/>
      <c r="AF116" s="380"/>
      <c r="AG116" s="380"/>
      <c r="AH116" s="380"/>
      <c r="AI116" s="380"/>
      <c r="AJ116" s="380"/>
      <c r="AK116" s="380"/>
      <c r="AL116" s="380"/>
      <c r="AM116" s="5"/>
      <c r="AN116" s="5"/>
      <c r="AO116" s="161" t="s">
        <v>63</v>
      </c>
      <c r="AP116" s="892">
        <f>(20*10*BA45)/(24*AW46)</f>
        <v>2173.7179487179487</v>
      </c>
      <c r="AQ116" s="892"/>
      <c r="AR116" s="5" t="s">
        <v>346</v>
      </c>
      <c r="AS116" s="5"/>
      <c r="AT116" s="5"/>
      <c r="AU116" s="5"/>
      <c r="AV116" s="5"/>
      <c r="AW116" s="5"/>
      <c r="AX116" s="5"/>
      <c r="AY116" s="945" t="s">
        <v>923</v>
      </c>
      <c r="AZ116" s="945"/>
      <c r="BA116" s="945"/>
      <c r="BB116" s="945"/>
      <c r="BC116" s="945"/>
      <c r="BD116" s="945"/>
      <c r="BE116" s="945"/>
      <c r="BF116" s="5"/>
      <c r="BG116" s="5"/>
      <c r="BH116" s="161" t="s">
        <v>63</v>
      </c>
      <c r="BI116" s="892">
        <f>(20*10*BT45)/(24*BP46)</f>
        <v>2173.7179487179487</v>
      </c>
      <c r="BJ116" s="892"/>
      <c r="BK116" s="5" t="s">
        <v>346</v>
      </c>
      <c r="BL116" s="5"/>
      <c r="BM116" s="5"/>
      <c r="BN116" s="5"/>
      <c r="BO116" s="5"/>
      <c r="BP116" s="5"/>
      <c r="BQ116" s="5"/>
      <c r="BR116" s="945" t="s">
        <v>923</v>
      </c>
      <c r="BS116" s="945"/>
      <c r="BT116" s="945"/>
      <c r="BU116" s="945"/>
      <c r="BV116" s="945"/>
      <c r="BW116" s="945"/>
      <c r="BX116" s="945"/>
      <c r="BY116" s="378"/>
      <c r="BZ116" s="378"/>
      <c r="CA116" s="378"/>
      <c r="CB116" s="378"/>
      <c r="CC116" s="378"/>
      <c r="CD116" s="5"/>
      <c r="CE116" s="5"/>
      <c r="CF116" s="161"/>
      <c r="CG116" s="5"/>
      <c r="CH116" s="5"/>
      <c r="CI116" s="5"/>
      <c r="CJ116" s="5"/>
      <c r="CK116" s="5"/>
      <c r="CL116" s="5"/>
      <c r="CM116" s="5"/>
      <c r="CN116" s="5"/>
      <c r="CO116" s="5"/>
      <c r="CP116" s="5"/>
      <c r="CQ116" s="5"/>
      <c r="CR116" s="5"/>
      <c r="CS116" s="5"/>
      <c r="CT116" s="5"/>
      <c r="CU116" s="5"/>
      <c r="CV116" s="5"/>
      <c r="CW116" s="372"/>
      <c r="CX116" s="5"/>
      <c r="CY116" s="5"/>
      <c r="CZ116" s="161"/>
      <c r="DA116" s="5"/>
      <c r="DB116" s="5"/>
      <c r="DC116" s="5"/>
      <c r="DD116" s="5"/>
      <c r="DE116" s="5"/>
      <c r="DF116" s="5"/>
      <c r="DG116" s="5"/>
      <c r="DH116" s="5"/>
      <c r="DI116" s="5"/>
      <c r="DJ116" s="5"/>
      <c r="DK116" s="5"/>
      <c r="DL116" s="5"/>
      <c r="DM116" s="5"/>
      <c r="DN116" s="5"/>
      <c r="DO116" s="5"/>
      <c r="DP116" s="5"/>
      <c r="DR116" s="372"/>
      <c r="DS116" s="5"/>
      <c r="DT116" s="5"/>
      <c r="DU116" s="161"/>
      <c r="DV116" s="716"/>
      <c r="DW116" s="716"/>
      <c r="DX116" s="5"/>
      <c r="DY116" s="5"/>
      <c r="DZ116" s="5"/>
      <c r="EA116" s="5"/>
      <c r="EB116" s="5"/>
      <c r="EC116" s="5"/>
      <c r="ED116" s="5"/>
      <c r="EE116" s="5"/>
      <c r="EF116" s="5"/>
      <c r="EG116" s="5"/>
      <c r="EH116" s="5"/>
      <c r="EI116" s="5"/>
      <c r="EJ116" s="5"/>
      <c r="EK116" s="5"/>
    </row>
    <row r="117" spans="1:141">
      <c r="A117" s="5"/>
      <c r="B117" s="5"/>
      <c r="C117" s="161" t="s">
        <v>63</v>
      </c>
      <c r="D117" s="931">
        <f>D116/1000</f>
        <v>4.3474358974358971</v>
      </c>
      <c r="E117" s="931"/>
      <c r="F117" s="5" t="s">
        <v>26</v>
      </c>
      <c r="G117" s="5"/>
      <c r="H117" s="5"/>
      <c r="I117" s="5"/>
      <c r="J117" s="5"/>
      <c r="K117" s="5"/>
      <c r="L117" s="5"/>
      <c r="M117" s="945"/>
      <c r="N117" s="945"/>
      <c r="O117" s="945"/>
      <c r="P117" s="945"/>
      <c r="Q117" s="945"/>
      <c r="R117" s="945"/>
      <c r="S117" s="945"/>
      <c r="T117" s="374"/>
      <c r="U117" s="5"/>
      <c r="V117" s="161"/>
      <c r="W117" s="426"/>
      <c r="X117" s="426"/>
      <c r="Y117" s="5"/>
      <c r="Z117" s="5"/>
      <c r="AA117" s="5"/>
      <c r="AB117" s="5"/>
      <c r="AC117" s="5"/>
      <c r="AD117" s="5"/>
      <c r="AE117" s="5"/>
      <c r="AF117" s="380"/>
      <c r="AG117" s="380"/>
      <c r="AH117" s="380"/>
      <c r="AI117" s="380"/>
      <c r="AJ117" s="380"/>
      <c r="AK117" s="380"/>
      <c r="AL117" s="380"/>
      <c r="AM117" s="5"/>
      <c r="AN117" s="5"/>
      <c r="AO117" s="161" t="s">
        <v>63</v>
      </c>
      <c r="AP117" s="931">
        <f>AP116/1000</f>
        <v>2.1737179487179485</v>
      </c>
      <c r="AQ117" s="931"/>
      <c r="AR117" s="5" t="s">
        <v>26</v>
      </c>
      <c r="AS117" s="5"/>
      <c r="AT117" s="5"/>
      <c r="AU117" s="5"/>
      <c r="AV117" s="5"/>
      <c r="AW117" s="5"/>
      <c r="AX117" s="5"/>
      <c r="AY117" s="945"/>
      <c r="AZ117" s="945"/>
      <c r="BA117" s="945"/>
      <c r="BB117" s="945"/>
      <c r="BC117" s="945"/>
      <c r="BD117" s="945"/>
      <c r="BE117" s="945"/>
      <c r="BF117" s="5"/>
      <c r="BG117" s="5"/>
      <c r="BH117" s="161" t="s">
        <v>63</v>
      </c>
      <c r="BI117" s="931">
        <f>BI116/1000</f>
        <v>2.1737179487179485</v>
      </c>
      <c r="BJ117" s="931"/>
      <c r="BK117" s="5" t="s">
        <v>26</v>
      </c>
      <c r="BL117" s="5"/>
      <c r="BM117" s="5"/>
      <c r="BN117" s="5"/>
      <c r="BO117" s="5"/>
      <c r="BP117" s="5"/>
      <c r="BQ117" s="5"/>
      <c r="BR117" s="945"/>
      <c r="BS117" s="945"/>
      <c r="BT117" s="945"/>
      <c r="BU117" s="945"/>
      <c r="BV117" s="945"/>
      <c r="BW117" s="945"/>
      <c r="BX117" s="945"/>
      <c r="BY117" s="378"/>
      <c r="BZ117" s="378"/>
      <c r="CA117" s="378"/>
      <c r="CB117" s="378"/>
      <c r="CC117" s="378"/>
      <c r="CD117" s="5"/>
      <c r="CE117" s="5"/>
      <c r="CF117" s="161"/>
      <c r="CG117" s="392"/>
      <c r="CH117" s="392"/>
      <c r="CI117" s="5"/>
      <c r="CJ117" s="5"/>
      <c r="CK117" s="5"/>
      <c r="CL117" s="5"/>
      <c r="CM117" s="5"/>
      <c r="CN117" s="5"/>
      <c r="CO117" s="5"/>
      <c r="CP117" s="5"/>
      <c r="CQ117" s="5"/>
      <c r="CR117" s="5"/>
      <c r="CS117" s="5"/>
      <c r="CT117" s="5"/>
      <c r="CU117" s="5"/>
      <c r="CV117" s="5"/>
      <c r="CW117" s="372"/>
      <c r="CX117" s="5"/>
      <c r="CY117" s="5"/>
      <c r="CZ117" s="161"/>
      <c r="DA117" s="392"/>
      <c r="DB117" s="392"/>
      <c r="DC117" s="5"/>
      <c r="DD117" s="5"/>
      <c r="DE117" s="5"/>
      <c r="DF117" s="5"/>
      <c r="DG117" s="5"/>
      <c r="DH117" s="5"/>
      <c r="DI117" s="5"/>
      <c r="DJ117" s="5"/>
      <c r="DK117" s="5"/>
      <c r="DL117" s="5"/>
      <c r="DM117" s="5"/>
      <c r="DN117" s="5"/>
      <c r="DO117" s="5"/>
      <c r="DP117" s="5"/>
      <c r="DR117" s="372"/>
      <c r="DS117" s="5"/>
      <c r="DT117" s="5"/>
      <c r="DU117" s="161"/>
      <c r="DV117" s="890"/>
      <c r="DW117" s="890"/>
      <c r="DX117" s="5"/>
      <c r="DY117" s="5"/>
      <c r="DZ117" s="5"/>
      <c r="EA117" s="5"/>
      <c r="EB117" s="5"/>
      <c r="EC117" s="5"/>
      <c r="ED117" s="5"/>
      <c r="EE117" s="5"/>
      <c r="EF117" s="5"/>
      <c r="EG117" s="5"/>
      <c r="EH117" s="5"/>
      <c r="EI117" s="5"/>
      <c r="EJ117" s="5"/>
      <c r="EK117" s="5"/>
    </row>
    <row r="118" spans="1:141">
      <c r="A118" s="5"/>
      <c r="B118" s="5"/>
      <c r="C118" s="5"/>
      <c r="D118" s="5"/>
      <c r="E118" s="5"/>
      <c r="F118" s="5"/>
      <c r="G118" s="5"/>
      <c r="H118" s="5"/>
      <c r="I118" s="5"/>
      <c r="J118" s="5"/>
      <c r="K118" s="5"/>
      <c r="L118" s="5"/>
      <c r="M118" s="5"/>
      <c r="N118" s="5"/>
      <c r="O118" s="5"/>
      <c r="P118" s="5"/>
      <c r="Q118" s="5"/>
      <c r="R118" s="5"/>
      <c r="S118" s="5"/>
      <c r="T118" s="374"/>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373"/>
      <c r="BF118" s="5"/>
      <c r="BG118" s="5"/>
      <c r="BH118" s="5"/>
      <c r="BI118" s="5"/>
      <c r="BJ118" s="5"/>
      <c r="BK118" s="5"/>
      <c r="BL118" s="5"/>
      <c r="BM118" s="5"/>
      <c r="BN118" s="5"/>
      <c r="BO118" s="5"/>
      <c r="BP118" s="5"/>
      <c r="BQ118" s="5"/>
      <c r="BR118" s="5"/>
      <c r="BS118" s="5"/>
      <c r="BT118" s="5"/>
      <c r="BU118" s="5"/>
      <c r="BV118" s="5"/>
      <c r="BW118" s="5"/>
      <c r="BX118" s="373"/>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372"/>
      <c r="CX118" s="5"/>
      <c r="CY118" s="5"/>
      <c r="CZ118" s="5"/>
      <c r="DA118" s="5"/>
      <c r="DB118" s="5"/>
      <c r="DC118" s="5"/>
      <c r="DD118" s="5"/>
      <c r="DE118" s="5"/>
      <c r="DF118" s="5"/>
      <c r="DG118" s="5"/>
      <c r="DH118" s="5"/>
      <c r="DI118" s="5"/>
      <c r="DJ118" s="5"/>
      <c r="DK118" s="5"/>
      <c r="DL118" s="5"/>
      <c r="DM118" s="5"/>
      <c r="DN118" s="5"/>
      <c r="DO118" s="5"/>
      <c r="DP118" s="5"/>
      <c r="DR118" s="372"/>
      <c r="DS118" s="5"/>
      <c r="DT118" s="5"/>
      <c r="DU118" s="5"/>
      <c r="DV118" s="5"/>
      <c r="DW118" s="5"/>
      <c r="DX118" s="5"/>
      <c r="DY118" s="5"/>
      <c r="DZ118" s="5"/>
      <c r="EA118" s="5"/>
      <c r="EB118" s="5"/>
      <c r="EC118" s="5"/>
      <c r="ED118" s="5"/>
      <c r="EE118" s="5"/>
      <c r="EF118" s="5"/>
      <c r="EG118" s="5"/>
      <c r="EH118" s="5"/>
      <c r="EI118" s="5"/>
      <c r="EJ118" s="5"/>
      <c r="EK118" s="5"/>
    </row>
    <row r="119" spans="1:141">
      <c r="A119" s="161" t="s">
        <v>873</v>
      </c>
      <c r="B119" s="5" t="s">
        <v>924</v>
      </c>
      <c r="C119" s="5"/>
      <c r="D119" s="5"/>
      <c r="E119" s="5"/>
      <c r="F119" s="5"/>
      <c r="G119" s="5"/>
      <c r="H119" s="5"/>
      <c r="I119" s="5"/>
      <c r="J119" s="5"/>
      <c r="K119" s="5"/>
      <c r="L119" s="5"/>
      <c r="M119" s="5"/>
      <c r="N119" s="5"/>
      <c r="O119" s="5"/>
      <c r="P119" s="5"/>
      <c r="Q119" s="5"/>
      <c r="R119" s="5"/>
      <c r="S119" s="5"/>
      <c r="T119" s="374"/>
      <c r="U119" s="5"/>
      <c r="V119" s="5"/>
      <c r="W119" s="5"/>
      <c r="X119" s="5"/>
      <c r="Y119" s="5"/>
      <c r="Z119" s="5"/>
      <c r="AA119" s="5"/>
      <c r="AB119" s="5"/>
      <c r="AC119" s="5"/>
      <c r="AD119" s="5"/>
      <c r="AE119" s="5"/>
      <c r="AF119" s="5"/>
      <c r="AG119" s="5"/>
      <c r="AH119" s="5"/>
      <c r="AI119" s="5"/>
      <c r="AJ119" s="5"/>
      <c r="AK119" s="5"/>
      <c r="AL119" s="5"/>
      <c r="AM119" s="161" t="s">
        <v>873</v>
      </c>
      <c r="AN119" s="5" t="s">
        <v>924</v>
      </c>
      <c r="AO119" s="5"/>
      <c r="AP119" s="5"/>
      <c r="AQ119" s="5"/>
      <c r="AR119" s="5"/>
      <c r="AS119" s="5"/>
      <c r="AT119" s="5"/>
      <c r="AU119" s="5"/>
      <c r="AV119" s="5"/>
      <c r="AW119" s="5"/>
      <c r="AX119" s="5"/>
      <c r="AY119" s="5"/>
      <c r="AZ119" s="5"/>
      <c r="BA119" s="5"/>
      <c r="BB119" s="5"/>
      <c r="BC119" s="5"/>
      <c r="BD119" s="5"/>
      <c r="BE119" s="373"/>
      <c r="BF119" s="161" t="s">
        <v>873</v>
      </c>
      <c r="BG119" s="5" t="s">
        <v>924</v>
      </c>
      <c r="BH119" s="5"/>
      <c r="BI119" s="5"/>
      <c r="BJ119" s="5"/>
      <c r="BK119" s="5"/>
      <c r="BL119" s="5"/>
      <c r="BM119" s="5"/>
      <c r="BN119" s="5"/>
      <c r="BO119" s="5"/>
      <c r="BP119" s="5"/>
      <c r="BQ119" s="5"/>
      <c r="BR119" s="5"/>
      <c r="BS119" s="5"/>
      <c r="BT119" s="5"/>
      <c r="BU119" s="5"/>
      <c r="BV119" s="5"/>
      <c r="BW119" s="5"/>
      <c r="BX119" s="373"/>
      <c r="BY119" s="5"/>
      <c r="BZ119" s="5"/>
      <c r="CA119" s="5"/>
      <c r="CB119" s="5"/>
      <c r="CC119" s="5"/>
      <c r="CD119" s="161"/>
      <c r="CE119" s="5"/>
      <c r="CF119" s="5"/>
      <c r="CG119" s="5"/>
      <c r="CH119" s="5"/>
      <c r="CI119" s="5"/>
      <c r="CJ119" s="5"/>
      <c r="CK119" s="5"/>
      <c r="CL119" s="5"/>
      <c r="CM119" s="5"/>
      <c r="CN119" s="5"/>
      <c r="CO119" s="5"/>
      <c r="CP119" s="5"/>
      <c r="CQ119" s="5"/>
      <c r="CR119" s="5"/>
      <c r="CS119" s="5"/>
      <c r="CT119" s="5"/>
      <c r="CU119" s="5"/>
      <c r="CV119" s="5"/>
      <c r="CW119" s="372"/>
      <c r="CX119" s="161"/>
      <c r="CY119" s="5"/>
      <c r="CZ119" s="5"/>
      <c r="DA119" s="5"/>
      <c r="DB119" s="5"/>
      <c r="DC119" s="5"/>
      <c r="DD119" s="5"/>
      <c r="DE119" s="5"/>
      <c r="DF119" s="5"/>
      <c r="DG119" s="5"/>
      <c r="DH119" s="5"/>
      <c r="DI119" s="5"/>
      <c r="DJ119" s="5"/>
      <c r="DK119" s="5"/>
      <c r="DL119" s="5"/>
      <c r="DM119" s="5"/>
      <c r="DN119" s="5"/>
      <c r="DO119" s="5"/>
      <c r="DP119" s="5"/>
      <c r="DR119" s="372"/>
      <c r="DS119" s="161"/>
      <c r="DT119" s="5"/>
      <c r="DU119" s="5"/>
      <c r="DV119" s="5"/>
      <c r="DW119" s="5"/>
      <c r="DX119" s="5"/>
      <c r="DY119" s="5"/>
      <c r="DZ119" s="5"/>
      <c r="EA119" s="5"/>
      <c r="EB119" s="5"/>
      <c r="EC119" s="5"/>
      <c r="ED119" s="5"/>
      <c r="EE119" s="5"/>
      <c r="EF119" s="5"/>
      <c r="EG119" s="5"/>
      <c r="EH119" s="5"/>
      <c r="EI119" s="5"/>
      <c r="EJ119" s="5"/>
      <c r="EK119" s="5"/>
    </row>
    <row r="120" spans="1:141" ht="15.6">
      <c r="A120" s="5"/>
      <c r="B120" s="161" t="s">
        <v>925</v>
      </c>
      <c r="C120" s="161" t="s">
        <v>63</v>
      </c>
      <c r="D120" s="5" t="s">
        <v>926</v>
      </c>
      <c r="E120" s="5"/>
      <c r="F120" s="5"/>
      <c r="G120" s="5"/>
      <c r="H120" s="5"/>
      <c r="I120" s="5"/>
      <c r="J120" s="5"/>
      <c r="K120" s="5"/>
      <c r="L120" s="5"/>
      <c r="M120" s="161"/>
      <c r="N120" s="5"/>
      <c r="O120" s="5"/>
      <c r="P120" s="5"/>
      <c r="Q120" s="5"/>
      <c r="R120" s="5"/>
      <c r="S120" s="5"/>
      <c r="T120" s="374"/>
      <c r="U120" s="161"/>
      <c r="V120" s="161"/>
      <c r="W120" s="5"/>
      <c r="X120" s="5"/>
      <c r="Y120" s="5"/>
      <c r="Z120" s="5"/>
      <c r="AA120" s="5"/>
      <c r="AB120" s="5"/>
      <c r="AC120" s="5"/>
      <c r="AD120" s="5"/>
      <c r="AE120" s="5"/>
      <c r="AF120" s="161"/>
      <c r="AG120" s="5"/>
      <c r="AH120" s="5"/>
      <c r="AI120" s="5"/>
      <c r="AJ120" s="5"/>
      <c r="AK120" s="5"/>
      <c r="AL120" s="5"/>
      <c r="AM120" s="5"/>
      <c r="AN120" s="161" t="s">
        <v>925</v>
      </c>
      <c r="AO120" s="161" t="s">
        <v>63</v>
      </c>
      <c r="AP120" s="5" t="s">
        <v>926</v>
      </c>
      <c r="AQ120" s="5"/>
      <c r="AR120" s="5"/>
      <c r="AS120" s="5"/>
      <c r="AT120" s="5"/>
      <c r="AU120" s="5"/>
      <c r="AV120" s="5"/>
      <c r="AW120" s="5"/>
      <c r="AX120" s="5"/>
      <c r="AY120" s="161"/>
      <c r="AZ120" s="5"/>
      <c r="BA120" s="5"/>
      <c r="BB120" s="5"/>
      <c r="BC120" s="5"/>
      <c r="BD120" s="5"/>
      <c r="BE120" s="373"/>
      <c r="BF120" s="5"/>
      <c r="BG120" s="161" t="s">
        <v>925</v>
      </c>
      <c r="BH120" s="161" t="s">
        <v>63</v>
      </c>
      <c r="BI120" s="5" t="s">
        <v>926</v>
      </c>
      <c r="BJ120" s="5"/>
      <c r="BK120" s="5"/>
      <c r="BL120" s="5"/>
      <c r="BM120" s="5"/>
      <c r="BN120" s="5"/>
      <c r="BO120" s="5"/>
      <c r="BP120" s="5"/>
      <c r="BQ120" s="5"/>
      <c r="BR120" s="161"/>
      <c r="BS120" s="5"/>
      <c r="BT120" s="5"/>
      <c r="BU120" s="5"/>
      <c r="BV120" s="5"/>
      <c r="BW120" s="5"/>
      <c r="BX120" s="373"/>
      <c r="BY120" s="5"/>
      <c r="BZ120" s="5"/>
      <c r="CA120" s="5"/>
      <c r="CB120" s="5"/>
      <c r="CC120" s="5"/>
      <c r="CD120" s="5"/>
      <c r="CE120" s="161"/>
      <c r="CF120" s="161"/>
      <c r="CG120" s="5"/>
      <c r="CH120" s="5"/>
      <c r="CI120" s="5"/>
      <c r="CJ120" s="5"/>
      <c r="CK120" s="5"/>
      <c r="CL120" s="5"/>
      <c r="CM120" s="5"/>
      <c r="CN120" s="5"/>
      <c r="CO120" s="5"/>
      <c r="CP120" s="161"/>
      <c r="CQ120" s="5"/>
      <c r="CR120" s="5"/>
      <c r="CS120" s="5"/>
      <c r="CT120" s="5"/>
      <c r="CU120" s="5"/>
      <c r="CV120" s="5"/>
      <c r="CW120" s="372"/>
      <c r="CX120" s="5"/>
      <c r="CY120" s="161"/>
      <c r="CZ120" s="161"/>
      <c r="DA120" s="5"/>
      <c r="DB120" s="5"/>
      <c r="DC120" s="5"/>
      <c r="DD120" s="5"/>
      <c r="DE120" s="5"/>
      <c r="DF120" s="5"/>
      <c r="DG120" s="5"/>
      <c r="DH120" s="5"/>
      <c r="DI120" s="5"/>
      <c r="DJ120" s="161"/>
      <c r="DK120" s="5"/>
      <c r="DL120" s="5"/>
      <c r="DM120" s="5"/>
      <c r="DN120" s="5"/>
      <c r="DO120" s="5"/>
      <c r="DP120" s="5"/>
      <c r="DR120" s="372"/>
      <c r="DS120" s="5"/>
      <c r="DT120" s="161"/>
      <c r="DU120" s="161"/>
      <c r="DV120" s="5"/>
      <c r="DW120" s="5"/>
      <c r="DX120" s="5"/>
      <c r="DY120" s="5"/>
      <c r="DZ120" s="5"/>
      <c r="EA120" s="5"/>
      <c r="EB120" s="5"/>
      <c r="EC120" s="5"/>
      <c r="ED120" s="5"/>
      <c r="EE120" s="161"/>
      <c r="EF120" s="5"/>
      <c r="EG120" s="5"/>
      <c r="EH120" s="5"/>
      <c r="EI120" s="5"/>
      <c r="EJ120" s="5"/>
      <c r="EK120" s="5"/>
    </row>
    <row r="121" spans="1:141" ht="15.6">
      <c r="A121" s="5"/>
      <c r="B121" s="5"/>
      <c r="C121" s="161" t="s">
        <v>63</v>
      </c>
      <c r="D121" s="375" t="s">
        <v>927</v>
      </c>
      <c r="E121" s="5"/>
      <c r="F121" s="5"/>
      <c r="G121" s="5"/>
      <c r="H121" s="5"/>
      <c r="I121" s="5"/>
      <c r="J121" s="5"/>
      <c r="K121" s="5"/>
      <c r="L121" s="5"/>
      <c r="M121" s="5"/>
      <c r="N121" s="5"/>
      <c r="O121" s="5"/>
      <c r="P121" s="5"/>
      <c r="Q121" s="5"/>
      <c r="R121" s="5"/>
      <c r="S121" s="5"/>
      <c r="T121" s="374"/>
      <c r="U121" s="5"/>
      <c r="V121" s="161"/>
      <c r="W121" s="375"/>
      <c r="X121" s="5"/>
      <c r="Y121" s="5"/>
      <c r="Z121" s="5"/>
      <c r="AA121" s="5"/>
      <c r="AB121" s="5"/>
      <c r="AC121" s="5"/>
      <c r="AD121" s="5"/>
      <c r="AE121" s="5"/>
      <c r="AF121" s="5"/>
      <c r="AG121" s="5"/>
      <c r="AH121" s="5"/>
      <c r="AI121" s="5"/>
      <c r="AJ121" s="5"/>
      <c r="AK121" s="5"/>
      <c r="AL121" s="5"/>
      <c r="AM121" s="5"/>
      <c r="AN121" s="5"/>
      <c r="AO121" s="161" t="s">
        <v>63</v>
      </c>
      <c r="AP121" s="375" t="s">
        <v>927</v>
      </c>
      <c r="AQ121" s="5"/>
      <c r="AR121" s="5"/>
      <c r="AS121" s="5"/>
      <c r="AT121" s="5"/>
      <c r="AU121" s="5"/>
      <c r="AV121" s="5"/>
      <c r="AW121" s="5"/>
      <c r="AX121" s="5"/>
      <c r="AY121" s="5"/>
      <c r="AZ121" s="5"/>
      <c r="BA121" s="5"/>
      <c r="BB121" s="5"/>
      <c r="BC121" s="5"/>
      <c r="BD121" s="5"/>
      <c r="BE121" s="373"/>
      <c r="BF121" s="5"/>
      <c r="BG121" s="5"/>
      <c r="BH121" s="161" t="s">
        <v>63</v>
      </c>
      <c r="BI121" s="375" t="s">
        <v>927</v>
      </c>
      <c r="BJ121" s="5"/>
      <c r="BK121" s="5"/>
      <c r="BL121" s="5"/>
      <c r="BM121" s="5"/>
      <c r="BN121" s="5"/>
      <c r="BO121" s="5"/>
      <c r="BP121" s="5"/>
      <c r="BQ121" s="5"/>
      <c r="BR121" s="5"/>
      <c r="BS121" s="5"/>
      <c r="BT121" s="5"/>
      <c r="BU121" s="5"/>
      <c r="BV121" s="5"/>
      <c r="BW121" s="5"/>
      <c r="BX121" s="373"/>
      <c r="BY121" s="5"/>
      <c r="BZ121" s="5"/>
      <c r="CA121" s="5"/>
      <c r="CB121" s="5"/>
      <c r="CC121" s="5"/>
      <c r="CD121" s="5"/>
      <c r="CE121" s="5"/>
      <c r="CF121" s="161"/>
      <c r="CG121" s="375"/>
      <c r="CH121" s="5"/>
      <c r="CI121" s="5"/>
      <c r="CJ121" s="5"/>
      <c r="CK121" s="5"/>
      <c r="CL121" s="5"/>
      <c r="CM121" s="5"/>
      <c r="CN121" s="5"/>
      <c r="CO121" s="5"/>
      <c r="CP121" s="5"/>
      <c r="CQ121" s="5"/>
      <c r="CR121" s="5"/>
      <c r="CS121" s="5"/>
      <c r="CT121" s="5"/>
      <c r="CU121" s="5"/>
      <c r="CV121" s="5"/>
      <c r="CW121" s="372"/>
      <c r="CX121" s="5"/>
      <c r="CY121" s="5"/>
      <c r="CZ121" s="161"/>
      <c r="DA121" s="375"/>
      <c r="DB121" s="5"/>
      <c r="DC121" s="5"/>
      <c r="DD121" s="5"/>
      <c r="DE121" s="5"/>
      <c r="DF121" s="5"/>
      <c r="DG121" s="5"/>
      <c r="DH121" s="5"/>
      <c r="DI121" s="5"/>
      <c r="DJ121" s="5"/>
      <c r="DK121" s="5"/>
      <c r="DL121" s="5"/>
      <c r="DM121" s="5"/>
      <c r="DN121" s="5"/>
      <c r="DO121" s="5"/>
      <c r="DP121" s="5"/>
      <c r="DR121" s="372"/>
      <c r="DS121" s="5"/>
      <c r="DT121" s="5"/>
      <c r="DU121" s="161"/>
      <c r="DV121" s="5"/>
      <c r="DW121" s="5"/>
      <c r="DX121" s="5"/>
      <c r="DY121" s="5"/>
      <c r="DZ121" s="5"/>
      <c r="EA121" s="5"/>
      <c r="EB121" s="5"/>
      <c r="EC121" s="5"/>
      <c r="ED121" s="5"/>
      <c r="EE121" s="5"/>
      <c r="EF121" s="5"/>
      <c r="EG121" s="5"/>
      <c r="EH121" s="5"/>
      <c r="EI121" s="5"/>
      <c r="EJ121" s="5"/>
      <c r="EK121" s="5"/>
    </row>
    <row r="122" spans="1:141">
      <c r="A122" s="5"/>
      <c r="B122" s="5"/>
      <c r="C122" s="161" t="s">
        <v>63</v>
      </c>
      <c r="D122" s="948">
        <f>(200*20*(O45)/(24*K46))</f>
        <v>43474.358974358976</v>
      </c>
      <c r="E122" s="948"/>
      <c r="F122" s="948"/>
      <c r="G122" s="5" t="s">
        <v>346</v>
      </c>
      <c r="H122" s="5"/>
      <c r="I122" s="5"/>
      <c r="J122" s="5"/>
      <c r="K122" s="5"/>
      <c r="L122" s="5"/>
      <c r="M122" s="5"/>
      <c r="N122" s="5"/>
      <c r="O122" s="5"/>
      <c r="P122" s="5"/>
      <c r="Q122" s="5"/>
      <c r="R122" s="5"/>
      <c r="S122" s="5"/>
      <c r="T122" s="374"/>
      <c r="U122" s="5"/>
      <c r="V122" s="161"/>
      <c r="W122" s="384"/>
      <c r="X122" s="384"/>
      <c r="Y122" s="384"/>
      <c r="Z122" s="5"/>
      <c r="AA122" s="5"/>
      <c r="AB122" s="5"/>
      <c r="AC122" s="5"/>
      <c r="AD122" s="5"/>
      <c r="AE122" s="5"/>
      <c r="AF122" s="5"/>
      <c r="AG122" s="5"/>
      <c r="AH122" s="5"/>
      <c r="AI122" s="5"/>
      <c r="AJ122" s="5"/>
      <c r="AK122" s="5"/>
      <c r="AL122" s="5"/>
      <c r="AM122" s="5"/>
      <c r="AN122" s="5"/>
      <c r="AO122" s="161" t="s">
        <v>63</v>
      </c>
      <c r="AP122" s="948">
        <f>(200*10*(BA45)/(24*AW46))</f>
        <v>21737.179487179488</v>
      </c>
      <c r="AQ122" s="948"/>
      <c r="AR122" s="948"/>
      <c r="AS122" s="5" t="s">
        <v>346</v>
      </c>
      <c r="AT122" s="5"/>
      <c r="AU122" s="5"/>
      <c r="AV122" s="5"/>
      <c r="AW122" s="5"/>
      <c r="AX122" s="5"/>
      <c r="AY122" s="5"/>
      <c r="AZ122" s="5"/>
      <c r="BA122" s="5"/>
      <c r="BB122" s="5"/>
      <c r="BC122" s="5"/>
      <c r="BD122" s="5"/>
      <c r="BE122" s="373"/>
      <c r="BF122" s="5"/>
      <c r="BG122" s="5"/>
      <c r="BH122" s="161" t="s">
        <v>63</v>
      </c>
      <c r="BI122" s="948">
        <f>(200*10*(BT45)/(24*BP46))</f>
        <v>21737.179487179488</v>
      </c>
      <c r="BJ122" s="948"/>
      <c r="BK122" s="948"/>
      <c r="BL122" s="5" t="s">
        <v>346</v>
      </c>
      <c r="BM122" s="5"/>
      <c r="BN122" s="5"/>
      <c r="BO122" s="5"/>
      <c r="BP122" s="5"/>
      <c r="BQ122" s="5"/>
      <c r="BR122" s="5"/>
      <c r="BS122" s="5"/>
      <c r="BT122" s="5"/>
      <c r="BU122" s="5"/>
      <c r="BV122" s="5"/>
      <c r="BW122" s="5"/>
      <c r="BX122" s="373"/>
      <c r="BY122" s="5"/>
      <c r="BZ122" s="5"/>
      <c r="CA122" s="5"/>
      <c r="CB122" s="5"/>
      <c r="CC122" s="5"/>
      <c r="CD122" s="5"/>
      <c r="CE122" s="5"/>
      <c r="CF122" s="161"/>
      <c r="CG122" s="388"/>
      <c r="CH122" s="5"/>
      <c r="CI122" s="5"/>
      <c r="CJ122" s="5"/>
      <c r="CK122" s="5"/>
      <c r="CL122" s="5"/>
      <c r="CM122" s="5"/>
      <c r="CN122" s="5"/>
      <c r="CO122" s="5"/>
      <c r="CP122" s="5"/>
      <c r="CQ122" s="5"/>
      <c r="CR122" s="5"/>
      <c r="CS122" s="5"/>
      <c r="CT122" s="5"/>
      <c r="CU122" s="5"/>
      <c r="CV122" s="5"/>
      <c r="CW122" s="372"/>
      <c r="CX122" s="5"/>
      <c r="CY122" s="5"/>
      <c r="CZ122" s="161"/>
      <c r="DA122" s="388"/>
      <c r="DB122" s="5"/>
      <c r="DC122" s="5"/>
      <c r="DD122" s="5"/>
      <c r="DE122" s="5"/>
      <c r="DF122" s="5"/>
      <c r="DG122" s="5"/>
      <c r="DH122" s="5"/>
      <c r="DI122" s="5"/>
      <c r="DJ122" s="5"/>
      <c r="DK122" s="5"/>
      <c r="DL122" s="5"/>
      <c r="DM122" s="5"/>
      <c r="DN122" s="5"/>
      <c r="DO122" s="5"/>
      <c r="DP122" s="5"/>
      <c r="DR122" s="372"/>
      <c r="DS122" s="5"/>
      <c r="DT122" s="5"/>
      <c r="DU122" s="161"/>
      <c r="DV122" s="951"/>
      <c r="DW122" s="716"/>
      <c r="DX122" s="5"/>
      <c r="DY122" s="5"/>
      <c r="DZ122" s="5"/>
      <c r="EA122" s="5"/>
      <c r="EB122" s="5"/>
      <c r="EC122" s="5"/>
      <c r="ED122" s="5"/>
      <c r="EE122" s="5"/>
      <c r="EF122" s="5"/>
      <c r="EG122" s="5"/>
      <c r="EH122" s="5"/>
      <c r="EI122" s="5"/>
      <c r="EJ122" s="5"/>
      <c r="EK122" s="5"/>
    </row>
    <row r="123" spans="1:141">
      <c r="A123" s="5"/>
      <c r="B123" s="5"/>
      <c r="C123" s="161" t="s">
        <v>63</v>
      </c>
      <c r="D123" s="946">
        <f>D122/1000</f>
        <v>43.474358974358978</v>
      </c>
      <c r="E123" s="946"/>
      <c r="F123" s="946"/>
      <c r="G123" s="386" t="s">
        <v>26</v>
      </c>
      <c r="H123" s="5"/>
      <c r="I123" s="5"/>
      <c r="J123" s="5"/>
      <c r="K123" s="5"/>
      <c r="L123" s="5"/>
      <c r="M123" s="5"/>
      <c r="N123" s="5"/>
      <c r="O123" s="5"/>
      <c r="P123" s="5"/>
      <c r="Q123" s="5"/>
      <c r="R123" s="5"/>
      <c r="S123" s="5"/>
      <c r="T123" s="374"/>
      <c r="U123" s="5"/>
      <c r="V123" s="161"/>
      <c r="W123" s="430"/>
      <c r="X123" s="430"/>
      <c r="Y123" s="386"/>
      <c r="Z123" s="5"/>
      <c r="AA123" s="5"/>
      <c r="AB123" s="5"/>
      <c r="AC123" s="5"/>
      <c r="AD123" s="5"/>
      <c r="AE123" s="5"/>
      <c r="AF123" s="5"/>
      <c r="AG123" s="5"/>
      <c r="AH123" s="5"/>
      <c r="AI123" s="5"/>
      <c r="AJ123" s="5"/>
      <c r="AK123" s="5"/>
      <c r="AL123" s="5"/>
      <c r="AM123" s="5"/>
      <c r="AN123" s="5"/>
      <c r="AO123" s="161" t="s">
        <v>63</v>
      </c>
      <c r="AP123" s="946">
        <f>AP122/1000</f>
        <v>21.737179487179489</v>
      </c>
      <c r="AQ123" s="946"/>
      <c r="AR123" s="386" t="s">
        <v>26</v>
      </c>
      <c r="AS123" s="5"/>
      <c r="AT123" s="5"/>
      <c r="AU123" s="5"/>
      <c r="AV123" s="5"/>
      <c r="AW123" s="5"/>
      <c r="AX123" s="5"/>
      <c r="AY123" s="5"/>
      <c r="AZ123" s="5"/>
      <c r="BA123" s="5"/>
      <c r="BB123" s="5"/>
      <c r="BC123" s="5"/>
      <c r="BD123" s="5"/>
      <c r="BE123" s="373"/>
      <c r="BF123" s="5"/>
      <c r="BG123" s="5"/>
      <c r="BH123" s="161" t="s">
        <v>63</v>
      </c>
      <c r="BI123" s="946">
        <f>BI122/1000</f>
        <v>21.737179487179489</v>
      </c>
      <c r="BJ123" s="946"/>
      <c r="BK123" s="386" t="s">
        <v>26</v>
      </c>
      <c r="BL123" s="5"/>
      <c r="BM123" s="5"/>
      <c r="BN123" s="5"/>
      <c r="BO123" s="5"/>
      <c r="BP123" s="5"/>
      <c r="BQ123" s="5"/>
      <c r="BR123" s="5"/>
      <c r="BS123" s="5"/>
      <c r="BT123" s="5"/>
      <c r="BU123" s="5"/>
      <c r="BV123" s="5"/>
      <c r="BW123" s="5"/>
      <c r="BX123" s="373"/>
      <c r="BY123" s="5"/>
      <c r="BZ123" s="5"/>
      <c r="CA123" s="5"/>
      <c r="CB123" s="5"/>
      <c r="CC123" s="5"/>
      <c r="CD123" s="5"/>
      <c r="CE123" s="5"/>
      <c r="CF123" s="161"/>
      <c r="CG123" s="392"/>
      <c r="CH123" s="392"/>
      <c r="CI123" s="5"/>
      <c r="CJ123" s="5"/>
      <c r="CK123" s="5"/>
      <c r="CL123" s="5"/>
      <c r="CM123" s="5"/>
      <c r="CN123" s="5"/>
      <c r="CO123" s="5"/>
      <c r="CP123" s="5"/>
      <c r="CQ123" s="5"/>
      <c r="CR123" s="5"/>
      <c r="CS123" s="5"/>
      <c r="CT123" s="5"/>
      <c r="CU123" s="5"/>
      <c r="CV123" s="5"/>
      <c r="CW123" s="372"/>
      <c r="CX123" s="5"/>
      <c r="CY123" s="5"/>
      <c r="CZ123" s="161"/>
      <c r="DA123" s="392"/>
      <c r="DB123" s="392"/>
      <c r="DC123" s="5"/>
      <c r="DD123" s="5"/>
      <c r="DE123" s="5"/>
      <c r="DF123" s="5"/>
      <c r="DG123" s="5"/>
      <c r="DH123" s="5"/>
      <c r="DI123" s="5"/>
      <c r="DJ123" s="5"/>
      <c r="DK123" s="5"/>
      <c r="DL123" s="5"/>
      <c r="DM123" s="5"/>
      <c r="DN123" s="5"/>
      <c r="DO123" s="5"/>
      <c r="DP123" s="5"/>
      <c r="DR123" s="372"/>
      <c r="DS123" s="5"/>
      <c r="DT123" s="5"/>
      <c r="DU123" s="161"/>
      <c r="DV123" s="890"/>
      <c r="DW123" s="890"/>
      <c r="DX123" s="5"/>
      <c r="DY123" s="5"/>
      <c r="DZ123" s="5"/>
      <c r="EA123" s="5"/>
      <c r="EB123" s="5"/>
      <c r="EC123" s="5"/>
      <c r="ED123" s="5"/>
      <c r="EE123" s="5"/>
      <c r="EF123" s="5"/>
      <c r="EG123" s="5"/>
      <c r="EH123" s="5"/>
      <c r="EI123" s="5"/>
      <c r="EJ123" s="5"/>
      <c r="EK123" s="5"/>
    </row>
    <row r="124" spans="1:141">
      <c r="A124" s="5"/>
      <c r="B124" s="5"/>
      <c r="C124" s="5"/>
      <c r="D124" s="5"/>
      <c r="E124" s="5"/>
      <c r="F124" s="5"/>
      <c r="G124" s="5"/>
      <c r="H124" s="5"/>
      <c r="I124" s="5"/>
      <c r="J124" s="5"/>
      <c r="K124" s="5"/>
      <c r="L124" s="5"/>
      <c r="M124" s="5"/>
      <c r="N124" s="5"/>
      <c r="O124" s="5"/>
      <c r="P124" s="5"/>
      <c r="Q124" s="5"/>
      <c r="R124" s="5"/>
      <c r="S124" s="5"/>
      <c r="T124" s="374"/>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373"/>
      <c r="BF124" s="5"/>
      <c r="BG124" s="5"/>
      <c r="BH124" s="5"/>
      <c r="BI124" s="5"/>
      <c r="BJ124" s="5"/>
      <c r="BK124" s="5"/>
      <c r="BL124" s="5"/>
      <c r="BM124" s="5"/>
      <c r="BN124" s="5"/>
      <c r="BO124" s="5"/>
      <c r="BP124" s="5"/>
      <c r="BQ124" s="5"/>
      <c r="BR124" s="5"/>
      <c r="BS124" s="5"/>
      <c r="BT124" s="5"/>
      <c r="BU124" s="5"/>
      <c r="BV124" s="5"/>
      <c r="BW124" s="5"/>
      <c r="BX124" s="373"/>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372"/>
      <c r="CX124" s="5"/>
      <c r="CY124" s="5"/>
      <c r="CZ124" s="5"/>
      <c r="DA124" s="5"/>
      <c r="DB124" s="5"/>
      <c r="DC124" s="5"/>
      <c r="DD124" s="5"/>
      <c r="DE124" s="5"/>
      <c r="DF124" s="5"/>
      <c r="DG124" s="5"/>
      <c r="DH124" s="5"/>
      <c r="DI124" s="5"/>
      <c r="DJ124" s="5"/>
      <c r="DK124" s="5"/>
      <c r="DL124" s="5"/>
      <c r="DM124" s="5"/>
      <c r="DN124" s="5"/>
      <c r="DO124" s="5"/>
      <c r="DP124" s="5"/>
      <c r="DR124" s="372"/>
      <c r="DS124" s="5"/>
      <c r="DT124" s="5"/>
      <c r="DU124" s="5"/>
      <c r="DV124" s="5"/>
      <c r="DW124" s="5"/>
      <c r="DX124" s="5"/>
      <c r="DY124" s="5"/>
      <c r="DZ124" s="5"/>
      <c r="EA124" s="5"/>
      <c r="EB124" s="5"/>
      <c r="EC124" s="5"/>
      <c r="ED124" s="5"/>
      <c r="EE124" s="5"/>
      <c r="EF124" s="5"/>
      <c r="EG124" s="5"/>
      <c r="EH124" s="5"/>
      <c r="EI124" s="5"/>
      <c r="EJ124" s="5"/>
      <c r="EK124" s="5"/>
    </row>
    <row r="125" spans="1:141">
      <c r="A125" s="161" t="s">
        <v>880</v>
      </c>
      <c r="B125" s="5" t="s">
        <v>928</v>
      </c>
      <c r="C125" s="5"/>
      <c r="D125" s="5"/>
      <c r="E125" s="5"/>
      <c r="F125" s="5"/>
      <c r="G125" s="5"/>
      <c r="H125" s="5"/>
      <c r="I125" s="5"/>
      <c r="J125" s="5"/>
      <c r="K125" s="5"/>
      <c r="L125" s="5"/>
      <c r="M125" s="5"/>
      <c r="N125" s="5"/>
      <c r="O125" s="5"/>
      <c r="P125" s="5"/>
      <c r="Q125" s="5"/>
      <c r="R125" s="5"/>
      <c r="S125" s="5"/>
      <c r="T125" s="374"/>
      <c r="U125" s="5"/>
      <c r="V125" s="5"/>
      <c r="W125" s="5"/>
      <c r="X125" s="5"/>
      <c r="Y125" s="5"/>
      <c r="Z125" s="5"/>
      <c r="AA125" s="5"/>
      <c r="AB125" s="5"/>
      <c r="AC125" s="5"/>
      <c r="AD125" s="5"/>
      <c r="AE125" s="5"/>
      <c r="AF125" s="5"/>
      <c r="AG125" s="5"/>
      <c r="AH125" s="5"/>
      <c r="AI125" s="5"/>
      <c r="AJ125" s="5"/>
      <c r="AK125" s="5"/>
      <c r="AL125" s="5"/>
      <c r="AM125" s="161" t="s">
        <v>880</v>
      </c>
      <c r="AN125" s="5" t="s">
        <v>928</v>
      </c>
      <c r="AO125" s="5"/>
      <c r="AP125" s="5"/>
      <c r="AQ125" s="5"/>
      <c r="AR125" s="5"/>
      <c r="AS125" s="5"/>
      <c r="AT125" s="5"/>
      <c r="AU125" s="5"/>
      <c r="AV125" s="5"/>
      <c r="AW125" s="5"/>
      <c r="AX125" s="5"/>
      <c r="AY125" s="5"/>
      <c r="AZ125" s="5"/>
      <c r="BA125" s="5"/>
      <c r="BB125" s="5"/>
      <c r="BC125" s="5"/>
      <c r="BD125" s="5"/>
      <c r="BE125" s="373"/>
      <c r="BF125" s="161" t="s">
        <v>880</v>
      </c>
      <c r="BG125" s="5" t="s">
        <v>928</v>
      </c>
      <c r="BH125" s="5"/>
      <c r="BI125" s="5"/>
      <c r="BJ125" s="5"/>
      <c r="BK125" s="5"/>
      <c r="BL125" s="5"/>
      <c r="BM125" s="5"/>
      <c r="BN125" s="5"/>
      <c r="BO125" s="5"/>
      <c r="BP125" s="5"/>
      <c r="BQ125" s="5"/>
      <c r="BR125" s="5"/>
      <c r="BS125" s="5"/>
      <c r="BT125" s="5"/>
      <c r="BU125" s="5"/>
      <c r="BV125" s="5"/>
      <c r="BW125" s="5"/>
      <c r="BX125" s="373"/>
      <c r="BY125" s="5"/>
      <c r="BZ125" s="5"/>
      <c r="CA125" s="5"/>
      <c r="CB125" s="5"/>
      <c r="CC125" s="5"/>
      <c r="CD125" s="161"/>
      <c r="CE125" s="5"/>
      <c r="CF125" s="5"/>
      <c r="CG125" s="5"/>
      <c r="CH125" s="5"/>
      <c r="CI125" s="5"/>
      <c r="CJ125" s="5"/>
      <c r="CK125" s="5"/>
      <c r="CL125" s="5"/>
      <c r="CM125" s="5"/>
      <c r="CN125" s="5"/>
      <c r="CO125" s="5"/>
      <c r="CP125" s="5"/>
      <c r="CQ125" s="5"/>
      <c r="CR125" s="5"/>
      <c r="CS125" s="5"/>
      <c r="CT125" s="5"/>
      <c r="CU125" s="5"/>
      <c r="CV125" s="5"/>
      <c r="CW125" s="372"/>
      <c r="CX125" s="161"/>
      <c r="CY125" s="5"/>
      <c r="CZ125" s="5"/>
      <c r="DA125" s="5"/>
      <c r="DB125" s="5"/>
      <c r="DC125" s="5"/>
      <c r="DD125" s="5"/>
      <c r="DE125" s="5"/>
      <c r="DF125" s="5"/>
      <c r="DG125" s="5"/>
      <c r="DH125" s="5"/>
      <c r="DI125" s="5"/>
      <c r="DJ125" s="5"/>
      <c r="DK125" s="5"/>
      <c r="DL125" s="5"/>
      <c r="DM125" s="5"/>
      <c r="DN125" s="5"/>
      <c r="DO125" s="5"/>
      <c r="DP125" s="5"/>
      <c r="DR125" s="372"/>
      <c r="DS125" s="161"/>
      <c r="DT125" s="5"/>
      <c r="DU125" s="5"/>
      <c r="DV125" s="5"/>
      <c r="DW125" s="5"/>
      <c r="DX125" s="5"/>
      <c r="DY125" s="5"/>
      <c r="DZ125" s="5"/>
      <c r="EA125" s="5"/>
      <c r="EB125" s="5"/>
      <c r="EC125" s="5"/>
      <c r="ED125" s="5"/>
      <c r="EE125" s="5"/>
      <c r="EF125" s="5"/>
      <c r="EG125" s="5"/>
      <c r="EH125" s="5"/>
      <c r="EI125" s="5"/>
      <c r="EJ125" s="5"/>
      <c r="EK125" s="5"/>
    </row>
    <row r="126" spans="1:141" ht="16.2">
      <c r="A126" s="5"/>
      <c r="B126" s="161" t="s">
        <v>929</v>
      </c>
      <c r="C126" s="161" t="s">
        <v>63</v>
      </c>
      <c r="D126" s="5" t="s">
        <v>930</v>
      </c>
      <c r="E126" s="5"/>
      <c r="F126" s="5"/>
      <c r="G126" s="5"/>
      <c r="H126" s="5"/>
      <c r="I126" s="5" t="s">
        <v>931</v>
      </c>
      <c r="J126" s="5"/>
      <c r="K126" s="5"/>
      <c r="L126" s="5"/>
      <c r="M126" s="5"/>
      <c r="N126" s="5"/>
      <c r="O126" s="5"/>
      <c r="P126" s="5"/>
      <c r="Q126" s="5"/>
      <c r="R126" s="5"/>
      <c r="S126" s="5"/>
      <c r="T126" s="374"/>
      <c r="U126" s="161"/>
      <c r="V126" s="161"/>
      <c r="W126" s="5"/>
      <c r="X126" s="5"/>
      <c r="Y126" s="5"/>
      <c r="Z126" s="5"/>
      <c r="AA126" s="5"/>
      <c r="AB126" s="5"/>
      <c r="AC126" s="5"/>
      <c r="AD126" s="5"/>
      <c r="AE126" s="5"/>
      <c r="AF126" s="5"/>
      <c r="AG126" s="5"/>
      <c r="AH126" s="5"/>
      <c r="AI126" s="5"/>
      <c r="AJ126" s="5"/>
      <c r="AK126" s="5"/>
      <c r="AL126" s="5"/>
      <c r="AM126" s="5"/>
      <c r="AN126" s="161" t="s">
        <v>929</v>
      </c>
      <c r="AO126" s="161" t="s">
        <v>63</v>
      </c>
      <c r="AP126" s="5" t="s">
        <v>930</v>
      </c>
      <c r="AQ126" s="5"/>
      <c r="AR126" s="5"/>
      <c r="AS126" s="5"/>
      <c r="AT126" s="5"/>
      <c r="AU126" s="5" t="s">
        <v>931</v>
      </c>
      <c r="AV126" s="5"/>
      <c r="AW126" s="5"/>
      <c r="AX126" s="5"/>
      <c r="AY126" s="5"/>
      <c r="AZ126" s="5"/>
      <c r="BA126" s="5"/>
      <c r="BB126" s="5"/>
      <c r="BC126" s="5"/>
      <c r="BD126" s="5"/>
      <c r="BE126" s="373"/>
      <c r="BF126" s="5"/>
      <c r="BG126" s="161" t="s">
        <v>929</v>
      </c>
      <c r="BH126" s="161" t="s">
        <v>63</v>
      </c>
      <c r="BI126" s="5" t="s">
        <v>930</v>
      </c>
      <c r="BJ126" s="5"/>
      <c r="BK126" s="5"/>
      <c r="BL126" s="5"/>
      <c r="BM126" s="5"/>
      <c r="BN126" s="5" t="s">
        <v>931</v>
      </c>
      <c r="BO126" s="5"/>
      <c r="BP126" s="5"/>
      <c r="BQ126" s="5"/>
      <c r="BR126" s="5"/>
      <c r="BS126" s="5"/>
      <c r="BT126" s="5"/>
      <c r="BU126" s="5"/>
      <c r="BV126" s="5"/>
      <c r="BW126" s="5"/>
      <c r="BX126" s="373"/>
      <c r="BY126" s="5"/>
      <c r="BZ126" s="5"/>
      <c r="CA126" s="5"/>
      <c r="CB126" s="5"/>
      <c r="CC126" s="5"/>
      <c r="CD126" s="5"/>
      <c r="CE126" s="161"/>
      <c r="CF126" s="161"/>
      <c r="CG126" s="5"/>
      <c r="CH126" s="5"/>
      <c r="CI126" s="5"/>
      <c r="CJ126" s="5"/>
      <c r="CK126" s="5"/>
      <c r="CL126" s="5"/>
      <c r="CM126" s="5"/>
      <c r="CN126" s="5"/>
      <c r="CO126" s="5"/>
      <c r="CP126" s="5"/>
      <c r="CQ126" s="5"/>
      <c r="CR126" s="5"/>
      <c r="CS126" s="5"/>
      <c r="CT126" s="5"/>
      <c r="CU126" s="5"/>
      <c r="CV126" s="5"/>
      <c r="CW126" s="372"/>
      <c r="CX126" s="5"/>
      <c r="CY126" s="161"/>
      <c r="CZ126" s="161"/>
      <c r="DA126" s="5"/>
      <c r="DB126" s="5"/>
      <c r="DC126" s="5"/>
      <c r="DD126" s="5"/>
      <c r="DE126" s="5"/>
      <c r="DF126" s="5"/>
      <c r="DG126" s="5"/>
      <c r="DH126" s="5"/>
      <c r="DI126" s="5"/>
      <c r="DJ126" s="5"/>
      <c r="DK126" s="5"/>
      <c r="DL126" s="5"/>
      <c r="DM126" s="5"/>
      <c r="DN126" s="5"/>
      <c r="DO126" s="5"/>
      <c r="DP126" s="5"/>
      <c r="DR126" s="372"/>
      <c r="DS126" s="5"/>
      <c r="DT126" s="161"/>
      <c r="DU126" s="161"/>
      <c r="DV126" s="5"/>
      <c r="DW126" s="5"/>
      <c r="DX126" s="5"/>
      <c r="DY126" s="5"/>
      <c r="DZ126" s="5"/>
      <c r="EA126" s="5"/>
      <c r="EB126" s="5"/>
      <c r="EC126" s="5"/>
      <c r="ED126" s="5"/>
      <c r="EE126" s="5"/>
      <c r="EF126" s="5"/>
      <c r="EG126" s="5"/>
      <c r="EH126" s="5"/>
      <c r="EI126" s="5"/>
      <c r="EJ126" s="5"/>
      <c r="EK126" s="5"/>
    </row>
    <row r="127" spans="1:141">
      <c r="A127" s="5"/>
      <c r="B127" s="5"/>
      <c r="C127" s="161" t="s">
        <v>63</v>
      </c>
      <c r="D127" s="946">
        <f>4800*4*(O44/K45)*10^-6</f>
        <v>5.0082461538461533</v>
      </c>
      <c r="E127" s="946"/>
      <c r="F127" s="5" t="s">
        <v>26</v>
      </c>
      <c r="G127" s="5"/>
      <c r="H127" s="5"/>
      <c r="I127" s="5"/>
      <c r="J127" s="5"/>
      <c r="K127" s="5"/>
      <c r="L127" s="5"/>
      <c r="M127" s="5"/>
      <c r="N127" s="5"/>
      <c r="O127" s="5"/>
      <c r="P127" s="5"/>
      <c r="Q127" s="5"/>
      <c r="R127" s="5"/>
      <c r="S127" s="5"/>
      <c r="T127" s="374"/>
      <c r="U127" s="5"/>
      <c r="V127" s="161"/>
      <c r="W127" s="430"/>
      <c r="X127" s="430"/>
      <c r="Y127" s="5"/>
      <c r="Z127" s="5"/>
      <c r="AA127" s="5"/>
      <c r="AB127" s="5"/>
      <c r="AC127" s="5"/>
      <c r="AD127" s="5"/>
      <c r="AE127" s="5"/>
      <c r="AF127" s="5"/>
      <c r="AG127" s="5"/>
      <c r="AH127" s="5"/>
      <c r="AI127" s="5"/>
      <c r="AJ127" s="5"/>
      <c r="AK127" s="5"/>
      <c r="AL127" s="5"/>
      <c r="AM127" s="5"/>
      <c r="AN127" s="5"/>
      <c r="AO127" s="161" t="s">
        <v>63</v>
      </c>
      <c r="AP127" s="946">
        <f>AR272*4*(BA44/AW45)*10^-6</f>
        <v>4.0900676923076924</v>
      </c>
      <c r="AQ127" s="946"/>
      <c r="AR127" s="5" t="s">
        <v>26</v>
      </c>
      <c r="AS127" s="5"/>
      <c r="AT127" s="5"/>
      <c r="AU127" s="5"/>
      <c r="AV127" s="5"/>
      <c r="AW127" s="5"/>
      <c r="AX127" s="5"/>
      <c r="AY127" s="5"/>
      <c r="AZ127" s="5"/>
      <c r="BA127" s="5"/>
      <c r="BB127" s="5"/>
      <c r="BC127" s="5"/>
      <c r="BD127" s="5"/>
      <c r="BE127" s="373"/>
      <c r="BF127" s="5"/>
      <c r="BG127" s="5"/>
      <c r="BH127" s="161" t="s">
        <v>63</v>
      </c>
      <c r="BI127" s="946">
        <f>BK272*4*(BT44/BP45)*10^-6</f>
        <v>4.0900676923076924</v>
      </c>
      <c r="BJ127" s="946"/>
      <c r="BK127" s="5" t="s">
        <v>26</v>
      </c>
      <c r="BL127" s="5"/>
      <c r="BM127" s="5"/>
      <c r="BN127" s="5"/>
      <c r="BO127" s="5"/>
      <c r="BP127" s="5"/>
      <c r="BQ127" s="5"/>
      <c r="BR127" s="5"/>
      <c r="BS127" s="5"/>
      <c r="BT127" s="5"/>
      <c r="BU127" s="5"/>
      <c r="BV127" s="5"/>
      <c r="BW127" s="5"/>
      <c r="BX127" s="373"/>
      <c r="BY127" s="5"/>
      <c r="BZ127" s="5"/>
      <c r="CA127" s="5"/>
      <c r="CB127" s="5"/>
      <c r="CC127" s="5"/>
      <c r="CD127" s="5"/>
      <c r="CE127" s="5"/>
      <c r="CF127" s="161"/>
      <c r="CG127" s="383"/>
      <c r="CH127" s="383"/>
      <c r="CI127" s="5"/>
      <c r="CJ127" s="5"/>
      <c r="CK127" s="5"/>
      <c r="CL127" s="5"/>
      <c r="CM127" s="5"/>
      <c r="CN127" s="5"/>
      <c r="CO127" s="5"/>
      <c r="CP127" s="5"/>
      <c r="CQ127" s="5"/>
      <c r="CR127" s="5"/>
      <c r="CS127" s="5"/>
      <c r="CT127" s="5"/>
      <c r="CU127" s="5"/>
      <c r="CV127" s="5"/>
      <c r="CW127" s="372"/>
      <c r="CX127" s="5"/>
      <c r="CY127" s="5"/>
      <c r="CZ127" s="161"/>
      <c r="DA127" s="383"/>
      <c r="DB127" s="383"/>
      <c r="DC127" s="5"/>
      <c r="DD127" s="5"/>
      <c r="DE127" s="5"/>
      <c r="DF127" s="5"/>
      <c r="DG127" s="5"/>
      <c r="DH127" s="5"/>
      <c r="DI127" s="5"/>
      <c r="DJ127" s="5"/>
      <c r="DK127" s="5"/>
      <c r="DL127" s="5"/>
      <c r="DM127" s="5"/>
      <c r="DN127" s="5"/>
      <c r="DO127" s="5"/>
      <c r="DP127" s="5"/>
      <c r="DR127" s="372"/>
      <c r="DS127" s="5"/>
      <c r="DT127" s="5"/>
      <c r="DU127" s="161"/>
      <c r="DV127" s="891"/>
      <c r="DW127" s="891"/>
      <c r="DX127" s="5"/>
      <c r="DY127" s="5"/>
      <c r="DZ127" s="5"/>
      <c r="EA127" s="5"/>
      <c r="EB127" s="5"/>
      <c r="EC127" s="5"/>
      <c r="ED127" s="5"/>
      <c r="EE127" s="5"/>
      <c r="EF127" s="5"/>
      <c r="EG127" s="5"/>
      <c r="EH127" s="5"/>
      <c r="EI127" s="5"/>
      <c r="EJ127" s="5"/>
      <c r="EK127" s="5"/>
    </row>
    <row r="128" spans="1:141">
      <c r="A128" s="5"/>
      <c r="B128" s="5"/>
      <c r="C128" s="161" t="s">
        <v>63</v>
      </c>
      <c r="D128" s="949">
        <f>D127*1000</f>
        <v>5008.246153846153</v>
      </c>
      <c r="E128" s="949"/>
      <c r="F128" s="5" t="s">
        <v>346</v>
      </c>
      <c r="G128" s="5"/>
      <c r="H128" s="5"/>
      <c r="I128" s="5"/>
      <c r="J128" s="5"/>
      <c r="K128" s="5"/>
      <c r="L128" s="5"/>
      <c r="M128" s="5"/>
      <c r="N128" s="5"/>
      <c r="O128" s="5"/>
      <c r="P128" s="5"/>
      <c r="Q128" s="5"/>
      <c r="R128" s="5"/>
      <c r="S128" s="5"/>
      <c r="T128" s="374"/>
      <c r="U128" s="5"/>
      <c r="V128" s="161"/>
      <c r="W128" s="431"/>
      <c r="X128" s="431"/>
      <c r="Y128" s="5"/>
      <c r="Z128" s="5"/>
      <c r="AA128" s="5"/>
      <c r="AB128" s="5"/>
      <c r="AC128" s="5"/>
      <c r="AD128" s="5"/>
      <c r="AE128" s="5"/>
      <c r="AF128" s="5"/>
      <c r="AG128" s="5"/>
      <c r="AH128" s="5"/>
      <c r="AI128" s="5"/>
      <c r="AJ128" s="5"/>
      <c r="AK128" s="5"/>
      <c r="AL128" s="5"/>
      <c r="AM128" s="5"/>
      <c r="AN128" s="5"/>
      <c r="AO128" s="161" t="s">
        <v>63</v>
      </c>
      <c r="AP128" s="949">
        <f>AP127*1000</f>
        <v>4090.0676923076926</v>
      </c>
      <c r="AQ128" s="949"/>
      <c r="AR128" s="5" t="s">
        <v>346</v>
      </c>
      <c r="AS128" s="5"/>
      <c r="AT128" s="5"/>
      <c r="AU128" s="5"/>
      <c r="AV128" s="5"/>
      <c r="AW128" s="5"/>
      <c r="AX128" s="5"/>
      <c r="AY128" s="5"/>
      <c r="AZ128" s="5"/>
      <c r="BA128" s="5"/>
      <c r="BB128" s="5"/>
      <c r="BC128" s="5"/>
      <c r="BD128" s="5"/>
      <c r="BE128" s="373"/>
      <c r="BF128" s="5"/>
      <c r="BG128" s="5"/>
      <c r="BH128" s="161" t="s">
        <v>63</v>
      </c>
      <c r="BI128" s="949">
        <f>BI127*1000</f>
        <v>4090.0676923076926</v>
      </c>
      <c r="BJ128" s="949"/>
      <c r="BK128" s="5" t="s">
        <v>346</v>
      </c>
      <c r="BL128" s="5"/>
      <c r="BM128" s="5"/>
      <c r="BN128" s="5"/>
      <c r="BO128" s="5"/>
      <c r="BP128" s="5"/>
      <c r="BQ128" s="5"/>
      <c r="BR128" s="5"/>
      <c r="BS128" s="5"/>
      <c r="BT128" s="5"/>
      <c r="BU128" s="5"/>
      <c r="BV128" s="5"/>
      <c r="BW128" s="5"/>
      <c r="BX128" s="373"/>
      <c r="BY128" s="5"/>
      <c r="BZ128" s="5"/>
      <c r="CA128" s="5"/>
      <c r="CB128" s="5"/>
      <c r="CC128" s="5"/>
      <c r="CD128" s="5"/>
      <c r="CE128" s="5"/>
      <c r="CF128" s="161"/>
      <c r="CG128" s="393"/>
      <c r="CH128" s="393"/>
      <c r="CI128" s="5"/>
      <c r="CJ128" s="5"/>
      <c r="CK128" s="5"/>
      <c r="CL128" s="5"/>
      <c r="CM128" s="5"/>
      <c r="CN128" s="5"/>
      <c r="CO128" s="5"/>
      <c r="CP128" s="5"/>
      <c r="CQ128" s="5"/>
      <c r="CR128" s="5"/>
      <c r="CS128" s="5"/>
      <c r="CT128" s="5"/>
      <c r="CU128" s="5"/>
      <c r="CV128" s="5"/>
      <c r="CW128" s="372"/>
      <c r="CX128" s="5"/>
      <c r="CY128" s="5"/>
      <c r="CZ128" s="161"/>
      <c r="DA128" s="393"/>
      <c r="DB128" s="393"/>
      <c r="DC128" s="5"/>
      <c r="DD128" s="5"/>
      <c r="DE128" s="5"/>
      <c r="DF128" s="5"/>
      <c r="DG128" s="5"/>
      <c r="DH128" s="5"/>
      <c r="DI128" s="5"/>
      <c r="DJ128" s="5"/>
      <c r="DK128" s="5"/>
      <c r="DL128" s="5"/>
      <c r="DM128" s="5"/>
      <c r="DN128" s="5"/>
      <c r="DO128" s="5"/>
      <c r="DP128" s="5"/>
      <c r="DR128" s="372"/>
      <c r="DS128" s="5"/>
      <c r="DT128" s="5"/>
      <c r="DU128" s="161"/>
      <c r="DV128" s="950"/>
      <c r="DW128" s="950"/>
      <c r="DX128" s="5"/>
      <c r="DY128" s="5"/>
      <c r="DZ128" s="5"/>
      <c r="EA128" s="5"/>
      <c r="EB128" s="5"/>
      <c r="EC128" s="5"/>
      <c r="ED128" s="5"/>
      <c r="EE128" s="5"/>
      <c r="EF128" s="5"/>
      <c r="EG128" s="5"/>
      <c r="EH128" s="5"/>
      <c r="EI128" s="5"/>
      <c r="EJ128" s="5"/>
      <c r="EK128" s="5"/>
    </row>
    <row r="129" spans="1:141">
      <c r="A129" s="5"/>
      <c r="B129" s="5"/>
      <c r="C129" s="5"/>
      <c r="D129" s="5"/>
      <c r="E129" s="5"/>
      <c r="F129" s="5"/>
      <c r="G129" s="5"/>
      <c r="H129" s="5"/>
      <c r="I129" s="5"/>
      <c r="J129" s="5"/>
      <c r="K129" s="5"/>
      <c r="L129" s="5"/>
      <c r="M129" s="5"/>
      <c r="N129" s="5"/>
      <c r="O129" s="5"/>
      <c r="P129" s="5"/>
      <c r="Q129" s="5"/>
      <c r="R129" s="5"/>
      <c r="S129" s="5"/>
      <c r="T129" s="374"/>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373"/>
      <c r="BF129" s="5"/>
      <c r="BG129" s="5"/>
      <c r="BH129" s="5"/>
      <c r="BI129" s="5"/>
      <c r="BJ129" s="5"/>
      <c r="BK129" s="5"/>
      <c r="BL129" s="5"/>
      <c r="BM129" s="5"/>
      <c r="BN129" s="5"/>
      <c r="BO129" s="5"/>
      <c r="BP129" s="5"/>
      <c r="BQ129" s="5"/>
      <c r="BR129" s="5"/>
      <c r="BS129" s="5"/>
      <c r="BT129" s="5"/>
      <c r="BU129" s="5"/>
      <c r="BV129" s="5"/>
      <c r="BW129" s="5"/>
      <c r="BX129" s="373"/>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372"/>
      <c r="CX129" s="5"/>
      <c r="CY129" s="5"/>
      <c r="CZ129" s="5"/>
      <c r="DA129" s="5"/>
      <c r="DB129" s="5"/>
      <c r="DC129" s="5"/>
      <c r="DD129" s="5"/>
      <c r="DE129" s="5"/>
      <c r="DF129" s="5"/>
      <c r="DG129" s="5"/>
      <c r="DH129" s="5"/>
      <c r="DI129" s="5"/>
      <c r="DJ129" s="5"/>
      <c r="DK129" s="5"/>
      <c r="DL129" s="5"/>
      <c r="DM129" s="5"/>
      <c r="DN129" s="5"/>
      <c r="DO129" s="5"/>
      <c r="DP129" s="5"/>
      <c r="DR129" s="372"/>
      <c r="DS129" s="5"/>
      <c r="DT129" s="5"/>
      <c r="DU129" s="5"/>
      <c r="DV129" s="5"/>
      <c r="DW129" s="5"/>
      <c r="DX129" s="5"/>
      <c r="DY129" s="5"/>
      <c r="DZ129" s="5"/>
      <c r="EA129" s="5"/>
      <c r="EB129" s="5"/>
      <c r="EC129" s="5"/>
      <c r="ED129" s="5"/>
      <c r="EE129" s="5"/>
      <c r="EF129" s="5"/>
      <c r="EG129" s="5"/>
      <c r="EH129" s="5"/>
      <c r="EI129" s="5"/>
      <c r="EJ129" s="5"/>
      <c r="EK129" s="5"/>
    </row>
    <row r="130" spans="1:141">
      <c r="A130" s="161" t="s">
        <v>889</v>
      </c>
      <c r="B130" s="5" t="s">
        <v>932</v>
      </c>
      <c r="C130" s="5"/>
      <c r="D130" s="5"/>
      <c r="E130" s="5"/>
      <c r="F130" s="5"/>
      <c r="G130" s="5"/>
      <c r="H130" s="5"/>
      <c r="I130" s="5"/>
      <c r="J130" s="5"/>
      <c r="K130" s="5"/>
      <c r="L130" s="5"/>
      <c r="M130" s="5"/>
      <c r="N130" s="5"/>
      <c r="O130" s="5"/>
      <c r="P130" s="5"/>
      <c r="Q130" s="5"/>
      <c r="R130" s="5"/>
      <c r="S130" s="5"/>
      <c r="T130" s="374"/>
      <c r="U130" s="5"/>
      <c r="V130" s="5"/>
      <c r="W130" s="5"/>
      <c r="X130" s="5"/>
      <c r="Y130" s="5"/>
      <c r="Z130" s="5"/>
      <c r="AA130" s="5"/>
      <c r="AB130" s="5"/>
      <c r="AC130" s="5"/>
      <c r="AD130" s="5"/>
      <c r="AE130" s="5"/>
      <c r="AF130" s="5"/>
      <c r="AG130" s="5"/>
      <c r="AH130" s="5"/>
      <c r="AI130" s="5"/>
      <c r="AJ130" s="5"/>
      <c r="AK130" s="5"/>
      <c r="AL130" s="5"/>
      <c r="AM130" s="161" t="s">
        <v>889</v>
      </c>
      <c r="AN130" s="5" t="s">
        <v>932</v>
      </c>
      <c r="AO130" s="5"/>
      <c r="AP130" s="5"/>
      <c r="AQ130" s="5"/>
      <c r="AR130" s="5"/>
      <c r="AS130" s="5"/>
      <c r="AT130" s="5"/>
      <c r="AU130" s="5"/>
      <c r="AV130" s="5"/>
      <c r="AW130" s="5"/>
      <c r="AX130" s="5"/>
      <c r="AY130" s="5"/>
      <c r="AZ130" s="5"/>
      <c r="BA130" s="5"/>
      <c r="BB130" s="5"/>
      <c r="BC130" s="5"/>
      <c r="BD130" s="5"/>
      <c r="BE130" s="373"/>
      <c r="BF130" s="161" t="s">
        <v>889</v>
      </c>
      <c r="BG130" s="5" t="s">
        <v>932</v>
      </c>
      <c r="BH130" s="5"/>
      <c r="BI130" s="5"/>
      <c r="BJ130" s="5"/>
      <c r="BK130" s="5"/>
      <c r="BL130" s="5"/>
      <c r="BM130" s="5"/>
      <c r="BN130" s="5"/>
      <c r="BO130" s="5"/>
      <c r="BP130" s="5"/>
      <c r="BQ130" s="5"/>
      <c r="BR130" s="5"/>
      <c r="BS130" s="5"/>
      <c r="BT130" s="5"/>
      <c r="BU130" s="5"/>
      <c r="BV130" s="5"/>
      <c r="BW130" s="5"/>
      <c r="BX130" s="373"/>
      <c r="BY130" s="5"/>
      <c r="BZ130" s="5"/>
      <c r="CA130" s="5"/>
      <c r="CB130" s="5"/>
      <c r="CC130" s="5"/>
      <c r="CD130" s="161"/>
      <c r="CE130" s="5"/>
      <c r="CF130" s="5"/>
      <c r="CG130" s="5"/>
      <c r="CH130" s="5"/>
      <c r="CI130" s="5"/>
      <c r="CJ130" s="5"/>
      <c r="CK130" s="5"/>
      <c r="CL130" s="5"/>
      <c r="CM130" s="5"/>
      <c r="CN130" s="5"/>
      <c r="CO130" s="5"/>
      <c r="CP130" s="5"/>
      <c r="CQ130" s="5"/>
      <c r="CR130" s="5"/>
      <c r="CS130" s="5"/>
      <c r="CT130" s="5"/>
      <c r="CU130" s="5"/>
      <c r="CV130" s="5"/>
      <c r="CW130" s="372"/>
      <c r="CX130" s="161"/>
      <c r="CY130" s="5"/>
      <c r="CZ130" s="5"/>
      <c r="DA130" s="5"/>
      <c r="DB130" s="5"/>
      <c r="DC130" s="5"/>
      <c r="DD130" s="5"/>
      <c r="DE130" s="5"/>
      <c r="DF130" s="5"/>
      <c r="DG130" s="5"/>
      <c r="DH130" s="5"/>
      <c r="DI130" s="5"/>
      <c r="DJ130" s="5"/>
      <c r="DK130" s="5"/>
      <c r="DL130" s="5"/>
      <c r="DM130" s="5"/>
      <c r="DN130" s="5"/>
      <c r="DO130" s="5"/>
      <c r="DP130" s="5"/>
      <c r="DR130" s="372"/>
      <c r="DS130" s="161"/>
      <c r="DT130" s="5"/>
      <c r="DU130" s="5"/>
      <c r="DV130" s="5"/>
      <c r="DW130" s="5"/>
      <c r="DX130" s="5"/>
      <c r="DY130" s="5"/>
      <c r="DZ130" s="5"/>
      <c r="EA130" s="5"/>
      <c r="EB130" s="5"/>
      <c r="EC130" s="5"/>
      <c r="ED130" s="5"/>
      <c r="EE130" s="5"/>
      <c r="EF130" s="5"/>
      <c r="EG130" s="5"/>
      <c r="EH130" s="5"/>
      <c r="EI130" s="5"/>
      <c r="EJ130" s="5"/>
      <c r="EK130" s="5"/>
    </row>
    <row r="131" spans="1:141" ht="15.6">
      <c r="A131" s="5"/>
      <c r="B131" s="5" t="s">
        <v>933</v>
      </c>
      <c r="C131" s="161" t="s">
        <v>63</v>
      </c>
      <c r="D131" s="5" t="s">
        <v>934</v>
      </c>
      <c r="E131" s="5"/>
      <c r="F131" s="5"/>
      <c r="G131" s="5"/>
      <c r="H131" s="5"/>
      <c r="I131" s="5"/>
      <c r="J131" s="5"/>
      <c r="K131" s="5"/>
      <c r="L131" s="5"/>
      <c r="M131" s="5"/>
      <c r="N131" s="5"/>
      <c r="O131" s="5"/>
      <c r="P131" s="5"/>
      <c r="Q131" s="5"/>
      <c r="R131" s="5"/>
      <c r="S131" s="5"/>
      <c r="T131" s="374"/>
      <c r="U131" s="5"/>
      <c r="V131" s="161"/>
      <c r="W131" s="5"/>
      <c r="X131" s="5"/>
      <c r="Y131" s="5"/>
      <c r="Z131" s="5"/>
      <c r="AA131" s="5"/>
      <c r="AB131" s="5"/>
      <c r="AC131" s="5"/>
      <c r="AD131" s="5"/>
      <c r="AE131" s="5"/>
      <c r="AF131" s="5"/>
      <c r="AG131" s="5"/>
      <c r="AH131" s="5"/>
      <c r="AI131" s="5"/>
      <c r="AJ131" s="5"/>
      <c r="AK131" s="5"/>
      <c r="AL131" s="5"/>
      <c r="AM131" s="5"/>
      <c r="AN131" s="5" t="s">
        <v>933</v>
      </c>
      <c r="AO131" s="161" t="s">
        <v>63</v>
      </c>
      <c r="AP131" s="5" t="s">
        <v>934</v>
      </c>
      <c r="AQ131" s="5"/>
      <c r="AR131" s="5"/>
      <c r="AS131" s="5"/>
      <c r="AT131" s="5"/>
      <c r="AU131" s="5"/>
      <c r="AV131" s="5"/>
      <c r="AW131" s="5"/>
      <c r="AX131" s="5"/>
      <c r="AY131" s="5"/>
      <c r="AZ131" s="5"/>
      <c r="BA131" s="5"/>
      <c r="BB131" s="5"/>
      <c r="BC131" s="5"/>
      <c r="BD131" s="5"/>
      <c r="BE131" s="373"/>
      <c r="BF131" s="5"/>
      <c r="BG131" s="5" t="s">
        <v>933</v>
      </c>
      <c r="BH131" s="161" t="s">
        <v>63</v>
      </c>
      <c r="BI131" s="5" t="s">
        <v>934</v>
      </c>
      <c r="BJ131" s="5"/>
      <c r="BK131" s="5"/>
      <c r="BL131" s="5"/>
      <c r="BM131" s="5"/>
      <c r="BN131" s="5"/>
      <c r="BO131" s="5"/>
      <c r="BP131" s="5"/>
      <c r="BQ131" s="5"/>
      <c r="BR131" s="5"/>
      <c r="BS131" s="5"/>
      <c r="BT131" s="5"/>
      <c r="BU131" s="5"/>
      <c r="BV131" s="5"/>
      <c r="BW131" s="5"/>
      <c r="BX131" s="373"/>
      <c r="BY131" s="5"/>
      <c r="BZ131" s="5"/>
      <c r="CA131" s="5"/>
      <c r="CB131" s="5"/>
      <c r="CC131" s="5"/>
      <c r="CD131" s="5"/>
      <c r="CE131" s="5"/>
      <c r="CF131" s="161"/>
      <c r="CG131" s="5"/>
      <c r="CH131" s="5"/>
      <c r="CI131" s="5"/>
      <c r="CJ131" s="5"/>
      <c r="CK131" s="5"/>
      <c r="CL131" s="5"/>
      <c r="CM131" s="5"/>
      <c r="CN131" s="5"/>
      <c r="CO131" s="5"/>
      <c r="CP131" s="5"/>
      <c r="CQ131" s="5"/>
      <c r="CR131" s="5"/>
      <c r="CS131" s="5"/>
      <c r="CT131" s="5"/>
      <c r="CU131" s="5"/>
      <c r="CV131" s="5"/>
      <c r="CW131" s="372"/>
      <c r="CX131" s="5"/>
      <c r="CY131" s="5"/>
      <c r="CZ131" s="161"/>
      <c r="DA131" s="5"/>
      <c r="DB131" s="5"/>
      <c r="DC131" s="5"/>
      <c r="DD131" s="5"/>
      <c r="DE131" s="5"/>
      <c r="DF131" s="5"/>
      <c r="DG131" s="5"/>
      <c r="DH131" s="5"/>
      <c r="DI131" s="5"/>
      <c r="DJ131" s="5"/>
      <c r="DK131" s="5"/>
      <c r="DL131" s="5"/>
      <c r="DM131" s="5"/>
      <c r="DN131" s="5"/>
      <c r="DO131" s="5"/>
      <c r="DP131" s="5"/>
      <c r="DR131" s="372"/>
      <c r="DS131" s="5"/>
      <c r="DT131" s="5"/>
      <c r="DU131" s="161"/>
      <c r="DV131" s="5"/>
      <c r="DW131" s="5"/>
      <c r="DX131" s="5"/>
      <c r="DY131" s="5"/>
      <c r="DZ131" s="5"/>
      <c r="EA131" s="5"/>
      <c r="EB131" s="5"/>
      <c r="EC131" s="5"/>
      <c r="ED131" s="5"/>
      <c r="EE131" s="5"/>
      <c r="EF131" s="5"/>
      <c r="EG131" s="5"/>
      <c r="EH131" s="5"/>
      <c r="EI131" s="5"/>
      <c r="EJ131" s="5"/>
      <c r="EK131" s="5"/>
    </row>
    <row r="132" spans="1:141">
      <c r="A132" s="5"/>
      <c r="B132" s="5"/>
      <c r="C132" s="161" t="s">
        <v>63</v>
      </c>
      <c r="D132" s="946">
        <f>D117+D123+D127</f>
        <v>52.83004102564103</v>
      </c>
      <c r="E132" s="946"/>
      <c r="F132" s="946"/>
      <c r="G132" s="5" t="s">
        <v>26</v>
      </c>
      <c r="H132" s="5"/>
      <c r="I132" s="5"/>
      <c r="J132" s="5"/>
      <c r="K132" s="5"/>
      <c r="L132" s="5"/>
      <c r="M132" s="5"/>
      <c r="N132" s="5"/>
      <c r="O132" s="5"/>
      <c r="P132" s="5"/>
      <c r="Q132" s="5"/>
      <c r="R132" s="5"/>
      <c r="S132" s="5"/>
      <c r="T132" s="374"/>
      <c r="U132" s="5"/>
      <c r="V132" s="161"/>
      <c r="W132" s="430"/>
      <c r="X132" s="430"/>
      <c r="Y132" s="430"/>
      <c r="Z132" s="5"/>
      <c r="AA132" s="5"/>
      <c r="AB132" s="5"/>
      <c r="AC132" s="5"/>
      <c r="AD132" s="5"/>
      <c r="AE132" s="5"/>
      <c r="AF132" s="5"/>
      <c r="AG132" s="5"/>
      <c r="AH132" s="5"/>
      <c r="AI132" s="5"/>
      <c r="AJ132" s="5"/>
      <c r="AK132" s="5"/>
      <c r="AL132" s="5"/>
      <c r="AM132" s="5"/>
      <c r="AN132" s="5"/>
      <c r="AO132" s="161" t="s">
        <v>63</v>
      </c>
      <c r="AP132" s="946">
        <f>AP117+AP123+AP127</f>
        <v>28.000965128205131</v>
      </c>
      <c r="AQ132" s="946"/>
      <c r="AR132" s="946"/>
      <c r="AS132" s="5" t="s">
        <v>26</v>
      </c>
      <c r="AT132" s="5"/>
      <c r="AU132" s="5"/>
      <c r="AV132" s="5"/>
      <c r="AW132" s="5"/>
      <c r="AX132" s="5"/>
      <c r="AY132" s="5"/>
      <c r="AZ132" s="5"/>
      <c r="BA132" s="5"/>
      <c r="BB132" s="5"/>
      <c r="BC132" s="5"/>
      <c r="BD132" s="5"/>
      <c r="BE132" s="373"/>
      <c r="BF132" s="5"/>
      <c r="BG132" s="5"/>
      <c r="BH132" s="161" t="s">
        <v>63</v>
      </c>
      <c r="BI132" s="946">
        <f>BI117+BI123+BI127</f>
        <v>28.000965128205131</v>
      </c>
      <c r="BJ132" s="946"/>
      <c r="BK132" s="946"/>
      <c r="BL132" s="5" t="s">
        <v>26</v>
      </c>
      <c r="BM132" s="5"/>
      <c r="BN132" s="5"/>
      <c r="BO132" s="5"/>
      <c r="BP132" s="5"/>
      <c r="BQ132" s="5"/>
      <c r="BR132" s="5"/>
      <c r="BS132" s="5"/>
      <c r="BT132" s="5"/>
      <c r="BU132" s="5"/>
      <c r="BV132" s="5"/>
      <c r="BW132" s="5"/>
      <c r="BX132" s="373"/>
      <c r="BY132" s="5"/>
      <c r="BZ132" s="5"/>
      <c r="CA132" s="5"/>
      <c r="CB132" s="5"/>
      <c r="CC132" s="5"/>
      <c r="CD132" s="5"/>
      <c r="CE132" s="5"/>
      <c r="CF132" s="161"/>
      <c r="CG132" s="390"/>
      <c r="CH132" s="392"/>
      <c r="CI132" s="5"/>
      <c r="CJ132" s="5"/>
      <c r="CK132" s="5"/>
      <c r="CL132" s="5"/>
      <c r="CM132" s="5"/>
      <c r="CN132" s="5"/>
      <c r="CO132" s="5"/>
      <c r="CP132" s="5"/>
      <c r="CQ132" s="5"/>
      <c r="CR132" s="5"/>
      <c r="CS132" s="5"/>
      <c r="CT132" s="5"/>
      <c r="CU132" s="5"/>
      <c r="CV132" s="5"/>
      <c r="CW132" s="372"/>
      <c r="CX132" s="5"/>
      <c r="CY132" s="5"/>
      <c r="CZ132" s="161"/>
      <c r="DA132" s="390"/>
      <c r="DB132" s="392"/>
      <c r="DC132" s="5"/>
      <c r="DD132" s="5"/>
      <c r="DE132" s="5"/>
      <c r="DF132" s="5"/>
      <c r="DG132" s="5"/>
      <c r="DH132" s="5"/>
      <c r="DI132" s="5"/>
      <c r="DJ132" s="5"/>
      <c r="DK132" s="5"/>
      <c r="DL132" s="5"/>
      <c r="DM132" s="5"/>
      <c r="DN132" s="5"/>
      <c r="DO132" s="5"/>
      <c r="DP132" s="5"/>
      <c r="DR132" s="372"/>
      <c r="DS132" s="5"/>
      <c r="DT132" s="5"/>
      <c r="DU132" s="161"/>
      <c r="DV132" s="947"/>
      <c r="DW132" s="890"/>
      <c r="DX132" s="5"/>
      <c r="DY132" s="5"/>
      <c r="DZ132" s="5"/>
      <c r="EA132" s="5"/>
      <c r="EB132" s="5"/>
      <c r="EC132" s="5"/>
      <c r="ED132" s="5"/>
      <c r="EE132" s="5"/>
      <c r="EF132" s="5"/>
      <c r="EG132" s="5"/>
      <c r="EH132" s="5"/>
      <c r="EI132" s="5"/>
      <c r="EJ132" s="5"/>
      <c r="EK132" s="5"/>
    </row>
    <row r="133" spans="1:141">
      <c r="A133" s="5"/>
      <c r="B133" s="5"/>
      <c r="C133" s="161" t="s">
        <v>63</v>
      </c>
      <c r="D133" s="948">
        <f>D116+D122+D128</f>
        <v>52830.041025641025</v>
      </c>
      <c r="E133" s="948"/>
      <c r="F133" s="948"/>
      <c r="G133" s="5" t="s">
        <v>346</v>
      </c>
      <c r="H133" s="5"/>
      <c r="I133" s="5"/>
      <c r="J133" s="5"/>
      <c r="K133" s="5"/>
      <c r="L133" s="5"/>
      <c r="M133" s="5"/>
      <c r="N133" s="5"/>
      <c r="O133" s="5"/>
      <c r="P133" s="5"/>
      <c r="Q133" s="5"/>
      <c r="R133" s="5"/>
      <c r="S133" s="5"/>
      <c r="T133" s="374"/>
      <c r="U133" s="5"/>
      <c r="V133" s="161"/>
      <c r="W133" s="384"/>
      <c r="X133" s="384"/>
      <c r="Y133" s="384"/>
      <c r="Z133" s="5"/>
      <c r="AA133" s="5"/>
      <c r="AB133" s="5"/>
      <c r="AC133" s="5"/>
      <c r="AD133" s="5"/>
      <c r="AE133" s="5"/>
      <c r="AF133" s="5"/>
      <c r="AG133" s="5"/>
      <c r="AH133" s="5"/>
      <c r="AI133" s="5"/>
      <c r="AJ133" s="5"/>
      <c r="AK133" s="5"/>
      <c r="AL133" s="5"/>
      <c r="AM133" s="5"/>
      <c r="AN133" s="5"/>
      <c r="AO133" s="161" t="s">
        <v>63</v>
      </c>
      <c r="AP133" s="948">
        <f>AP116+AP122+AP128</f>
        <v>28000.965128205131</v>
      </c>
      <c r="AQ133" s="948"/>
      <c r="AR133" s="948"/>
      <c r="AS133" s="5" t="s">
        <v>346</v>
      </c>
      <c r="AT133" s="5"/>
      <c r="AU133" s="5"/>
      <c r="AV133" s="5"/>
      <c r="AW133" s="5"/>
      <c r="AX133" s="5"/>
      <c r="AY133" s="5"/>
      <c r="AZ133" s="5"/>
      <c r="BA133" s="5"/>
      <c r="BB133" s="5"/>
      <c r="BC133" s="5"/>
      <c r="BD133" s="5"/>
      <c r="BE133" s="373"/>
      <c r="BF133" s="5"/>
      <c r="BG133" s="5"/>
      <c r="BH133" s="161" t="s">
        <v>63</v>
      </c>
      <c r="BI133" s="948">
        <f>BI116+BI122+BI128</f>
        <v>28000.965128205131</v>
      </c>
      <c r="BJ133" s="948"/>
      <c r="BK133" s="948"/>
      <c r="BL133" s="5" t="s">
        <v>346</v>
      </c>
      <c r="BM133" s="5"/>
      <c r="BN133" s="5"/>
      <c r="BO133" s="5"/>
      <c r="BP133" s="5"/>
      <c r="BQ133" s="5"/>
      <c r="BR133" s="5"/>
      <c r="BS133" s="5"/>
      <c r="BT133" s="5"/>
      <c r="BU133" s="5"/>
      <c r="BV133" s="5"/>
      <c r="BW133" s="5"/>
      <c r="BX133" s="373"/>
      <c r="BY133" s="5"/>
      <c r="BZ133" s="5"/>
      <c r="CA133" s="5"/>
      <c r="CB133" s="5"/>
      <c r="CC133" s="5"/>
      <c r="CD133" s="5"/>
      <c r="CE133" s="5"/>
      <c r="CF133" s="161"/>
      <c r="CG133" s="384"/>
      <c r="CH133" s="5"/>
      <c r="CI133" s="5"/>
      <c r="CJ133" s="5"/>
      <c r="CK133" s="5"/>
      <c r="CL133" s="5"/>
      <c r="CM133" s="5"/>
      <c r="CN133" s="5"/>
      <c r="CO133" s="5"/>
      <c r="CP133" s="5"/>
      <c r="CQ133" s="5"/>
      <c r="CR133" s="5"/>
      <c r="CS133" s="5"/>
      <c r="CT133" s="5"/>
      <c r="CU133" s="5"/>
      <c r="CV133" s="5"/>
      <c r="CW133" s="372"/>
      <c r="CX133" s="5"/>
      <c r="CY133" s="5"/>
      <c r="CZ133" s="161"/>
      <c r="DA133" s="384"/>
      <c r="DB133" s="5"/>
      <c r="DC133" s="5"/>
      <c r="DD133" s="5"/>
      <c r="DE133" s="5"/>
      <c r="DF133" s="5"/>
      <c r="DG133" s="5"/>
      <c r="DH133" s="5"/>
      <c r="DI133" s="5"/>
      <c r="DJ133" s="5"/>
      <c r="DK133" s="5"/>
      <c r="DL133" s="5"/>
      <c r="DM133" s="5"/>
      <c r="DN133" s="5"/>
      <c r="DO133" s="5"/>
      <c r="DP133" s="5"/>
      <c r="DR133" s="372"/>
      <c r="DS133" s="5"/>
      <c r="DT133" s="5"/>
      <c r="DU133" s="161"/>
      <c r="DV133" s="948"/>
      <c r="DW133" s="716"/>
      <c r="DX133" s="5"/>
      <c r="DY133" s="5"/>
      <c r="DZ133" s="5"/>
      <c r="EA133" s="5"/>
      <c r="EB133" s="5"/>
      <c r="EC133" s="5"/>
      <c r="ED133" s="5"/>
      <c r="EE133" s="5"/>
      <c r="EF133" s="5"/>
      <c r="EG133" s="5"/>
      <c r="EH133" s="5"/>
      <c r="EI133" s="5"/>
      <c r="EJ133" s="5"/>
      <c r="EK133" s="5"/>
    </row>
    <row r="134" spans="1:141">
      <c r="A134" s="5"/>
      <c r="B134" s="5"/>
      <c r="C134" s="161"/>
      <c r="D134" s="439"/>
      <c r="E134" s="439"/>
      <c r="F134" s="439"/>
      <c r="G134" s="5"/>
      <c r="H134" s="5"/>
      <c r="I134" s="5"/>
      <c r="J134" s="5"/>
      <c r="K134" s="5"/>
      <c r="L134" s="5"/>
      <c r="M134" s="5"/>
      <c r="N134" s="5"/>
      <c r="O134" s="5"/>
      <c r="P134" s="5"/>
      <c r="Q134" s="5"/>
      <c r="R134" s="5"/>
      <c r="S134" s="5"/>
      <c r="T134" s="374"/>
      <c r="U134" s="5"/>
      <c r="V134" s="161"/>
      <c r="W134" s="384"/>
      <c r="X134" s="384"/>
      <c r="Y134" s="384"/>
      <c r="Z134" s="5"/>
      <c r="AA134" s="5"/>
      <c r="AB134" s="5"/>
      <c r="AC134" s="5"/>
      <c r="AD134" s="5"/>
      <c r="AE134" s="5"/>
      <c r="AF134" s="5"/>
      <c r="AG134" s="5"/>
      <c r="AH134" s="5"/>
      <c r="AI134" s="5"/>
      <c r="AJ134" s="5"/>
      <c r="AK134" s="5"/>
      <c r="AL134" s="5"/>
      <c r="AM134" s="5"/>
      <c r="AN134" s="5"/>
      <c r="AO134" s="161"/>
      <c r="AP134" s="439"/>
      <c r="AQ134" s="439"/>
      <c r="AR134" s="439"/>
      <c r="AS134" s="5"/>
      <c r="AT134" s="5"/>
      <c r="AU134" s="5"/>
      <c r="AV134" s="5"/>
      <c r="AW134" s="5"/>
      <c r="AX134" s="5"/>
      <c r="AY134" s="5"/>
      <c r="AZ134" s="5"/>
      <c r="BA134" s="5"/>
      <c r="BB134" s="5"/>
      <c r="BC134" s="5"/>
      <c r="BD134" s="5"/>
      <c r="BE134" s="373"/>
      <c r="BF134" s="5"/>
      <c r="BG134" s="5"/>
      <c r="BH134" s="161"/>
      <c r="BI134" s="439"/>
      <c r="BJ134" s="439"/>
      <c r="BK134" s="439"/>
      <c r="BL134" s="5"/>
      <c r="BM134" s="5"/>
      <c r="BN134" s="5"/>
      <c r="BO134" s="5"/>
      <c r="BP134" s="5"/>
      <c r="BQ134" s="5"/>
      <c r="BR134" s="5"/>
      <c r="BS134" s="5"/>
      <c r="BT134" s="5"/>
      <c r="BU134" s="5"/>
      <c r="BV134" s="5"/>
      <c r="BW134" s="5"/>
      <c r="BX134" s="373"/>
      <c r="BY134" s="5"/>
      <c r="BZ134" s="5"/>
      <c r="CA134" s="5"/>
      <c r="CB134" s="5"/>
      <c r="CC134" s="5"/>
      <c r="CD134" s="5"/>
      <c r="CE134" s="5"/>
      <c r="CF134" s="161"/>
      <c r="CG134" s="384"/>
      <c r="CH134" s="5"/>
      <c r="CI134" s="5"/>
      <c r="CJ134" s="5"/>
      <c r="CK134" s="5"/>
      <c r="CL134" s="5"/>
      <c r="CM134" s="5"/>
      <c r="CN134" s="5"/>
      <c r="CO134" s="5"/>
      <c r="CP134" s="5"/>
      <c r="CQ134" s="5"/>
      <c r="CR134" s="5"/>
      <c r="CS134" s="5"/>
      <c r="CT134" s="5"/>
      <c r="CU134" s="5"/>
      <c r="CV134" s="5"/>
      <c r="CW134" s="372"/>
      <c r="CX134" s="5"/>
      <c r="CY134" s="5"/>
      <c r="CZ134" s="161"/>
      <c r="DA134" s="384"/>
      <c r="DB134" s="5"/>
      <c r="DC134" s="5"/>
      <c r="DD134" s="5"/>
      <c r="DE134" s="5"/>
      <c r="DF134" s="5"/>
      <c r="DG134" s="5"/>
      <c r="DH134" s="5"/>
      <c r="DI134" s="5"/>
      <c r="DJ134" s="5"/>
      <c r="DK134" s="5"/>
      <c r="DL134" s="5"/>
      <c r="DM134" s="5"/>
      <c r="DN134" s="5"/>
      <c r="DO134" s="5"/>
      <c r="DP134" s="5"/>
      <c r="DR134" s="372"/>
      <c r="DS134" s="5"/>
      <c r="DT134" s="5"/>
      <c r="DU134" s="161"/>
      <c r="DV134" s="439"/>
      <c r="DW134" s="161"/>
      <c r="DX134" s="5"/>
      <c r="DY134" s="5"/>
      <c r="DZ134" s="5"/>
      <c r="EA134" s="5"/>
      <c r="EB134" s="5"/>
      <c r="EC134" s="5"/>
      <c r="ED134" s="5"/>
      <c r="EE134" s="5"/>
      <c r="EF134" s="5"/>
      <c r="EG134" s="5"/>
      <c r="EH134" s="5"/>
      <c r="EI134" s="5"/>
      <c r="EJ134" s="5"/>
      <c r="EK134" s="5"/>
    </row>
    <row r="135" spans="1:141">
      <c r="A135" s="5"/>
      <c r="B135" s="375" t="s">
        <v>581</v>
      </c>
      <c r="C135" s="440" t="s">
        <v>63</v>
      </c>
      <c r="D135" s="439">
        <f>D132/1</f>
        <v>52.83004102564103</v>
      </c>
      <c r="E135" s="375" t="s">
        <v>151</v>
      </c>
      <c r="F135" s="439"/>
      <c r="G135" s="5"/>
      <c r="H135" s="5"/>
      <c r="I135" s="5"/>
      <c r="J135" s="5"/>
      <c r="K135" s="5"/>
      <c r="L135" s="5"/>
      <c r="M135" s="5"/>
      <c r="N135" s="5"/>
      <c r="O135" s="5"/>
      <c r="P135" s="5"/>
      <c r="Q135" s="5"/>
      <c r="R135" s="5"/>
      <c r="S135" s="5"/>
      <c r="T135" s="374"/>
      <c r="U135" s="5"/>
      <c r="V135" s="161"/>
      <c r="W135" s="384"/>
      <c r="X135" s="384"/>
      <c r="Y135" s="384"/>
      <c r="Z135" s="5"/>
      <c r="AA135" s="5"/>
      <c r="AB135" s="5"/>
      <c r="AC135" s="5"/>
      <c r="AD135" s="5"/>
      <c r="AE135" s="5"/>
      <c r="AF135" s="5"/>
      <c r="AG135" s="5"/>
      <c r="AH135" s="5"/>
      <c r="AI135" s="5"/>
      <c r="AJ135" s="5"/>
      <c r="AK135" s="5"/>
      <c r="AL135" s="5"/>
      <c r="AM135" s="5"/>
      <c r="AN135" s="5"/>
      <c r="AO135" s="161"/>
      <c r="AP135" s="439"/>
      <c r="AQ135" s="439"/>
      <c r="AR135" s="439"/>
      <c r="AS135" s="5"/>
      <c r="AT135" s="5"/>
      <c r="AU135" s="5"/>
      <c r="AV135" s="5"/>
      <c r="AW135" s="5"/>
      <c r="AX135" s="5"/>
      <c r="AY135" s="5"/>
      <c r="AZ135" s="5"/>
      <c r="BA135" s="5"/>
      <c r="BB135" s="5"/>
      <c r="BC135" s="5"/>
      <c r="BD135" s="5"/>
      <c r="BE135" s="373"/>
      <c r="BF135" s="5"/>
      <c r="BG135" s="5"/>
      <c r="BH135" s="161"/>
      <c r="BI135" s="439"/>
      <c r="BJ135" s="439"/>
      <c r="BK135" s="439"/>
      <c r="BL135" s="5"/>
      <c r="BM135" s="5"/>
      <c r="BN135" s="5"/>
      <c r="BO135" s="5"/>
      <c r="BP135" s="5"/>
      <c r="BQ135" s="5"/>
      <c r="BR135" s="5"/>
      <c r="BS135" s="5"/>
      <c r="BT135" s="5"/>
      <c r="BU135" s="5"/>
      <c r="BV135" s="5"/>
      <c r="BW135" s="5"/>
      <c r="BX135" s="373"/>
      <c r="BY135" s="5"/>
      <c r="BZ135" s="5"/>
      <c r="CA135" s="5"/>
      <c r="CB135" s="5"/>
      <c r="CC135" s="5"/>
      <c r="CD135" s="5"/>
      <c r="CE135" s="5"/>
      <c r="CF135" s="161"/>
      <c r="CG135" s="384"/>
      <c r="CH135" s="5"/>
      <c r="CI135" s="5"/>
      <c r="CJ135" s="5"/>
      <c r="CK135" s="5"/>
      <c r="CL135" s="5"/>
      <c r="CM135" s="5"/>
      <c r="CN135" s="5"/>
      <c r="CO135" s="5"/>
      <c r="CP135" s="5"/>
      <c r="CQ135" s="5"/>
      <c r="CR135" s="5"/>
      <c r="CS135" s="5"/>
      <c r="CT135" s="5"/>
      <c r="CU135" s="5"/>
      <c r="CV135" s="5"/>
      <c r="CW135" s="372"/>
      <c r="CX135" s="5"/>
      <c r="CY135" s="5"/>
      <c r="CZ135" s="161"/>
      <c r="DA135" s="384"/>
      <c r="DB135" s="5"/>
      <c r="DC135" s="5"/>
      <c r="DD135" s="5"/>
      <c r="DE135" s="5"/>
      <c r="DF135" s="5"/>
      <c r="DG135" s="5"/>
      <c r="DH135" s="5"/>
      <c r="DI135" s="5"/>
      <c r="DJ135" s="5"/>
      <c r="DK135" s="5"/>
      <c r="DL135" s="5"/>
      <c r="DM135" s="5"/>
      <c r="DN135" s="5"/>
      <c r="DO135" s="5"/>
      <c r="DP135" s="5"/>
      <c r="DR135" s="372"/>
      <c r="DS135" s="5"/>
      <c r="DT135" s="5"/>
      <c r="DU135" s="161"/>
      <c r="DV135" s="439"/>
      <c r="DW135" s="161"/>
      <c r="DX135" s="5"/>
      <c r="DY135" s="5"/>
      <c r="DZ135" s="5"/>
      <c r="EA135" s="5"/>
      <c r="EB135" s="5"/>
      <c r="EC135" s="5"/>
      <c r="ED135" s="5"/>
      <c r="EE135" s="5"/>
      <c r="EF135" s="5"/>
      <c r="EG135" s="5"/>
      <c r="EH135" s="5"/>
      <c r="EI135" s="5"/>
      <c r="EJ135" s="5"/>
      <c r="EK135" s="5"/>
    </row>
    <row r="136" spans="1:141">
      <c r="A136" s="5"/>
      <c r="B136" s="5"/>
      <c r="C136" s="440" t="s">
        <v>63</v>
      </c>
      <c r="D136" s="5">
        <f>D135*104%</f>
        <v>54.94324266666667</v>
      </c>
      <c r="F136" s="5"/>
      <c r="G136" s="5"/>
      <c r="H136" s="5"/>
      <c r="I136" s="5"/>
      <c r="J136" s="5"/>
      <c r="K136" s="5"/>
      <c r="L136" s="5"/>
      <c r="M136" s="5"/>
      <c r="N136" s="5"/>
      <c r="O136" s="5"/>
      <c r="P136" s="5"/>
      <c r="Q136" s="5"/>
      <c r="R136" s="5"/>
      <c r="S136" s="5"/>
      <c r="T136" s="374"/>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373"/>
      <c r="BF136" s="5"/>
      <c r="BG136" s="5"/>
      <c r="BH136" s="5"/>
      <c r="BI136" s="5"/>
      <c r="BJ136" s="5"/>
      <c r="BK136" s="5"/>
      <c r="BL136" s="5"/>
      <c r="BM136" s="5"/>
      <c r="BN136" s="5"/>
      <c r="BO136" s="5"/>
      <c r="BP136" s="5"/>
      <c r="BQ136" s="5"/>
      <c r="BR136" s="5"/>
      <c r="BS136" s="5"/>
      <c r="BT136" s="5"/>
      <c r="BU136" s="5"/>
      <c r="BV136" s="5"/>
      <c r="BW136" s="5"/>
      <c r="BX136" s="373"/>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372"/>
      <c r="CX136" s="5"/>
      <c r="CY136" s="5"/>
      <c r="CZ136" s="5"/>
      <c r="DA136" s="5"/>
      <c r="DB136" s="5"/>
      <c r="DC136" s="5"/>
      <c r="DD136" s="5"/>
      <c r="DE136" s="5"/>
      <c r="DF136" s="5"/>
      <c r="DG136" s="5"/>
      <c r="DH136" s="5"/>
      <c r="DI136" s="5"/>
      <c r="DJ136" s="5"/>
      <c r="DK136" s="5"/>
      <c r="DL136" s="5"/>
      <c r="DM136" s="5"/>
      <c r="DN136" s="5"/>
      <c r="DO136" s="5"/>
      <c r="DP136" s="5"/>
      <c r="DR136" s="372"/>
      <c r="DS136" s="5"/>
      <c r="DT136" s="5"/>
      <c r="DU136" s="5"/>
      <c r="DV136" s="5"/>
      <c r="DW136" s="5"/>
      <c r="DX136" s="5"/>
      <c r="DY136" s="5"/>
      <c r="DZ136" s="5"/>
      <c r="EA136" s="5"/>
      <c r="EB136" s="5"/>
      <c r="EC136" s="5"/>
      <c r="ED136" s="5"/>
      <c r="EE136" s="5"/>
      <c r="EF136" s="5"/>
      <c r="EG136" s="5"/>
      <c r="EH136" s="5"/>
      <c r="EI136" s="5"/>
      <c r="EJ136" s="5"/>
      <c r="EK136" s="5"/>
    </row>
    <row r="137" spans="1:141">
      <c r="A137" s="925" t="s">
        <v>935</v>
      </c>
      <c r="B137" s="926"/>
      <c r="C137" s="926"/>
      <c r="D137" s="926"/>
      <c r="E137" s="926"/>
      <c r="F137" s="926"/>
      <c r="G137" s="926"/>
      <c r="H137" s="926"/>
      <c r="I137" s="926"/>
      <c r="J137" s="926"/>
      <c r="K137" s="926"/>
      <c r="L137" s="926"/>
      <c r="M137" s="926"/>
      <c r="N137" s="926"/>
      <c r="O137" s="926"/>
      <c r="P137" s="926"/>
      <c r="Q137" s="926"/>
      <c r="R137" s="926"/>
      <c r="S137" s="926"/>
      <c r="T137" s="434"/>
      <c r="U137" s="371"/>
      <c r="V137" s="371"/>
      <c r="W137" s="371"/>
      <c r="X137" s="371"/>
      <c r="Y137" s="371"/>
      <c r="Z137" s="371"/>
      <c r="AA137" s="371"/>
      <c r="AB137" s="371"/>
      <c r="AC137" s="371"/>
      <c r="AD137" s="371"/>
      <c r="AE137" s="371"/>
      <c r="AF137" s="371"/>
      <c r="AG137" s="371"/>
      <c r="AH137" s="371"/>
      <c r="AI137" s="371"/>
      <c r="AJ137" s="371"/>
      <c r="AK137" s="371"/>
      <c r="AL137" s="371"/>
      <c r="AM137" s="942" t="s">
        <v>935</v>
      </c>
      <c r="AN137" s="942"/>
      <c r="AO137" s="942"/>
      <c r="AP137" s="942"/>
      <c r="AQ137" s="942"/>
      <c r="AR137" s="942"/>
      <c r="AS137" s="942"/>
      <c r="AT137" s="942"/>
      <c r="AU137" s="942"/>
      <c r="AV137" s="942"/>
      <c r="AW137" s="942"/>
      <c r="AX137" s="942"/>
      <c r="AY137" s="942"/>
      <c r="AZ137" s="942"/>
      <c r="BA137" s="942"/>
      <c r="BB137" s="942"/>
      <c r="BC137" s="942"/>
      <c r="BD137" s="942"/>
      <c r="BE137" s="943"/>
      <c r="BF137" s="944" t="s">
        <v>935</v>
      </c>
      <c r="BG137" s="942"/>
      <c r="BH137" s="942"/>
      <c r="BI137" s="942"/>
      <c r="BJ137" s="942"/>
      <c r="BK137" s="942"/>
      <c r="BL137" s="942"/>
      <c r="BM137" s="942"/>
      <c r="BN137" s="942"/>
      <c r="BO137" s="942"/>
      <c r="BP137" s="942"/>
      <c r="BQ137" s="942"/>
      <c r="BR137" s="942"/>
      <c r="BS137" s="942"/>
      <c r="BT137" s="942"/>
      <c r="BU137" s="942"/>
      <c r="BV137" s="942"/>
      <c r="BW137" s="942"/>
      <c r="BX137" s="943"/>
      <c r="BY137" s="391"/>
      <c r="BZ137" s="391"/>
      <c r="CA137" s="391"/>
      <c r="CB137" s="391"/>
      <c r="CC137" s="391"/>
      <c r="CD137" s="371"/>
      <c r="CE137" s="371"/>
      <c r="CF137" s="371"/>
      <c r="CG137" s="371"/>
      <c r="CH137" s="371"/>
      <c r="CI137" s="371"/>
      <c r="CJ137" s="371"/>
      <c r="CK137" s="371"/>
      <c r="CL137" s="371"/>
      <c r="CM137" s="371"/>
      <c r="CN137" s="371"/>
      <c r="CO137" s="371"/>
      <c r="CP137" s="371"/>
      <c r="CQ137" s="371"/>
      <c r="CR137" s="371"/>
      <c r="CS137" s="371"/>
      <c r="CT137" s="371"/>
      <c r="CU137" s="371"/>
      <c r="CV137" s="371"/>
      <c r="CW137" s="372"/>
      <c r="CX137" s="371"/>
      <c r="CY137" s="371"/>
      <c r="CZ137" s="371"/>
      <c r="DA137" s="371"/>
      <c r="DB137" s="371"/>
      <c r="DC137" s="371"/>
      <c r="DD137" s="371"/>
      <c r="DE137" s="371"/>
      <c r="DF137" s="371"/>
      <c r="DG137" s="371"/>
      <c r="DH137" s="371"/>
      <c r="DI137" s="371"/>
      <c r="DJ137" s="371"/>
      <c r="DK137" s="371"/>
      <c r="DL137" s="371"/>
      <c r="DM137" s="371"/>
      <c r="DN137" s="371"/>
      <c r="DO137" s="371"/>
      <c r="DP137" s="371"/>
      <c r="DR137" s="372"/>
      <c r="DS137" s="888"/>
      <c r="DT137" s="888"/>
      <c r="DU137" s="888"/>
      <c r="DV137" s="888"/>
      <c r="DW137" s="888"/>
      <c r="DX137" s="888"/>
      <c r="DY137" s="888"/>
      <c r="DZ137" s="888"/>
      <c r="EA137" s="888"/>
      <c r="EB137" s="888"/>
      <c r="EC137" s="888"/>
      <c r="ED137" s="888"/>
      <c r="EE137" s="888"/>
      <c r="EF137" s="888"/>
      <c r="EG137" s="888"/>
      <c r="EH137" s="888"/>
      <c r="EI137" s="888"/>
      <c r="EJ137" s="888"/>
      <c r="EK137" s="888"/>
    </row>
    <row r="138" spans="1:141" ht="15.6">
      <c r="A138" s="5"/>
      <c r="B138" s="5" t="s">
        <v>936</v>
      </c>
      <c r="C138" s="161" t="s">
        <v>63</v>
      </c>
      <c r="D138" s="5" t="s">
        <v>937</v>
      </c>
      <c r="E138" s="5"/>
      <c r="F138" s="5"/>
      <c r="G138" s="5"/>
      <c r="H138" s="161" t="s">
        <v>346</v>
      </c>
      <c r="I138" s="5"/>
      <c r="J138" s="5">
        <v>10</v>
      </c>
      <c r="K138" s="5" t="s">
        <v>938</v>
      </c>
      <c r="M138" s="945" t="s">
        <v>923</v>
      </c>
      <c r="N138" s="945"/>
      <c r="O138" s="945"/>
      <c r="P138" s="945"/>
      <c r="Q138" s="945"/>
      <c r="R138" s="945"/>
      <c r="S138" s="945"/>
      <c r="T138" s="374"/>
      <c r="U138" s="5"/>
      <c r="V138" s="161"/>
      <c r="W138" s="5"/>
      <c r="X138" s="5"/>
      <c r="Y138" s="5"/>
      <c r="Z138" s="5"/>
      <c r="AA138" s="161"/>
      <c r="AB138" s="5"/>
      <c r="AC138" s="5"/>
      <c r="AD138" s="5"/>
      <c r="AF138" s="380"/>
      <c r="AG138" s="380"/>
      <c r="AH138" s="380"/>
      <c r="AI138" s="380"/>
      <c r="AJ138" s="380"/>
      <c r="AK138" s="380"/>
      <c r="AL138" s="380"/>
      <c r="AM138" s="5"/>
      <c r="AN138" s="5" t="s">
        <v>936</v>
      </c>
      <c r="AO138" s="161" t="s">
        <v>63</v>
      </c>
      <c r="AP138" s="5" t="s">
        <v>937</v>
      </c>
      <c r="AQ138" s="5"/>
      <c r="AR138" s="5"/>
      <c r="AS138" s="5"/>
      <c r="AT138" s="161" t="s">
        <v>346</v>
      </c>
      <c r="AU138" s="5"/>
      <c r="AV138" s="5">
        <v>15</v>
      </c>
      <c r="AW138" s="5" t="s">
        <v>938</v>
      </c>
      <c r="AY138" s="945" t="s">
        <v>923</v>
      </c>
      <c r="AZ138" s="945"/>
      <c r="BA138" s="945"/>
      <c r="BB138" s="945"/>
      <c r="BC138" s="945"/>
      <c r="BD138" s="945"/>
      <c r="BE138" s="945"/>
      <c r="BF138" s="5"/>
      <c r="BG138" s="5" t="s">
        <v>936</v>
      </c>
      <c r="BH138" s="161" t="s">
        <v>63</v>
      </c>
      <c r="BI138" s="5" t="s">
        <v>937</v>
      </c>
      <c r="BJ138" s="5"/>
      <c r="BK138" s="5"/>
      <c r="BL138" s="5"/>
      <c r="BM138" s="161" t="s">
        <v>346</v>
      </c>
      <c r="BN138" s="5"/>
      <c r="BO138" s="5">
        <v>15</v>
      </c>
      <c r="BP138" s="5" t="s">
        <v>938</v>
      </c>
      <c r="BR138" s="945" t="s">
        <v>923</v>
      </c>
      <c r="BS138" s="945"/>
      <c r="BT138" s="945"/>
      <c r="BU138" s="945"/>
      <c r="BV138" s="945"/>
      <c r="BW138" s="945"/>
      <c r="BX138" s="945"/>
      <c r="BY138" s="378"/>
      <c r="BZ138" s="378"/>
      <c r="CA138" s="378"/>
      <c r="CB138" s="378"/>
      <c r="CC138" s="378"/>
      <c r="CD138" s="5"/>
      <c r="CE138" s="5"/>
      <c r="CF138" s="161"/>
      <c r="CG138" s="5"/>
      <c r="CH138" s="5"/>
      <c r="CI138" s="5"/>
      <c r="CJ138" s="5"/>
      <c r="CK138" s="5"/>
      <c r="CL138" s="5"/>
      <c r="CM138" s="5"/>
      <c r="CN138" s="5"/>
      <c r="CO138" s="161"/>
      <c r="CP138" s="5"/>
      <c r="CQ138" s="5"/>
      <c r="CR138" s="5"/>
      <c r="CS138" s="5"/>
      <c r="CT138" s="5"/>
      <c r="CU138" s="5"/>
      <c r="CV138" s="5"/>
      <c r="CW138" s="372"/>
      <c r="CX138" s="5"/>
      <c r="CY138" s="5"/>
      <c r="CZ138" s="161"/>
      <c r="DA138" s="5"/>
      <c r="DB138" s="5"/>
      <c r="DC138" s="5"/>
      <c r="DD138" s="5"/>
      <c r="DE138" s="5"/>
      <c r="DF138" s="5"/>
      <c r="DG138" s="5"/>
      <c r="DH138" s="5"/>
      <c r="DI138" s="161"/>
      <c r="DJ138" s="5"/>
      <c r="DK138" s="5"/>
      <c r="DL138" s="5"/>
      <c r="DM138" s="5"/>
      <c r="DN138" s="5"/>
      <c r="DO138" s="5"/>
      <c r="DP138" s="5"/>
      <c r="DR138" s="372"/>
      <c r="DS138" s="5"/>
      <c r="DT138" s="5"/>
      <c r="DU138" s="161"/>
      <c r="DV138" s="5"/>
      <c r="DW138" s="5"/>
      <c r="DX138" s="5"/>
      <c r="DY138" s="5"/>
      <c r="DZ138" s="5"/>
      <c r="EA138" s="5"/>
      <c r="EB138" s="5"/>
      <c r="EC138" s="5"/>
      <c r="ED138" s="161"/>
      <c r="EE138" s="5"/>
      <c r="EF138" s="5"/>
      <c r="EG138" s="5"/>
      <c r="EH138" s="5"/>
      <c r="EI138" s="5"/>
      <c r="EJ138" s="5"/>
      <c r="EK138" s="5"/>
    </row>
    <row r="139" spans="1:141">
      <c r="A139" s="5"/>
      <c r="B139" s="5"/>
      <c r="C139" s="161" t="s">
        <v>63</v>
      </c>
      <c r="D139" s="716">
        <f>(5*J138*O45)/(24*K46)</f>
        <v>543.42948717948718</v>
      </c>
      <c r="E139" s="716"/>
      <c r="F139" s="161" t="s">
        <v>346</v>
      </c>
      <c r="G139" s="5"/>
      <c r="H139" s="5"/>
      <c r="I139" s="5"/>
      <c r="J139" s="5"/>
      <c r="K139" s="5"/>
      <c r="L139" s="5"/>
      <c r="M139" s="945"/>
      <c r="N139" s="945"/>
      <c r="O139" s="945"/>
      <c r="P139" s="945"/>
      <c r="Q139" s="945"/>
      <c r="R139" s="945"/>
      <c r="S139" s="945"/>
      <c r="T139" s="374"/>
      <c r="U139" s="5"/>
      <c r="V139" s="161"/>
      <c r="W139" s="5"/>
      <c r="X139" s="5"/>
      <c r="Y139" s="161"/>
      <c r="Z139" s="5"/>
      <c r="AA139" s="5"/>
      <c r="AB139" s="5"/>
      <c r="AC139" s="5"/>
      <c r="AD139" s="5"/>
      <c r="AE139" s="5"/>
      <c r="AF139" s="380"/>
      <c r="AG139" s="380"/>
      <c r="AH139" s="380"/>
      <c r="AI139" s="380"/>
      <c r="AJ139" s="380"/>
      <c r="AK139" s="380"/>
      <c r="AL139" s="380"/>
      <c r="AM139" s="5"/>
      <c r="AN139" s="5"/>
      <c r="AO139" s="161" t="s">
        <v>63</v>
      </c>
      <c r="AP139" s="716">
        <f>(5*AV138*BA45)/(24*AW46)</f>
        <v>815.14423076923072</v>
      </c>
      <c r="AQ139" s="716"/>
      <c r="AR139" s="161" t="s">
        <v>346</v>
      </c>
      <c r="AS139" s="5"/>
      <c r="AT139" s="5"/>
      <c r="AU139" s="5"/>
      <c r="AV139" s="5"/>
      <c r="AW139" s="5"/>
      <c r="AX139" s="5"/>
      <c r="AY139" s="945"/>
      <c r="AZ139" s="945"/>
      <c r="BA139" s="945"/>
      <c r="BB139" s="945"/>
      <c r="BC139" s="945"/>
      <c r="BD139" s="945"/>
      <c r="BE139" s="945"/>
      <c r="BF139" s="5"/>
      <c r="BG139" s="5"/>
      <c r="BH139" s="161" t="s">
        <v>63</v>
      </c>
      <c r="BI139" s="716">
        <f>(5*BO138*BT45)/(24*BP46)</f>
        <v>815.14423076923072</v>
      </c>
      <c r="BJ139" s="716"/>
      <c r="BK139" s="161" t="s">
        <v>346</v>
      </c>
      <c r="BL139" s="5"/>
      <c r="BM139" s="5"/>
      <c r="BN139" s="5"/>
      <c r="BO139" s="5"/>
      <c r="BP139" s="5"/>
      <c r="BQ139" s="5"/>
      <c r="BR139" s="945"/>
      <c r="BS139" s="945"/>
      <c r="BT139" s="945"/>
      <c r="BU139" s="945"/>
      <c r="BV139" s="945"/>
      <c r="BW139" s="945"/>
      <c r="BX139" s="945"/>
      <c r="BY139" s="378"/>
      <c r="BZ139" s="378"/>
      <c r="CA139" s="378"/>
      <c r="CB139" s="378"/>
      <c r="CC139" s="378"/>
      <c r="CD139" s="5"/>
      <c r="CE139" s="5"/>
      <c r="CF139" s="161"/>
      <c r="CG139" s="5"/>
      <c r="CH139" s="5"/>
      <c r="CI139" s="161"/>
      <c r="CJ139" s="5"/>
      <c r="CK139" s="5"/>
      <c r="CL139" s="5"/>
      <c r="CM139" s="5"/>
      <c r="CN139" s="5"/>
      <c r="CO139" s="5"/>
      <c r="CP139" s="5"/>
      <c r="CQ139" s="5"/>
      <c r="CR139" s="5"/>
      <c r="CS139" s="5"/>
      <c r="CT139" s="5"/>
      <c r="CU139" s="5"/>
      <c r="CV139" s="5"/>
      <c r="CW139" s="372"/>
      <c r="CX139" s="5"/>
      <c r="CY139" s="5"/>
      <c r="CZ139" s="161"/>
      <c r="DA139" s="5"/>
      <c r="DB139" s="5"/>
      <c r="DC139" s="161"/>
      <c r="DD139" s="5"/>
      <c r="DE139" s="5"/>
      <c r="DF139" s="5"/>
      <c r="DG139" s="5"/>
      <c r="DH139" s="5"/>
      <c r="DI139" s="5"/>
      <c r="DJ139" s="5"/>
      <c r="DK139" s="5"/>
      <c r="DL139" s="5"/>
      <c r="DM139" s="5"/>
      <c r="DN139" s="5"/>
      <c r="DO139" s="5"/>
      <c r="DP139" s="5"/>
      <c r="DR139" s="372"/>
      <c r="DS139" s="5"/>
      <c r="DT139" s="5"/>
      <c r="DU139" s="161"/>
      <c r="DV139" s="716"/>
      <c r="DW139" s="716"/>
      <c r="DX139" s="161"/>
      <c r="DY139" s="5"/>
      <c r="DZ139" s="5"/>
      <c r="EA139" s="5"/>
      <c r="EB139" s="5"/>
      <c r="EC139" s="5"/>
      <c r="ED139" s="5"/>
      <c r="EE139" s="5"/>
      <c r="EF139" s="5"/>
      <c r="EG139" s="5"/>
      <c r="EH139" s="5"/>
      <c r="EI139" s="5"/>
      <c r="EJ139" s="5"/>
      <c r="EK139" s="5"/>
    </row>
    <row r="140" spans="1:141">
      <c r="A140" s="5"/>
      <c r="B140" s="5"/>
      <c r="C140" s="161" t="s">
        <v>63</v>
      </c>
      <c r="D140" s="934">
        <f>D139/1000</f>
        <v>0.54342948717948714</v>
      </c>
      <c r="E140" s="934"/>
      <c r="F140" s="161" t="s">
        <v>26</v>
      </c>
      <c r="G140" s="5"/>
      <c r="H140" s="5"/>
      <c r="I140" s="5"/>
      <c r="J140" s="5"/>
      <c r="K140" s="5"/>
      <c r="L140" s="5"/>
      <c r="M140" s="5"/>
      <c r="N140" s="5"/>
      <c r="O140" s="5"/>
      <c r="P140" s="5"/>
      <c r="Q140" s="5"/>
      <c r="R140" s="5"/>
      <c r="S140" s="5"/>
      <c r="T140" s="374"/>
      <c r="U140" s="5"/>
      <c r="V140" s="161"/>
      <c r="W140" s="389"/>
      <c r="X140" s="389"/>
      <c r="Y140" s="161"/>
      <c r="Z140" s="5"/>
      <c r="AA140" s="5"/>
      <c r="AB140" s="5"/>
      <c r="AC140" s="5"/>
      <c r="AD140" s="5"/>
      <c r="AE140" s="5"/>
      <c r="AF140" s="5"/>
      <c r="AG140" s="5"/>
      <c r="AH140" s="5"/>
      <c r="AI140" s="5"/>
      <c r="AJ140" s="5"/>
      <c r="AK140" s="5"/>
      <c r="AL140" s="5"/>
      <c r="AM140" s="5"/>
      <c r="AN140" s="5"/>
      <c r="AO140" s="161" t="s">
        <v>63</v>
      </c>
      <c r="AP140" s="934">
        <f>AP139/1000</f>
        <v>0.8151442307692307</v>
      </c>
      <c r="AQ140" s="934"/>
      <c r="AR140" s="161" t="s">
        <v>26</v>
      </c>
      <c r="AS140" s="5"/>
      <c r="AT140" s="5"/>
      <c r="AU140" s="5"/>
      <c r="AV140" s="5"/>
      <c r="AW140" s="5"/>
      <c r="AX140" s="5"/>
      <c r="AY140" s="5"/>
      <c r="AZ140" s="5"/>
      <c r="BA140" s="5"/>
      <c r="BB140" s="5"/>
      <c r="BC140" s="5"/>
      <c r="BD140" s="5"/>
      <c r="BE140" s="373"/>
      <c r="BF140" s="5"/>
      <c r="BG140" s="5"/>
      <c r="BH140" s="161" t="s">
        <v>63</v>
      </c>
      <c r="BI140" s="934">
        <f>BI139/1000</f>
        <v>0.8151442307692307</v>
      </c>
      <c r="BJ140" s="934"/>
      <c r="BK140" s="161" t="s">
        <v>26</v>
      </c>
      <c r="BL140" s="5"/>
      <c r="BM140" s="5"/>
      <c r="BN140" s="5"/>
      <c r="BO140" s="5"/>
      <c r="BP140" s="5"/>
      <c r="BQ140" s="5"/>
      <c r="BR140" s="5"/>
      <c r="BS140" s="5"/>
      <c r="BT140" s="5"/>
      <c r="BU140" s="5"/>
      <c r="BV140" s="5"/>
      <c r="BW140" s="5"/>
      <c r="BX140" s="373"/>
      <c r="BY140" s="5"/>
      <c r="BZ140" s="5"/>
      <c r="CA140" s="5"/>
      <c r="CB140" s="5"/>
      <c r="CC140" s="5"/>
      <c r="CD140" s="5"/>
      <c r="CE140" s="5"/>
      <c r="CF140" s="161"/>
      <c r="CG140" s="392"/>
      <c r="CH140" s="392"/>
      <c r="CI140" s="5"/>
      <c r="CJ140" s="5"/>
      <c r="CK140" s="5"/>
      <c r="CL140" s="5"/>
      <c r="CM140" s="5"/>
      <c r="CN140" s="5"/>
      <c r="CO140" s="5"/>
      <c r="CP140" s="5"/>
      <c r="CQ140" s="5"/>
      <c r="CR140" s="5"/>
      <c r="CS140" s="5"/>
      <c r="CT140" s="5"/>
      <c r="CU140" s="5"/>
      <c r="CV140" s="5"/>
      <c r="CW140" s="372"/>
      <c r="CX140" s="5"/>
      <c r="CY140" s="5"/>
      <c r="CZ140" s="161"/>
      <c r="DA140" s="392"/>
      <c r="DB140" s="392"/>
      <c r="DC140" s="5"/>
      <c r="DD140" s="5"/>
      <c r="DE140" s="5"/>
      <c r="DF140" s="5"/>
      <c r="DG140" s="5"/>
      <c r="DH140" s="5"/>
      <c r="DI140" s="5"/>
      <c r="DJ140" s="5"/>
      <c r="DK140" s="5"/>
      <c r="DL140" s="5"/>
      <c r="DM140" s="5"/>
      <c r="DN140" s="5"/>
      <c r="DO140" s="5"/>
      <c r="DP140" s="5"/>
      <c r="DR140" s="372"/>
      <c r="DS140" s="5"/>
      <c r="DT140" s="5"/>
      <c r="DU140" s="161"/>
      <c r="DV140" s="890"/>
      <c r="DW140" s="890"/>
      <c r="DX140" s="5"/>
      <c r="DY140" s="5"/>
      <c r="DZ140" s="5"/>
      <c r="EA140" s="5"/>
      <c r="EB140" s="5"/>
      <c r="EC140" s="5"/>
      <c r="ED140" s="5"/>
      <c r="EE140" s="5"/>
      <c r="EF140" s="5"/>
      <c r="EG140" s="5"/>
      <c r="EH140" s="5"/>
      <c r="EI140" s="5"/>
      <c r="EJ140" s="5"/>
      <c r="EK140" s="5"/>
    </row>
    <row r="141" spans="1:141">
      <c r="A141" s="5"/>
      <c r="B141" s="5"/>
      <c r="C141" s="5"/>
      <c r="D141" s="5"/>
      <c r="E141" s="5"/>
      <c r="F141" s="5"/>
      <c r="G141" s="5"/>
      <c r="H141" s="5"/>
      <c r="I141" s="5"/>
      <c r="J141" s="5"/>
      <c r="K141" s="5"/>
      <c r="L141" s="5"/>
      <c r="M141" s="5"/>
      <c r="N141" s="5"/>
      <c r="O141" s="5"/>
      <c r="P141" s="5"/>
      <c r="Q141" s="5"/>
      <c r="R141" s="5"/>
      <c r="S141" s="5"/>
      <c r="T141" s="374"/>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373"/>
      <c r="BF141" s="5"/>
      <c r="BG141" s="5"/>
      <c r="BH141" s="5"/>
      <c r="BI141" s="5"/>
      <c r="BJ141" s="5"/>
      <c r="BK141" s="5"/>
      <c r="BL141" s="5"/>
      <c r="BM141" s="5"/>
      <c r="BN141" s="5"/>
      <c r="BO141" s="5"/>
      <c r="BP141" s="5"/>
      <c r="BQ141" s="5"/>
      <c r="BR141" s="5"/>
      <c r="BS141" s="5"/>
      <c r="BT141" s="5"/>
      <c r="BU141" s="5"/>
      <c r="BV141" s="5"/>
      <c r="BW141" s="5"/>
      <c r="BX141" s="373"/>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372"/>
      <c r="CX141" s="5"/>
      <c r="CY141" s="5"/>
      <c r="CZ141" s="5"/>
      <c r="DA141" s="5"/>
      <c r="DB141" s="5"/>
      <c r="DC141" s="5"/>
      <c r="DD141" s="5"/>
      <c r="DE141" s="5"/>
      <c r="DF141" s="5"/>
      <c r="DG141" s="5"/>
      <c r="DH141" s="5"/>
      <c r="DI141" s="5"/>
      <c r="DJ141" s="5"/>
      <c r="DK141" s="5"/>
      <c r="DL141" s="5"/>
      <c r="DM141" s="5"/>
      <c r="DN141" s="5"/>
      <c r="DO141" s="5"/>
      <c r="DP141" s="5"/>
      <c r="DR141" s="372"/>
      <c r="DS141" s="5"/>
      <c r="DT141" s="5"/>
      <c r="DU141" s="5"/>
      <c r="DV141" s="5"/>
      <c r="DW141" s="5"/>
      <c r="DX141" s="5"/>
      <c r="DY141" s="5"/>
      <c r="DZ141" s="5"/>
      <c r="EA141" s="5"/>
      <c r="EB141" s="5"/>
      <c r="EC141" s="5"/>
      <c r="ED141" s="5"/>
      <c r="EE141" s="5"/>
      <c r="EF141" s="5"/>
      <c r="EG141" s="5"/>
      <c r="EH141" s="5"/>
      <c r="EI141" s="5"/>
      <c r="EJ141" s="5"/>
      <c r="EK141" s="5"/>
    </row>
    <row r="142" spans="1:141">
      <c r="A142" s="925" t="s">
        <v>939</v>
      </c>
      <c r="B142" s="926"/>
      <c r="C142" s="926"/>
      <c r="D142" s="926"/>
      <c r="E142" s="926"/>
      <c r="F142" s="926"/>
      <c r="G142" s="926"/>
      <c r="H142" s="926"/>
      <c r="I142" s="926"/>
      <c r="J142" s="926"/>
      <c r="K142" s="926"/>
      <c r="L142" s="926"/>
      <c r="M142" s="926"/>
      <c r="N142" s="926"/>
      <c r="O142" s="926"/>
      <c r="P142" s="926"/>
      <c r="Q142" s="926"/>
      <c r="R142" s="926"/>
      <c r="S142" s="926"/>
      <c r="T142" s="434"/>
      <c r="U142" s="371"/>
      <c r="V142" s="371"/>
      <c r="W142" s="371"/>
      <c r="X142" s="371"/>
      <c r="Y142" s="371"/>
      <c r="Z142" s="371"/>
      <c r="AA142" s="371"/>
      <c r="AB142" s="371"/>
      <c r="AC142" s="371"/>
      <c r="AD142" s="371"/>
      <c r="AE142" s="371"/>
      <c r="AF142" s="371"/>
      <c r="AG142" s="371"/>
      <c r="AH142" s="371"/>
      <c r="AI142" s="371"/>
      <c r="AJ142" s="371"/>
      <c r="AK142" s="371"/>
      <c r="AL142" s="371"/>
      <c r="AM142" s="942" t="s">
        <v>939</v>
      </c>
      <c r="AN142" s="942"/>
      <c r="AO142" s="942"/>
      <c r="AP142" s="942"/>
      <c r="AQ142" s="942"/>
      <c r="AR142" s="942"/>
      <c r="AS142" s="942"/>
      <c r="AT142" s="942"/>
      <c r="AU142" s="942"/>
      <c r="AV142" s="942"/>
      <c r="AW142" s="942"/>
      <c r="AX142" s="942"/>
      <c r="AY142" s="942"/>
      <c r="AZ142" s="942"/>
      <c r="BA142" s="942"/>
      <c r="BB142" s="942"/>
      <c r="BC142" s="942"/>
      <c r="BD142" s="942"/>
      <c r="BE142" s="943"/>
      <c r="BF142" s="944" t="s">
        <v>939</v>
      </c>
      <c r="BG142" s="942"/>
      <c r="BH142" s="942"/>
      <c r="BI142" s="942"/>
      <c r="BJ142" s="942"/>
      <c r="BK142" s="942"/>
      <c r="BL142" s="942"/>
      <c r="BM142" s="942"/>
      <c r="BN142" s="942"/>
      <c r="BO142" s="942"/>
      <c r="BP142" s="942"/>
      <c r="BQ142" s="942"/>
      <c r="BR142" s="942"/>
      <c r="BS142" s="942"/>
      <c r="BT142" s="942"/>
      <c r="BU142" s="942"/>
      <c r="BV142" s="942"/>
      <c r="BW142" s="942"/>
      <c r="BX142" s="943"/>
      <c r="BY142" s="391"/>
      <c r="BZ142" s="391"/>
      <c r="CA142" s="391"/>
      <c r="CB142" s="391"/>
      <c r="CC142" s="391"/>
      <c r="CD142" s="371"/>
      <c r="CE142" s="371"/>
      <c r="CF142" s="371"/>
      <c r="CG142" s="371"/>
      <c r="CH142" s="371"/>
      <c r="CI142" s="371"/>
      <c r="CJ142" s="371"/>
      <c r="CK142" s="371"/>
      <c r="CL142" s="371"/>
      <c r="CM142" s="371"/>
      <c r="CN142" s="371"/>
      <c r="CO142" s="371"/>
      <c r="CP142" s="371"/>
      <c r="CQ142" s="371"/>
      <c r="CR142" s="371"/>
      <c r="CS142" s="371"/>
      <c r="CT142" s="371"/>
      <c r="CU142" s="371"/>
      <c r="CV142" s="371"/>
      <c r="CW142" s="372"/>
      <c r="CX142" s="371"/>
      <c r="CY142" s="371"/>
      <c r="CZ142" s="371"/>
      <c r="DA142" s="371"/>
      <c r="DB142" s="371"/>
      <c r="DC142" s="371"/>
      <c r="DD142" s="371"/>
      <c r="DE142" s="371"/>
      <c r="DF142" s="371"/>
      <c r="DG142" s="371"/>
      <c r="DH142" s="371"/>
      <c r="DI142" s="371"/>
      <c r="DJ142" s="371"/>
      <c r="DK142" s="371"/>
      <c r="DL142" s="371"/>
      <c r="DM142" s="371"/>
      <c r="DN142" s="371"/>
      <c r="DO142" s="371"/>
      <c r="DP142" s="371"/>
      <c r="DR142" s="372"/>
      <c r="DS142" s="888"/>
      <c r="DT142" s="888"/>
      <c r="DU142" s="888"/>
      <c r="DV142" s="888"/>
      <c r="DW142" s="888"/>
      <c r="DX142" s="888"/>
      <c r="DY142" s="888"/>
      <c r="DZ142" s="888"/>
      <c r="EA142" s="888"/>
      <c r="EB142" s="888"/>
      <c r="EC142" s="888"/>
      <c r="ED142" s="888"/>
      <c r="EE142" s="888"/>
      <c r="EF142" s="888"/>
      <c r="EG142" s="888"/>
      <c r="EH142" s="888"/>
      <c r="EI142" s="888"/>
      <c r="EJ142" s="888"/>
      <c r="EK142" s="888"/>
    </row>
    <row r="143" spans="1:141">
      <c r="A143" s="5"/>
      <c r="B143" s="5" t="s">
        <v>940</v>
      </c>
      <c r="C143" s="5"/>
      <c r="D143" s="161" t="s">
        <v>63</v>
      </c>
      <c r="E143" s="161">
        <v>75</v>
      </c>
      <c r="F143" s="5" t="s">
        <v>941</v>
      </c>
      <c r="G143" s="5"/>
      <c r="H143" s="5"/>
      <c r="I143" s="5"/>
      <c r="J143" s="5"/>
      <c r="K143" s="5"/>
      <c r="L143" s="5"/>
      <c r="M143" s="5"/>
      <c r="N143" s="5"/>
      <c r="O143" s="5"/>
      <c r="P143" s="5"/>
      <c r="Q143" s="5"/>
      <c r="R143" s="5"/>
      <c r="S143" s="5"/>
      <c r="T143" s="374"/>
      <c r="U143" s="5"/>
      <c r="V143" s="5"/>
      <c r="W143" s="161"/>
      <c r="X143" s="161"/>
      <c r="Y143" s="5"/>
      <c r="Z143" s="5"/>
      <c r="AA143" s="5"/>
      <c r="AB143" s="5"/>
      <c r="AC143" s="5"/>
      <c r="AD143" s="5"/>
      <c r="AE143" s="5"/>
      <c r="AF143" s="5"/>
      <c r="AG143" s="5"/>
      <c r="AH143" s="5"/>
      <c r="AI143" s="5"/>
      <c r="AJ143" s="5"/>
      <c r="AK143" s="5"/>
      <c r="AL143" s="5"/>
      <c r="AM143" s="5"/>
      <c r="AN143" s="5" t="s">
        <v>940</v>
      </c>
      <c r="AO143" s="5"/>
      <c r="AP143" s="161" t="s">
        <v>63</v>
      </c>
      <c r="AQ143" s="161">
        <v>75</v>
      </c>
      <c r="AR143" s="5" t="s">
        <v>941</v>
      </c>
      <c r="AS143" s="5"/>
      <c r="AT143" s="5"/>
      <c r="AU143" s="5"/>
      <c r="AV143" s="5"/>
      <c r="AW143" s="5"/>
      <c r="AX143" s="5"/>
      <c r="AY143" s="5"/>
      <c r="AZ143" s="5"/>
      <c r="BA143" s="5"/>
      <c r="BB143" s="5"/>
      <c r="BC143" s="5"/>
      <c r="BD143" s="5"/>
      <c r="BE143" s="373"/>
      <c r="BF143" s="5"/>
      <c r="BG143" s="5" t="s">
        <v>940</v>
      </c>
      <c r="BH143" s="5"/>
      <c r="BI143" s="161" t="s">
        <v>63</v>
      </c>
      <c r="BJ143" s="161">
        <v>75</v>
      </c>
      <c r="BK143" s="5" t="s">
        <v>941</v>
      </c>
      <c r="BL143" s="5"/>
      <c r="BM143" s="5"/>
      <c r="BN143" s="5"/>
      <c r="BO143" s="5"/>
      <c r="BP143" s="5"/>
      <c r="BQ143" s="5"/>
      <c r="BR143" s="5"/>
      <c r="BS143" s="5"/>
      <c r="BT143" s="5"/>
      <c r="BU143" s="5"/>
      <c r="BV143" s="5"/>
      <c r="BW143" s="5"/>
      <c r="BX143" s="373"/>
      <c r="BY143" s="5"/>
      <c r="BZ143" s="5"/>
      <c r="CA143" s="5"/>
      <c r="CB143" s="5"/>
      <c r="CC143" s="5"/>
      <c r="CD143" s="5"/>
      <c r="CE143" s="5"/>
      <c r="CF143" s="5"/>
      <c r="CG143" s="161"/>
      <c r="CH143" s="161"/>
      <c r="CI143" s="5"/>
      <c r="CJ143" s="5"/>
      <c r="CK143" s="5"/>
      <c r="CL143" s="5"/>
      <c r="CM143" s="5"/>
      <c r="CN143" s="5"/>
      <c r="CO143" s="5"/>
      <c r="CP143" s="5"/>
      <c r="CQ143" s="5"/>
      <c r="CR143" s="5"/>
      <c r="CS143" s="5"/>
      <c r="CT143" s="5"/>
      <c r="CU143" s="5"/>
      <c r="CV143" s="5"/>
      <c r="CW143" s="372"/>
      <c r="CX143" s="5"/>
      <c r="CY143" s="5"/>
      <c r="CZ143" s="5"/>
      <c r="DA143" s="161"/>
      <c r="DB143" s="161"/>
      <c r="DC143" s="5"/>
      <c r="DD143" s="5"/>
      <c r="DE143" s="5"/>
      <c r="DF143" s="5"/>
      <c r="DG143" s="5"/>
      <c r="DH143" s="5"/>
      <c r="DI143" s="5"/>
      <c r="DJ143" s="5"/>
      <c r="DK143" s="5"/>
      <c r="DL143" s="5"/>
      <c r="DM143" s="5"/>
      <c r="DN143" s="5"/>
      <c r="DO143" s="5"/>
      <c r="DP143" s="5"/>
      <c r="DR143" s="372"/>
      <c r="DS143" s="5"/>
      <c r="DT143" s="5"/>
      <c r="DU143" s="5"/>
      <c r="DV143" s="161"/>
      <c r="DW143" s="161"/>
      <c r="DX143" s="5"/>
      <c r="DY143" s="5"/>
      <c r="DZ143" s="5"/>
      <c r="EA143" s="5"/>
      <c r="EB143" s="5"/>
      <c r="EC143" s="5"/>
      <c r="ED143" s="5"/>
      <c r="EE143" s="5"/>
      <c r="EF143" s="5"/>
      <c r="EG143" s="5"/>
      <c r="EH143" s="5"/>
      <c r="EI143" s="5"/>
      <c r="EJ143" s="5"/>
      <c r="EK143" s="5"/>
    </row>
    <row r="144" spans="1:141">
      <c r="A144" s="5"/>
      <c r="B144" s="5" t="s">
        <v>942</v>
      </c>
      <c r="C144" s="5"/>
      <c r="D144" s="161" t="s">
        <v>63</v>
      </c>
      <c r="E144" s="161">
        <v>20</v>
      </c>
      <c r="F144" s="5" t="s">
        <v>941</v>
      </c>
      <c r="G144" s="5"/>
      <c r="H144" s="5"/>
      <c r="I144" s="5"/>
      <c r="J144" s="5"/>
      <c r="K144" s="5"/>
      <c r="L144" s="5"/>
      <c r="M144" s="5"/>
      <c r="N144" s="5"/>
      <c r="O144" s="5"/>
      <c r="P144" s="5"/>
      <c r="Q144" s="5"/>
      <c r="R144" s="5"/>
      <c r="S144" s="5"/>
      <c r="T144" s="374"/>
      <c r="U144" s="5"/>
      <c r="V144" s="5"/>
      <c r="W144" s="161"/>
      <c r="X144" s="161"/>
      <c r="Y144" s="5"/>
      <c r="Z144" s="5"/>
      <c r="AA144" s="5"/>
      <c r="AB144" s="5"/>
      <c r="AC144" s="5"/>
      <c r="AD144" s="5"/>
      <c r="AE144" s="5"/>
      <c r="AF144" s="5"/>
      <c r="AG144" s="5"/>
      <c r="AH144" s="5"/>
      <c r="AI144" s="5"/>
      <c r="AJ144" s="5"/>
      <c r="AK144" s="5"/>
      <c r="AL144" s="5"/>
      <c r="AM144" s="5"/>
      <c r="AN144" s="5" t="s">
        <v>942</v>
      </c>
      <c r="AO144" s="5"/>
      <c r="AP144" s="161" t="s">
        <v>63</v>
      </c>
      <c r="AQ144" s="161">
        <v>20</v>
      </c>
      <c r="AR144" s="5" t="s">
        <v>941</v>
      </c>
      <c r="AS144" s="5"/>
      <c r="AT144" s="5"/>
      <c r="AU144" s="5"/>
      <c r="AV144" s="5"/>
      <c r="AW144" s="5"/>
      <c r="AX144" s="5"/>
      <c r="AY144" s="5"/>
      <c r="AZ144" s="5"/>
      <c r="BA144" s="5"/>
      <c r="BB144" s="5"/>
      <c r="BC144" s="5"/>
      <c r="BD144" s="5"/>
      <c r="BE144" s="373"/>
      <c r="BF144" s="5"/>
      <c r="BG144" s="5" t="s">
        <v>942</v>
      </c>
      <c r="BH144" s="5"/>
      <c r="BI144" s="161" t="s">
        <v>63</v>
      </c>
      <c r="BJ144" s="161">
        <v>20</v>
      </c>
      <c r="BK144" s="5" t="s">
        <v>941</v>
      </c>
      <c r="BL144" s="5"/>
      <c r="BM144" s="5"/>
      <c r="BN144" s="5"/>
      <c r="BO144" s="5"/>
      <c r="BP144" s="5"/>
      <c r="BQ144" s="5"/>
      <c r="BR144" s="5"/>
      <c r="BS144" s="5"/>
      <c r="BT144" s="5"/>
      <c r="BU144" s="5"/>
      <c r="BV144" s="5"/>
      <c r="BW144" s="5"/>
      <c r="BX144" s="373"/>
      <c r="BY144" s="5"/>
      <c r="BZ144" s="5"/>
      <c r="CA144" s="5"/>
      <c r="CB144" s="5"/>
      <c r="CC144" s="5"/>
      <c r="CD144" s="5"/>
      <c r="CE144" s="5"/>
      <c r="CF144" s="5"/>
      <c r="CG144" s="161"/>
      <c r="CH144" s="161"/>
      <c r="CI144" s="5"/>
      <c r="CJ144" s="5"/>
      <c r="CK144" s="5"/>
      <c r="CL144" s="5"/>
      <c r="CM144" s="5"/>
      <c r="CN144" s="5"/>
      <c r="CO144" s="5"/>
      <c r="CP144" s="5"/>
      <c r="CQ144" s="5"/>
      <c r="CR144" s="5"/>
      <c r="CS144" s="5"/>
      <c r="CT144" s="5"/>
      <c r="CU144" s="5"/>
      <c r="CV144" s="5"/>
      <c r="CW144" s="372"/>
      <c r="CX144" s="5"/>
      <c r="CY144" s="5"/>
      <c r="CZ144" s="5"/>
      <c r="DA144" s="161"/>
      <c r="DB144" s="161"/>
      <c r="DC144" s="5"/>
      <c r="DD144" s="5"/>
      <c r="DE144" s="5"/>
      <c r="DF144" s="5"/>
      <c r="DG144" s="5"/>
      <c r="DH144" s="5"/>
      <c r="DI144" s="5"/>
      <c r="DJ144" s="5"/>
      <c r="DK144" s="5"/>
      <c r="DL144" s="5"/>
      <c r="DM144" s="5"/>
      <c r="DN144" s="5"/>
      <c r="DO144" s="5"/>
      <c r="DP144" s="5"/>
      <c r="DR144" s="372"/>
      <c r="DS144" s="5"/>
      <c r="DT144" s="5"/>
      <c r="DU144" s="5"/>
      <c r="DV144" s="161"/>
      <c r="DW144" s="161"/>
      <c r="DX144" s="5"/>
      <c r="DY144" s="5"/>
      <c r="DZ144" s="5"/>
      <c r="EA144" s="5"/>
      <c r="EB144" s="5"/>
      <c r="EC144" s="5"/>
      <c r="ED144" s="5"/>
      <c r="EE144" s="5"/>
      <c r="EF144" s="5"/>
      <c r="EG144" s="5"/>
      <c r="EH144" s="5"/>
      <c r="EI144" s="5"/>
      <c r="EJ144" s="5"/>
      <c r="EK144" s="5"/>
    </row>
    <row r="145" spans="1:141">
      <c r="A145" s="5"/>
      <c r="B145" s="5"/>
      <c r="C145" s="5"/>
      <c r="D145" s="5"/>
      <c r="E145" s="5"/>
      <c r="F145" s="5"/>
      <c r="G145" s="5"/>
      <c r="H145" s="5"/>
      <c r="I145" s="5"/>
      <c r="J145" s="5"/>
      <c r="K145" s="5"/>
      <c r="L145" s="5"/>
      <c r="M145" s="5"/>
      <c r="N145" s="5"/>
      <c r="O145" s="5"/>
      <c r="P145" s="5"/>
      <c r="Q145" s="5"/>
      <c r="R145" s="5"/>
      <c r="S145" s="5"/>
      <c r="T145" s="374"/>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373"/>
      <c r="BF145" s="5"/>
      <c r="BG145" s="5"/>
      <c r="BH145" s="5"/>
      <c r="BI145" s="5"/>
      <c r="BJ145" s="5"/>
      <c r="BK145" s="5"/>
      <c r="BL145" s="5"/>
      <c r="BM145" s="5"/>
      <c r="BN145" s="5"/>
      <c r="BO145" s="5"/>
      <c r="BP145" s="5"/>
      <c r="BQ145" s="5"/>
      <c r="BR145" s="5"/>
      <c r="BS145" s="5"/>
      <c r="BT145" s="5"/>
      <c r="BU145" s="5"/>
      <c r="BV145" s="5"/>
      <c r="BW145" s="5"/>
      <c r="BX145" s="373"/>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372"/>
      <c r="CX145" s="5"/>
      <c r="CY145" s="5"/>
      <c r="CZ145" s="5"/>
      <c r="DA145" s="5"/>
      <c r="DB145" s="5"/>
      <c r="DC145" s="5"/>
      <c r="DD145" s="5"/>
      <c r="DE145" s="5"/>
      <c r="DF145" s="5"/>
      <c r="DG145" s="5"/>
      <c r="DH145" s="5"/>
      <c r="DI145" s="5"/>
      <c r="DJ145" s="5"/>
      <c r="DK145" s="5"/>
      <c r="DL145" s="5"/>
      <c r="DM145" s="5"/>
      <c r="DN145" s="5"/>
      <c r="DO145" s="5"/>
      <c r="DP145" s="5"/>
      <c r="DR145" s="372"/>
      <c r="DS145" s="5"/>
      <c r="DT145" s="5"/>
      <c r="DU145" s="5"/>
      <c r="DV145" s="5"/>
      <c r="DW145" s="5"/>
      <c r="DX145" s="5"/>
      <c r="DY145" s="5"/>
      <c r="DZ145" s="5"/>
      <c r="EA145" s="5"/>
      <c r="EB145" s="5"/>
      <c r="EC145" s="5"/>
      <c r="ED145" s="5"/>
      <c r="EE145" s="5"/>
      <c r="EF145" s="5"/>
      <c r="EG145" s="5"/>
      <c r="EH145" s="5"/>
      <c r="EI145" s="5"/>
      <c r="EJ145" s="5"/>
      <c r="EK145" s="5"/>
    </row>
    <row r="146" spans="1:141" ht="15.6">
      <c r="A146" s="5"/>
      <c r="B146" s="5" t="s">
        <v>943</v>
      </c>
      <c r="C146" s="161" t="s">
        <v>63</v>
      </c>
      <c r="D146" s="5" t="s">
        <v>944</v>
      </c>
      <c r="E146" s="5"/>
      <c r="F146" s="5"/>
      <c r="G146" s="5"/>
      <c r="H146" s="5"/>
      <c r="I146" s="5"/>
      <c r="J146" s="5"/>
      <c r="K146" s="5"/>
      <c r="L146" s="5"/>
      <c r="M146" s="5"/>
      <c r="N146" s="5"/>
      <c r="O146" s="5"/>
      <c r="P146" s="5"/>
      <c r="Q146" s="5"/>
      <c r="R146" s="5"/>
      <c r="S146" s="5"/>
      <c r="T146" s="374"/>
      <c r="U146" s="5"/>
      <c r="V146" s="161"/>
      <c r="W146" s="5"/>
      <c r="X146" s="5"/>
      <c r="Y146" s="5"/>
      <c r="Z146" s="5"/>
      <c r="AA146" s="5"/>
      <c r="AB146" s="5"/>
      <c r="AC146" s="5"/>
      <c r="AD146" s="5"/>
      <c r="AE146" s="5"/>
      <c r="AF146" s="5"/>
      <c r="AG146" s="5"/>
      <c r="AH146" s="5"/>
      <c r="AI146" s="5"/>
      <c r="AJ146" s="5"/>
      <c r="AK146" s="5"/>
      <c r="AL146" s="5"/>
      <c r="AM146" s="5"/>
      <c r="AN146" s="5" t="s">
        <v>943</v>
      </c>
      <c r="AO146" s="161" t="s">
        <v>63</v>
      </c>
      <c r="AP146" s="5" t="s">
        <v>944</v>
      </c>
      <c r="AQ146" s="5"/>
      <c r="AR146" s="5"/>
      <c r="AS146" s="5"/>
      <c r="AT146" s="5"/>
      <c r="AU146" s="5"/>
      <c r="AV146" s="5"/>
      <c r="AW146" s="5"/>
      <c r="AX146" s="5"/>
      <c r="AY146" s="5"/>
      <c r="AZ146" s="5"/>
      <c r="BA146" s="5"/>
      <c r="BB146" s="5"/>
      <c r="BC146" s="5"/>
      <c r="BD146" s="5"/>
      <c r="BE146" s="373"/>
      <c r="BF146" s="5"/>
      <c r="BG146" s="5" t="s">
        <v>943</v>
      </c>
      <c r="BH146" s="161" t="s">
        <v>63</v>
      </c>
      <c r="BI146" s="5" t="s">
        <v>944</v>
      </c>
      <c r="BJ146" s="5"/>
      <c r="BK146" s="5"/>
      <c r="BL146" s="5"/>
      <c r="BM146" s="5"/>
      <c r="BN146" s="5"/>
      <c r="BO146" s="5"/>
      <c r="BP146" s="5"/>
      <c r="BQ146" s="5"/>
      <c r="BR146" s="5"/>
      <c r="BS146" s="5"/>
      <c r="BT146" s="5"/>
      <c r="BU146" s="5"/>
      <c r="BV146" s="5"/>
      <c r="BW146" s="5"/>
      <c r="BX146" s="373"/>
      <c r="BY146" s="5"/>
      <c r="BZ146" s="5"/>
      <c r="CA146" s="5"/>
      <c r="CB146" s="5"/>
      <c r="CC146" s="5"/>
      <c r="CD146" s="5"/>
      <c r="CE146" s="5"/>
      <c r="CF146" s="161"/>
      <c r="CG146" s="5"/>
      <c r="CH146" s="5"/>
      <c r="CI146" s="5"/>
      <c r="CJ146" s="5"/>
      <c r="CK146" s="5"/>
      <c r="CL146" s="5"/>
      <c r="CM146" s="5"/>
      <c r="CN146" s="5"/>
      <c r="CO146" s="5"/>
      <c r="CP146" s="5"/>
      <c r="CQ146" s="5"/>
      <c r="CR146" s="5"/>
      <c r="CS146" s="5"/>
      <c r="CT146" s="5"/>
      <c r="CU146" s="5"/>
      <c r="CV146" s="5"/>
      <c r="CW146" s="372"/>
      <c r="CX146" s="5"/>
      <c r="CY146" s="5"/>
      <c r="CZ146" s="161"/>
      <c r="DA146" s="5"/>
      <c r="DB146" s="5"/>
      <c r="DC146" s="5"/>
      <c r="DD146" s="5"/>
      <c r="DE146" s="5"/>
      <c r="DF146" s="5"/>
      <c r="DG146" s="5"/>
      <c r="DH146" s="5"/>
      <c r="DI146" s="5"/>
      <c r="DJ146" s="5"/>
      <c r="DK146" s="5"/>
      <c r="DL146" s="5"/>
      <c r="DM146" s="5"/>
      <c r="DN146" s="5"/>
      <c r="DO146" s="5"/>
      <c r="DP146" s="5"/>
      <c r="DR146" s="372"/>
      <c r="DS146" s="5"/>
      <c r="DT146" s="5"/>
      <c r="DU146" s="161"/>
      <c r="DV146" s="5"/>
      <c r="DW146" s="5"/>
      <c r="DX146" s="5"/>
      <c r="DY146" s="5"/>
      <c r="DZ146" s="5"/>
      <c r="EA146" s="5"/>
      <c r="EB146" s="5"/>
      <c r="EC146" s="5"/>
      <c r="ED146" s="5"/>
      <c r="EE146" s="5"/>
      <c r="EF146" s="5"/>
      <c r="EG146" s="5"/>
      <c r="EH146" s="5"/>
      <c r="EI146" s="5"/>
      <c r="EJ146" s="5"/>
      <c r="EK146" s="5"/>
    </row>
    <row r="147" spans="1:141">
      <c r="A147" s="5"/>
      <c r="B147" s="5"/>
      <c r="C147" s="161" t="s">
        <v>63</v>
      </c>
      <c r="D147" s="716">
        <f>(E143+E144)*J138</f>
        <v>950</v>
      </c>
      <c r="E147" s="716"/>
      <c r="F147" s="5" t="s">
        <v>346</v>
      </c>
      <c r="G147" s="5"/>
      <c r="H147" s="5"/>
      <c r="I147" s="5"/>
      <c r="J147" s="5"/>
      <c r="K147" s="5"/>
      <c r="L147" s="5"/>
      <c r="M147" s="5"/>
      <c r="N147" s="5"/>
      <c r="O147" s="5"/>
      <c r="P147" s="5"/>
      <c r="Q147" s="5"/>
      <c r="R147" s="5"/>
      <c r="S147" s="5"/>
      <c r="T147" s="374"/>
      <c r="U147" s="5"/>
      <c r="V147" s="161"/>
      <c r="W147" s="5"/>
      <c r="X147" s="5"/>
      <c r="Y147" s="5"/>
      <c r="Z147" s="5"/>
      <c r="AA147" s="5"/>
      <c r="AB147" s="5"/>
      <c r="AC147" s="5"/>
      <c r="AD147" s="5"/>
      <c r="AE147" s="5"/>
      <c r="AF147" s="5"/>
      <c r="AG147" s="5"/>
      <c r="AH147" s="5"/>
      <c r="AI147" s="5"/>
      <c r="AJ147" s="5"/>
      <c r="AK147" s="5"/>
      <c r="AL147" s="5"/>
      <c r="AM147" s="5"/>
      <c r="AN147" s="5"/>
      <c r="AO147" s="161" t="s">
        <v>63</v>
      </c>
      <c r="AP147" s="716">
        <f>(AQ143+AQ144)*AV138</f>
        <v>1425</v>
      </c>
      <c r="AQ147" s="716"/>
      <c r="AR147" s="5" t="s">
        <v>346</v>
      </c>
      <c r="AS147" s="5"/>
      <c r="AT147" s="5"/>
      <c r="AU147" s="5"/>
      <c r="AV147" s="5"/>
      <c r="AW147" s="5"/>
      <c r="AX147" s="5"/>
      <c r="AY147" s="5"/>
      <c r="AZ147" s="5"/>
      <c r="BA147" s="5"/>
      <c r="BB147" s="5"/>
      <c r="BC147" s="5"/>
      <c r="BD147" s="5"/>
      <c r="BE147" s="373"/>
      <c r="BF147" s="5"/>
      <c r="BG147" s="5"/>
      <c r="BH147" s="161" t="s">
        <v>63</v>
      </c>
      <c r="BI147" s="716">
        <f>(BJ143+BJ144)*BO138</f>
        <v>1425</v>
      </c>
      <c r="BJ147" s="716"/>
      <c r="BK147" s="5" t="s">
        <v>346</v>
      </c>
      <c r="BL147" s="5"/>
      <c r="BM147" s="5"/>
      <c r="BN147" s="5"/>
      <c r="BO147" s="5"/>
      <c r="BP147" s="5"/>
      <c r="BQ147" s="5"/>
      <c r="BR147" s="5"/>
      <c r="BS147" s="5"/>
      <c r="BT147" s="5"/>
      <c r="BU147" s="5"/>
      <c r="BV147" s="5"/>
      <c r="BW147" s="5"/>
      <c r="BX147" s="373"/>
      <c r="BY147" s="5"/>
      <c r="BZ147" s="5"/>
      <c r="CA147" s="5"/>
      <c r="CB147" s="5"/>
      <c r="CC147" s="5"/>
      <c r="CD147" s="5"/>
      <c r="CE147" s="5"/>
      <c r="CF147" s="161"/>
      <c r="CG147" s="5"/>
      <c r="CH147" s="5"/>
      <c r="CI147" s="5"/>
      <c r="CJ147" s="5"/>
      <c r="CK147" s="5"/>
      <c r="CL147" s="5"/>
      <c r="CM147" s="5"/>
      <c r="CN147" s="5"/>
      <c r="CO147" s="5"/>
      <c r="CP147" s="5"/>
      <c r="CQ147" s="5"/>
      <c r="CR147" s="5"/>
      <c r="CS147" s="5"/>
      <c r="CT147" s="5"/>
      <c r="CU147" s="5"/>
      <c r="CV147" s="5"/>
      <c r="CW147" s="372"/>
      <c r="CX147" s="5"/>
      <c r="CY147" s="5"/>
      <c r="CZ147" s="161"/>
      <c r="DA147" s="5"/>
      <c r="DB147" s="5"/>
      <c r="DC147" s="5"/>
      <c r="DD147" s="5"/>
      <c r="DE147" s="5"/>
      <c r="DF147" s="5"/>
      <c r="DG147" s="5"/>
      <c r="DH147" s="5"/>
      <c r="DI147" s="5"/>
      <c r="DJ147" s="5"/>
      <c r="DK147" s="5"/>
      <c r="DL147" s="5"/>
      <c r="DM147" s="5"/>
      <c r="DN147" s="5"/>
      <c r="DO147" s="5"/>
      <c r="DP147" s="5"/>
      <c r="DR147" s="372"/>
      <c r="DS147" s="5"/>
      <c r="DT147" s="5"/>
      <c r="DU147" s="161"/>
      <c r="DV147" s="716"/>
      <c r="DW147" s="716"/>
      <c r="DX147" s="5"/>
      <c r="DY147" s="5"/>
      <c r="DZ147" s="5"/>
      <c r="EA147" s="5"/>
      <c r="EB147" s="5"/>
      <c r="EC147" s="5"/>
      <c r="ED147" s="5"/>
      <c r="EE147" s="5"/>
      <c r="EF147" s="5"/>
      <c r="EG147" s="5"/>
      <c r="EH147" s="5"/>
      <c r="EI147" s="5"/>
      <c r="EJ147" s="5"/>
      <c r="EK147" s="5"/>
    </row>
    <row r="148" spans="1:141">
      <c r="A148" s="5"/>
      <c r="B148" s="5"/>
      <c r="C148" s="161" t="s">
        <v>63</v>
      </c>
      <c r="D148" s="934">
        <f>D147/1000</f>
        <v>0.95</v>
      </c>
      <c r="E148" s="934"/>
      <c r="F148" s="5" t="s">
        <v>26</v>
      </c>
      <c r="G148" s="5"/>
      <c r="H148" s="5"/>
      <c r="I148" s="5"/>
      <c r="J148" s="5"/>
      <c r="K148" s="5"/>
      <c r="L148" s="5"/>
      <c r="M148" s="5"/>
      <c r="N148" s="5"/>
      <c r="O148" s="5"/>
      <c r="P148" s="5"/>
      <c r="Q148" s="5"/>
      <c r="R148" s="5"/>
      <c r="S148" s="5"/>
      <c r="T148" s="374"/>
      <c r="U148" s="5"/>
      <c r="V148" s="161"/>
      <c r="W148" s="389"/>
      <c r="X148" s="389"/>
      <c r="Y148" s="5"/>
      <c r="Z148" s="5"/>
      <c r="AA148" s="5"/>
      <c r="AB148" s="5"/>
      <c r="AC148" s="5"/>
      <c r="AD148" s="5"/>
      <c r="AE148" s="5"/>
      <c r="AF148" s="5"/>
      <c r="AG148" s="5"/>
      <c r="AH148" s="5"/>
      <c r="AI148" s="5"/>
      <c r="AJ148" s="5"/>
      <c r="AK148" s="5"/>
      <c r="AL148" s="5"/>
      <c r="AM148" s="5"/>
      <c r="AN148" s="5"/>
      <c r="AO148" s="161" t="s">
        <v>63</v>
      </c>
      <c r="AP148" s="934">
        <f>AP147/1000</f>
        <v>1.425</v>
      </c>
      <c r="AQ148" s="934"/>
      <c r="AR148" s="5" t="s">
        <v>26</v>
      </c>
      <c r="AS148" s="5"/>
      <c r="AT148" s="5"/>
      <c r="AU148" s="5"/>
      <c r="AV148" s="5"/>
      <c r="AW148" s="5"/>
      <c r="AX148" s="5"/>
      <c r="AY148" s="5"/>
      <c r="AZ148" s="5"/>
      <c r="BA148" s="5"/>
      <c r="BB148" s="5"/>
      <c r="BC148" s="5"/>
      <c r="BD148" s="5"/>
      <c r="BE148" s="373"/>
      <c r="BF148" s="5"/>
      <c r="BG148" s="5"/>
      <c r="BH148" s="161" t="s">
        <v>63</v>
      </c>
      <c r="BI148" s="934">
        <f>BI147/1000</f>
        <v>1.425</v>
      </c>
      <c r="BJ148" s="934"/>
      <c r="BK148" s="5" t="s">
        <v>26</v>
      </c>
      <c r="BL148" s="5"/>
      <c r="BM148" s="5"/>
      <c r="BN148" s="5"/>
      <c r="BO148" s="5"/>
      <c r="BP148" s="5"/>
      <c r="BQ148" s="5"/>
      <c r="BR148" s="5"/>
      <c r="BS148" s="5"/>
      <c r="BT148" s="5"/>
      <c r="BU148" s="5"/>
      <c r="BV148" s="5"/>
      <c r="BW148" s="5"/>
      <c r="BX148" s="373"/>
      <c r="BY148" s="5"/>
      <c r="BZ148" s="5"/>
      <c r="CA148" s="5"/>
      <c r="CB148" s="5"/>
      <c r="CC148" s="5"/>
      <c r="CD148" s="5"/>
      <c r="CE148" s="5"/>
      <c r="CF148" s="161"/>
      <c r="CG148" s="392"/>
      <c r="CH148" s="392"/>
      <c r="CI148" s="5"/>
      <c r="CJ148" s="5"/>
      <c r="CK148" s="5"/>
      <c r="CL148" s="5"/>
      <c r="CM148" s="5"/>
      <c r="CN148" s="5"/>
      <c r="CO148" s="5"/>
      <c r="CP148" s="5"/>
      <c r="CQ148" s="5"/>
      <c r="CR148" s="5"/>
      <c r="CS148" s="5"/>
      <c r="CT148" s="5"/>
      <c r="CU148" s="5"/>
      <c r="CV148" s="5"/>
      <c r="CW148" s="372"/>
      <c r="CX148" s="5"/>
      <c r="CY148" s="5"/>
      <c r="CZ148" s="161"/>
      <c r="DA148" s="392"/>
      <c r="DB148" s="392"/>
      <c r="DC148" s="5"/>
      <c r="DD148" s="5"/>
      <c r="DE148" s="5"/>
      <c r="DF148" s="5"/>
      <c r="DG148" s="5"/>
      <c r="DH148" s="5"/>
      <c r="DI148" s="5"/>
      <c r="DJ148" s="5"/>
      <c r="DK148" s="5"/>
      <c r="DL148" s="5"/>
      <c r="DM148" s="5"/>
      <c r="DN148" s="5"/>
      <c r="DO148" s="5"/>
      <c r="DP148" s="5"/>
      <c r="DR148" s="372"/>
      <c r="DS148" s="5"/>
      <c r="DT148" s="5"/>
      <c r="DU148" s="161"/>
      <c r="DV148" s="890"/>
      <c r="DW148" s="890"/>
      <c r="DX148" s="5"/>
      <c r="DY148" s="5"/>
      <c r="DZ148" s="5"/>
      <c r="EA148" s="5"/>
      <c r="EB148" s="5"/>
      <c r="EC148" s="5"/>
      <c r="ED148" s="5"/>
      <c r="EE148" s="5"/>
      <c r="EF148" s="5"/>
      <c r="EG148" s="5"/>
      <c r="EH148" s="5"/>
      <c r="EI148" s="5"/>
      <c r="EJ148" s="5"/>
      <c r="EK148" s="5"/>
    </row>
    <row r="149" spans="1:141">
      <c r="A149" s="5"/>
      <c r="B149" s="5"/>
      <c r="C149" s="5"/>
      <c r="D149" s="5"/>
      <c r="E149" s="5"/>
      <c r="F149" s="5"/>
      <c r="G149" s="5"/>
      <c r="H149" s="5"/>
      <c r="I149" s="5"/>
      <c r="J149" s="5"/>
      <c r="K149" s="5"/>
      <c r="L149" s="5"/>
      <c r="M149" s="5"/>
      <c r="N149" s="5"/>
      <c r="O149" s="5"/>
      <c r="P149" s="5"/>
      <c r="Q149" s="5"/>
      <c r="R149" s="5"/>
      <c r="S149" s="5"/>
      <c r="T149" s="374"/>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373"/>
      <c r="BF149" s="5"/>
      <c r="BG149" s="5"/>
      <c r="BH149" s="5"/>
      <c r="BI149" s="5"/>
      <c r="BJ149" s="5"/>
      <c r="BK149" s="5"/>
      <c r="BL149" s="5"/>
      <c r="BM149" s="5"/>
      <c r="BN149" s="5"/>
      <c r="BO149" s="5"/>
      <c r="BP149" s="5"/>
      <c r="BQ149" s="5"/>
      <c r="BR149" s="5"/>
      <c r="BS149" s="5"/>
      <c r="BT149" s="5"/>
      <c r="BU149" s="5"/>
      <c r="BV149" s="5"/>
      <c r="BW149" s="5"/>
      <c r="BX149" s="373"/>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372"/>
      <c r="CX149" s="5"/>
      <c r="CY149" s="5"/>
      <c r="CZ149" s="5"/>
      <c r="DA149" s="5"/>
      <c r="DB149" s="5"/>
      <c r="DC149" s="5"/>
      <c r="DD149" s="5"/>
      <c r="DE149" s="5"/>
      <c r="DF149" s="5"/>
      <c r="DG149" s="5"/>
      <c r="DH149" s="5"/>
      <c r="DI149" s="5"/>
      <c r="DJ149" s="5"/>
      <c r="DK149" s="5"/>
      <c r="DL149" s="5"/>
      <c r="DM149" s="5"/>
      <c r="DN149" s="5"/>
      <c r="DO149" s="5"/>
      <c r="DP149" s="5"/>
      <c r="DR149" s="372"/>
      <c r="DS149" s="5"/>
      <c r="DT149" s="5"/>
      <c r="DU149" s="5"/>
      <c r="DV149" s="5"/>
      <c r="DW149" s="5"/>
      <c r="DX149" s="5"/>
      <c r="DY149" s="5"/>
      <c r="DZ149" s="5"/>
      <c r="EA149" s="5"/>
      <c r="EB149" s="5"/>
      <c r="EC149" s="5"/>
      <c r="ED149" s="5"/>
      <c r="EE149" s="5"/>
      <c r="EF149" s="5"/>
      <c r="EG149" s="5"/>
      <c r="EH149" s="5"/>
      <c r="EI149" s="5"/>
      <c r="EJ149" s="5"/>
      <c r="EK149" s="5"/>
    </row>
    <row r="150" spans="1:141">
      <c r="A150" s="925" t="s">
        <v>945</v>
      </c>
      <c r="B150" s="926"/>
      <c r="C150" s="926"/>
      <c r="D150" s="926"/>
      <c r="E150" s="926"/>
      <c r="F150" s="926"/>
      <c r="G150" s="926"/>
      <c r="H150" s="926"/>
      <c r="I150" s="926"/>
      <c r="J150" s="926"/>
      <c r="K150" s="926"/>
      <c r="L150" s="926"/>
      <c r="M150" s="926"/>
      <c r="N150" s="926"/>
      <c r="O150" s="926"/>
      <c r="P150" s="926"/>
      <c r="Q150" s="926"/>
      <c r="R150" s="926"/>
      <c r="S150" s="926"/>
      <c r="T150" s="434"/>
      <c r="U150" s="371"/>
      <c r="V150" s="371"/>
      <c r="W150" s="371"/>
      <c r="X150" s="371"/>
      <c r="Y150" s="371"/>
      <c r="Z150" s="371"/>
      <c r="AA150" s="371"/>
      <c r="AB150" s="371"/>
      <c r="AC150" s="371"/>
      <c r="AD150" s="371"/>
      <c r="AE150" s="371"/>
      <c r="AF150" s="371"/>
      <c r="AG150" s="371"/>
      <c r="AH150" s="371"/>
      <c r="AI150" s="371"/>
      <c r="AJ150" s="371"/>
      <c r="AK150" s="371"/>
      <c r="AL150" s="371"/>
      <c r="AM150" s="942" t="s">
        <v>945</v>
      </c>
      <c r="AN150" s="942"/>
      <c r="AO150" s="942"/>
      <c r="AP150" s="942"/>
      <c r="AQ150" s="942"/>
      <c r="AR150" s="942"/>
      <c r="AS150" s="942"/>
      <c r="AT150" s="942"/>
      <c r="AU150" s="942"/>
      <c r="AV150" s="942"/>
      <c r="AW150" s="942"/>
      <c r="AX150" s="942"/>
      <c r="AY150" s="942"/>
      <c r="AZ150" s="942"/>
      <c r="BA150" s="942"/>
      <c r="BB150" s="942"/>
      <c r="BC150" s="942"/>
      <c r="BD150" s="942"/>
      <c r="BE150" s="943"/>
      <c r="BF150" s="944" t="s">
        <v>945</v>
      </c>
      <c r="BG150" s="942"/>
      <c r="BH150" s="942"/>
      <c r="BI150" s="942"/>
      <c r="BJ150" s="942"/>
      <c r="BK150" s="942"/>
      <c r="BL150" s="942"/>
      <c r="BM150" s="942"/>
      <c r="BN150" s="942"/>
      <c r="BO150" s="942"/>
      <c r="BP150" s="942"/>
      <c r="BQ150" s="942"/>
      <c r="BR150" s="942"/>
      <c r="BS150" s="942"/>
      <c r="BT150" s="942"/>
      <c r="BU150" s="942"/>
      <c r="BV150" s="942"/>
      <c r="BW150" s="942"/>
      <c r="BX150" s="943"/>
      <c r="BY150" s="391"/>
      <c r="BZ150" s="391"/>
      <c r="CA150" s="391"/>
      <c r="CB150" s="391"/>
      <c r="CC150" s="391"/>
      <c r="CD150" s="371"/>
      <c r="CE150" s="371"/>
      <c r="CF150" s="371"/>
      <c r="CG150" s="371"/>
      <c r="CH150" s="371"/>
      <c r="CI150" s="371"/>
      <c r="CJ150" s="371"/>
      <c r="CK150" s="371"/>
      <c r="CL150" s="371"/>
      <c r="CM150" s="371"/>
      <c r="CN150" s="371"/>
      <c r="CO150" s="371"/>
      <c r="CP150" s="371"/>
      <c r="CQ150" s="371"/>
      <c r="CR150" s="371"/>
      <c r="CS150" s="371"/>
      <c r="CT150" s="371"/>
      <c r="CU150" s="371"/>
      <c r="CV150" s="371"/>
      <c r="CW150" s="372"/>
      <c r="CX150" s="371"/>
      <c r="CY150" s="371"/>
      <c r="CZ150" s="371"/>
      <c r="DA150" s="371"/>
      <c r="DB150" s="371"/>
      <c r="DC150" s="371"/>
      <c r="DD150" s="371"/>
      <c r="DE150" s="371"/>
      <c r="DF150" s="371"/>
      <c r="DG150" s="371"/>
      <c r="DH150" s="371"/>
      <c r="DI150" s="371"/>
      <c r="DJ150" s="371"/>
      <c r="DK150" s="371"/>
      <c r="DL150" s="371"/>
      <c r="DM150" s="371"/>
      <c r="DN150" s="371"/>
      <c r="DO150" s="371"/>
      <c r="DP150" s="371"/>
      <c r="DR150" s="372"/>
      <c r="DS150" s="888"/>
      <c r="DT150" s="888"/>
      <c r="DU150" s="888"/>
      <c r="DV150" s="888"/>
      <c r="DW150" s="888"/>
      <c r="DX150" s="888"/>
      <c r="DY150" s="888"/>
      <c r="DZ150" s="888"/>
      <c r="EA150" s="888"/>
      <c r="EB150" s="888"/>
      <c r="EC150" s="888"/>
      <c r="ED150" s="888"/>
      <c r="EE150" s="888"/>
      <c r="EF150" s="888"/>
      <c r="EG150" s="888"/>
      <c r="EH150" s="888"/>
      <c r="EI150" s="888"/>
      <c r="EJ150" s="888"/>
      <c r="EK150" s="888"/>
    </row>
    <row r="151" spans="1:141" ht="15.6">
      <c r="A151" s="5"/>
      <c r="B151" s="5" t="s">
        <v>946</v>
      </c>
      <c r="C151" s="161" t="s">
        <v>63</v>
      </c>
      <c r="D151" s="5" t="s">
        <v>947</v>
      </c>
      <c r="E151" s="5"/>
      <c r="F151" s="5"/>
      <c r="G151" s="5"/>
      <c r="H151" s="5" t="s">
        <v>854</v>
      </c>
      <c r="I151" s="5"/>
      <c r="J151" s="5"/>
      <c r="K151" s="5"/>
      <c r="L151" s="5"/>
      <c r="M151" s="5"/>
      <c r="N151" s="5"/>
      <c r="O151" s="5"/>
      <c r="P151" s="5"/>
      <c r="Q151" s="5"/>
      <c r="R151" s="5"/>
      <c r="S151" s="5"/>
      <c r="T151" s="374"/>
      <c r="U151" s="5"/>
      <c r="V151" s="161"/>
      <c r="W151" s="5"/>
      <c r="X151" s="5"/>
      <c r="Y151" s="5"/>
      <c r="Z151" s="5"/>
      <c r="AA151" s="5"/>
      <c r="AB151" s="5"/>
      <c r="AC151" s="5"/>
      <c r="AD151" s="5"/>
      <c r="AE151" s="5"/>
      <c r="AF151" s="5"/>
      <c r="AG151" s="5"/>
      <c r="AH151" s="5"/>
      <c r="AI151" s="5"/>
      <c r="AJ151" s="5"/>
      <c r="AK151" s="5"/>
      <c r="AL151" s="5"/>
      <c r="AM151" s="5"/>
      <c r="AN151" s="5" t="s">
        <v>946</v>
      </c>
      <c r="AO151" s="161" t="s">
        <v>63</v>
      </c>
      <c r="AP151" s="5" t="s">
        <v>947</v>
      </c>
      <c r="AQ151" s="5"/>
      <c r="AR151" s="5"/>
      <c r="AS151" s="5"/>
      <c r="AT151" s="5" t="s">
        <v>854</v>
      </c>
      <c r="AU151" s="5"/>
      <c r="AV151" s="5"/>
      <c r="AW151" s="5"/>
      <c r="AX151" s="5"/>
      <c r="AY151" s="5"/>
      <c r="AZ151" s="5"/>
      <c r="BA151" s="5"/>
      <c r="BB151" s="5"/>
      <c r="BC151" s="5"/>
      <c r="BD151" s="5"/>
      <c r="BE151" s="373"/>
      <c r="BF151" s="5"/>
      <c r="BG151" s="5" t="s">
        <v>946</v>
      </c>
      <c r="BH151" s="161" t="s">
        <v>63</v>
      </c>
      <c r="BI151" s="5" t="s">
        <v>947</v>
      </c>
      <c r="BJ151" s="5"/>
      <c r="BK151" s="5"/>
      <c r="BL151" s="5"/>
      <c r="BM151" s="5" t="s">
        <v>854</v>
      </c>
      <c r="BN151" s="5"/>
      <c r="BO151" s="5"/>
      <c r="BP151" s="5"/>
      <c r="BQ151" s="5"/>
      <c r="BR151" s="5"/>
      <c r="BS151" s="5"/>
      <c r="BT151" s="5"/>
      <c r="BU151" s="5"/>
      <c r="BV151" s="5"/>
      <c r="BW151" s="5"/>
      <c r="BX151" s="373"/>
      <c r="BY151" s="5"/>
      <c r="BZ151" s="5"/>
      <c r="CA151" s="5"/>
      <c r="CB151" s="5"/>
      <c r="CC151" s="5"/>
      <c r="CD151" s="5"/>
      <c r="CE151" s="5"/>
      <c r="CF151" s="161"/>
      <c r="CG151" s="5"/>
      <c r="CH151" s="5"/>
      <c r="CI151" s="5"/>
      <c r="CJ151" s="5"/>
      <c r="CK151" s="5"/>
      <c r="CL151" s="5"/>
      <c r="CM151" s="5"/>
      <c r="CN151" s="5"/>
      <c r="CO151" s="5"/>
      <c r="CP151" s="5"/>
      <c r="CQ151" s="5"/>
      <c r="CR151" s="5"/>
      <c r="CS151" s="5"/>
      <c r="CT151" s="5"/>
      <c r="CU151" s="5"/>
      <c r="CV151" s="5"/>
      <c r="CW151" s="372"/>
      <c r="CX151" s="5"/>
      <c r="CY151" s="5"/>
      <c r="CZ151" s="161"/>
      <c r="DA151" s="5"/>
      <c r="DB151" s="5"/>
      <c r="DC151" s="5"/>
      <c r="DD151" s="5"/>
      <c r="DE151" s="5"/>
      <c r="DF151" s="5"/>
      <c r="DG151" s="5"/>
      <c r="DH151" s="5"/>
      <c r="DI151" s="5"/>
      <c r="DJ151" s="5"/>
      <c r="DK151" s="5"/>
      <c r="DL151" s="5"/>
      <c r="DM151" s="5"/>
      <c r="DN151" s="5"/>
      <c r="DO151" s="5"/>
      <c r="DP151" s="5"/>
      <c r="DR151" s="372"/>
      <c r="DS151" s="5"/>
      <c r="DT151" s="5"/>
      <c r="DU151" s="161"/>
      <c r="DV151" s="5"/>
      <c r="DW151" s="5"/>
      <c r="DX151" s="5"/>
      <c r="DY151" s="5"/>
      <c r="DZ151" s="5"/>
      <c r="EA151" s="5"/>
      <c r="EB151" s="5"/>
      <c r="EC151" s="5"/>
      <c r="ED151" s="5"/>
      <c r="EE151" s="5"/>
      <c r="EF151" s="5"/>
      <c r="EG151" s="5"/>
      <c r="EH151" s="5"/>
      <c r="EI151" s="5"/>
      <c r="EJ151" s="5"/>
      <c r="EK151" s="5"/>
    </row>
    <row r="152" spans="1:141">
      <c r="A152" s="5"/>
      <c r="B152" s="5"/>
      <c r="C152" s="161" t="s">
        <v>63</v>
      </c>
      <c r="D152" s="375" t="s">
        <v>948</v>
      </c>
      <c r="E152" s="5"/>
      <c r="F152" s="5"/>
      <c r="G152" s="5"/>
      <c r="H152" s="5"/>
      <c r="I152" s="5"/>
      <c r="J152" s="5"/>
      <c r="K152" s="5"/>
      <c r="L152" s="5"/>
      <c r="M152" s="5"/>
      <c r="N152" s="5"/>
      <c r="O152" s="5"/>
      <c r="P152" s="5"/>
      <c r="Q152" s="5"/>
      <c r="R152" s="5"/>
      <c r="S152" s="5"/>
      <c r="T152" s="374"/>
      <c r="U152" s="5"/>
      <c r="V152" s="161"/>
      <c r="W152" s="375"/>
      <c r="X152" s="5"/>
      <c r="Y152" s="5"/>
      <c r="Z152" s="5"/>
      <c r="AA152" s="5"/>
      <c r="AB152" s="5"/>
      <c r="AC152" s="5"/>
      <c r="AD152" s="5"/>
      <c r="AE152" s="5"/>
      <c r="AF152" s="5"/>
      <c r="AG152" s="5"/>
      <c r="AH152" s="5"/>
      <c r="AI152" s="5"/>
      <c r="AJ152" s="5"/>
      <c r="AK152" s="5"/>
      <c r="AL152" s="5"/>
      <c r="AM152" s="5"/>
      <c r="AN152" s="5"/>
      <c r="AO152" s="161" t="s">
        <v>63</v>
      </c>
      <c r="AP152" s="375" t="s">
        <v>948</v>
      </c>
      <c r="AQ152" s="5"/>
      <c r="AR152" s="5"/>
      <c r="AS152" s="5"/>
      <c r="AT152" s="5"/>
      <c r="AU152" s="5"/>
      <c r="AV152" s="5"/>
      <c r="AW152" s="5"/>
      <c r="AX152" s="5"/>
      <c r="AY152" s="5"/>
      <c r="AZ152" s="5"/>
      <c r="BA152" s="5"/>
      <c r="BB152" s="5"/>
      <c r="BC152" s="5"/>
      <c r="BD152" s="5"/>
      <c r="BE152" s="373"/>
      <c r="BF152" s="5"/>
      <c r="BG152" s="5"/>
      <c r="BH152" s="161" t="s">
        <v>63</v>
      </c>
      <c r="BI152" s="375" t="s">
        <v>948</v>
      </c>
      <c r="BJ152" s="5"/>
      <c r="BK152" s="5"/>
      <c r="BL152" s="5"/>
      <c r="BM152" s="5"/>
      <c r="BN152" s="5"/>
      <c r="BO152" s="5"/>
      <c r="BP152" s="5"/>
      <c r="BQ152" s="5"/>
      <c r="BR152" s="5"/>
      <c r="BS152" s="5"/>
      <c r="BT152" s="5"/>
      <c r="BU152" s="5"/>
      <c r="BV152" s="5"/>
      <c r="BW152" s="5"/>
      <c r="BX152" s="373"/>
      <c r="BY152" s="5"/>
      <c r="BZ152" s="5"/>
      <c r="CA152" s="5"/>
      <c r="CB152" s="5"/>
      <c r="CC152" s="5"/>
      <c r="CD152" s="5"/>
      <c r="CE152" s="5"/>
      <c r="CF152" s="161"/>
      <c r="CG152" s="5"/>
      <c r="CH152" s="5"/>
      <c r="CI152" s="5"/>
      <c r="CJ152" s="5"/>
      <c r="CK152" s="5"/>
      <c r="CL152" s="5"/>
      <c r="CM152" s="5"/>
      <c r="CN152" s="5"/>
      <c r="CO152" s="5"/>
      <c r="CP152" s="5"/>
      <c r="CQ152" s="5"/>
      <c r="CR152" s="5"/>
      <c r="CS152" s="5"/>
      <c r="CT152" s="5"/>
      <c r="CU152" s="5"/>
      <c r="CV152" s="5"/>
      <c r="CW152" s="372"/>
      <c r="CX152" s="5"/>
      <c r="CY152" s="5"/>
      <c r="CZ152" s="161"/>
      <c r="DA152" s="5"/>
      <c r="DB152" s="5"/>
      <c r="DC152" s="5"/>
      <c r="DD152" s="5"/>
      <c r="DE152" s="5"/>
      <c r="DF152" s="5"/>
      <c r="DG152" s="5"/>
      <c r="DH152" s="5"/>
      <c r="DI152" s="5"/>
      <c r="DJ152" s="5"/>
      <c r="DK152" s="5"/>
      <c r="DL152" s="5"/>
      <c r="DM152" s="5"/>
      <c r="DN152" s="5"/>
      <c r="DO152" s="5"/>
      <c r="DP152" s="5"/>
      <c r="DR152" s="372"/>
      <c r="DS152" s="5"/>
      <c r="DT152" s="5"/>
      <c r="DU152" s="161"/>
      <c r="DV152" s="5"/>
      <c r="DW152" s="5"/>
      <c r="DX152" s="5"/>
      <c r="DY152" s="5"/>
      <c r="DZ152" s="5"/>
      <c r="EA152" s="5"/>
      <c r="EB152" s="5"/>
      <c r="EC152" s="5"/>
      <c r="ED152" s="5"/>
      <c r="EE152" s="5"/>
      <c r="EF152" s="5"/>
      <c r="EG152" s="5"/>
      <c r="EH152" s="5"/>
      <c r="EI152" s="5"/>
      <c r="EJ152" s="5"/>
      <c r="EK152" s="5"/>
    </row>
    <row r="153" spans="1:141">
      <c r="A153" s="5"/>
      <c r="B153" s="5"/>
      <c r="C153" s="161" t="s">
        <v>63</v>
      </c>
      <c r="D153" s="931">
        <f>1.5%*[3]HOLTROP!G29</f>
        <v>362.5966782523318</v>
      </c>
      <c r="E153" s="931"/>
      <c r="F153" s="5" t="s">
        <v>26</v>
      </c>
      <c r="G153" s="5"/>
      <c r="H153" s="5"/>
      <c r="I153" s="5"/>
      <c r="J153" s="5"/>
      <c r="K153" s="5"/>
      <c r="L153" s="5"/>
      <c r="M153" s="5"/>
      <c r="N153" s="5"/>
      <c r="O153" s="5"/>
      <c r="P153" s="5"/>
      <c r="Q153" s="5"/>
      <c r="R153" s="5"/>
      <c r="S153" s="5"/>
      <c r="T153" s="374"/>
      <c r="U153" s="5"/>
      <c r="V153" s="161"/>
      <c r="W153" s="426"/>
      <c r="X153" s="426"/>
      <c r="Y153" s="5"/>
      <c r="Z153" s="5"/>
      <c r="AA153" s="5"/>
      <c r="AB153" s="5"/>
      <c r="AC153" s="5"/>
      <c r="AD153" s="5"/>
      <c r="AE153" s="5"/>
      <c r="AF153" s="5"/>
      <c r="AG153" s="5"/>
      <c r="AH153" s="5"/>
      <c r="AI153" s="5"/>
      <c r="AJ153" s="5"/>
      <c r="AK153" s="5"/>
      <c r="AL153" s="5"/>
      <c r="AM153" s="5"/>
      <c r="AN153" s="5"/>
      <c r="AO153" s="161" t="s">
        <v>63</v>
      </c>
      <c r="AP153" s="931">
        <f>1.5%*[3]HOLTROP!AS29</f>
        <v>0</v>
      </c>
      <c r="AQ153" s="931"/>
      <c r="AR153" s="5" t="s">
        <v>26</v>
      </c>
      <c r="AS153" s="5"/>
      <c r="AT153" s="5"/>
      <c r="AU153" s="5"/>
      <c r="AV153" s="5"/>
      <c r="AW153" s="5"/>
      <c r="AX153" s="5"/>
      <c r="AY153" s="5"/>
      <c r="AZ153" s="5"/>
      <c r="BA153" s="5"/>
      <c r="BB153" s="5"/>
      <c r="BC153" s="5"/>
      <c r="BD153" s="5"/>
      <c r="BE153" s="373"/>
      <c r="BF153" s="5"/>
      <c r="BG153" s="5"/>
      <c r="BH153" s="161" t="s">
        <v>63</v>
      </c>
      <c r="BI153" s="931">
        <f>1.5%*[3]HOLTROP!BL29</f>
        <v>0</v>
      </c>
      <c r="BJ153" s="931"/>
      <c r="BK153" s="5" t="s">
        <v>26</v>
      </c>
      <c r="BL153" s="5"/>
      <c r="BM153" s="5"/>
      <c r="BN153" s="5"/>
      <c r="BO153" s="5"/>
      <c r="BP153" s="5"/>
      <c r="BQ153" s="5"/>
      <c r="BR153" s="5"/>
      <c r="BS153" s="5"/>
      <c r="BT153" s="5"/>
      <c r="BU153" s="5"/>
      <c r="BV153" s="5"/>
      <c r="BW153" s="5"/>
      <c r="BX153" s="373"/>
      <c r="BY153" s="5"/>
      <c r="BZ153" s="5"/>
      <c r="CA153" s="5"/>
      <c r="CB153" s="5"/>
      <c r="CC153" s="5"/>
      <c r="CD153" s="5"/>
      <c r="CE153" s="5"/>
      <c r="CF153" s="161"/>
      <c r="CG153" s="377"/>
      <c r="CH153" s="377"/>
      <c r="CI153" s="5"/>
      <c r="CJ153" s="5"/>
      <c r="CK153" s="5"/>
      <c r="CL153" s="5"/>
      <c r="CM153" s="5"/>
      <c r="CN153" s="5"/>
      <c r="CO153" s="5"/>
      <c r="CP153" s="5"/>
      <c r="CQ153" s="5"/>
      <c r="CR153" s="5"/>
      <c r="CS153" s="5"/>
      <c r="CT153" s="5"/>
      <c r="CU153" s="5"/>
      <c r="CV153" s="5"/>
      <c r="CW153" s="372"/>
      <c r="CX153" s="5"/>
      <c r="CY153" s="5"/>
      <c r="CZ153" s="161"/>
      <c r="DA153" s="377"/>
      <c r="DB153" s="377"/>
      <c r="DC153" s="5"/>
      <c r="DD153" s="5"/>
      <c r="DE153" s="5"/>
      <c r="DF153" s="5"/>
      <c r="DG153" s="5"/>
      <c r="DH153" s="5"/>
      <c r="DI153" s="5"/>
      <c r="DJ153" s="5"/>
      <c r="DK153" s="5"/>
      <c r="DL153" s="5"/>
      <c r="DM153" s="5"/>
      <c r="DN153" s="5"/>
      <c r="DO153" s="5"/>
      <c r="DP153" s="5"/>
      <c r="DR153" s="372"/>
      <c r="DS153" s="5"/>
      <c r="DT153" s="5"/>
      <c r="DU153" s="161"/>
      <c r="DV153" s="910"/>
      <c r="DW153" s="910"/>
      <c r="DX153" s="5"/>
      <c r="DY153" s="5"/>
      <c r="DZ153" s="5"/>
      <c r="EA153" s="5"/>
      <c r="EB153" s="5"/>
      <c r="EC153" s="5"/>
      <c r="ED153" s="5"/>
      <c r="EE153" s="5"/>
      <c r="EF153" s="5"/>
      <c r="EG153" s="5"/>
      <c r="EH153" s="5"/>
      <c r="EI153" s="5"/>
      <c r="EJ153" s="5"/>
      <c r="EK153" s="5"/>
    </row>
    <row r="154" spans="1:141">
      <c r="A154" s="925" t="s">
        <v>949</v>
      </c>
      <c r="B154" s="926"/>
      <c r="C154" s="926"/>
      <c r="D154" s="926"/>
      <c r="E154" s="926"/>
      <c r="F154" s="926"/>
      <c r="G154" s="926"/>
      <c r="H154" s="926"/>
      <c r="I154" s="926"/>
      <c r="J154" s="926"/>
      <c r="K154" s="926"/>
      <c r="L154" s="926"/>
      <c r="M154" s="926"/>
      <c r="N154" s="926"/>
      <c r="O154" s="926"/>
      <c r="P154" s="926"/>
      <c r="Q154" s="926"/>
      <c r="R154" s="926"/>
      <c r="S154" s="926"/>
      <c r="T154" s="434"/>
      <c r="U154" s="371"/>
      <c r="V154" s="371"/>
      <c r="W154" s="371"/>
      <c r="X154" s="371"/>
      <c r="Y154" s="371"/>
      <c r="Z154" s="371"/>
      <c r="AA154" s="371"/>
      <c r="AB154" s="371"/>
      <c r="AC154" s="371"/>
      <c r="AD154" s="371"/>
      <c r="AE154" s="371"/>
      <c r="AF154" s="371"/>
      <c r="AG154" s="371"/>
      <c r="AH154" s="371"/>
      <c r="AI154" s="371"/>
      <c r="AJ154" s="371"/>
      <c r="AK154" s="371"/>
      <c r="AL154" s="371"/>
      <c r="AM154" s="939" t="s">
        <v>949</v>
      </c>
      <c r="AN154" s="939"/>
      <c r="AO154" s="939"/>
      <c r="AP154" s="939"/>
      <c r="AQ154" s="939"/>
      <c r="AR154" s="939"/>
      <c r="AS154" s="939"/>
      <c r="AT154" s="939"/>
      <c r="AU154" s="939"/>
      <c r="AV154" s="939"/>
      <c r="AW154" s="939"/>
      <c r="AX154" s="939"/>
      <c r="AY154" s="939"/>
      <c r="AZ154" s="939"/>
      <c r="BA154" s="939"/>
      <c r="BB154" s="939"/>
      <c r="BC154" s="939"/>
      <c r="BD154" s="939"/>
      <c r="BE154" s="940"/>
      <c r="BF154" s="941" t="s">
        <v>949</v>
      </c>
      <c r="BG154" s="939"/>
      <c r="BH154" s="939"/>
      <c r="BI154" s="939"/>
      <c r="BJ154" s="939"/>
      <c r="BK154" s="939"/>
      <c r="BL154" s="939"/>
      <c r="BM154" s="939"/>
      <c r="BN154" s="939"/>
      <c r="BO154" s="939"/>
      <c r="BP154" s="939"/>
      <c r="BQ154" s="939"/>
      <c r="BR154" s="939"/>
      <c r="BS154" s="939"/>
      <c r="BT154" s="939"/>
      <c r="BU154" s="939"/>
      <c r="BV154" s="939"/>
      <c r="BW154" s="939"/>
      <c r="BX154" s="940"/>
      <c r="BY154" s="391"/>
      <c r="BZ154" s="391"/>
      <c r="CA154" s="391"/>
      <c r="CB154" s="391"/>
      <c r="CC154" s="391"/>
      <c r="CD154" s="371"/>
      <c r="CE154" s="371"/>
      <c r="CF154" s="371"/>
      <c r="CG154" s="371"/>
      <c r="CH154" s="371"/>
      <c r="CI154" s="371"/>
      <c r="CJ154" s="371"/>
      <c r="CK154" s="371"/>
      <c r="CL154" s="371"/>
      <c r="CM154" s="371"/>
      <c r="CN154" s="371"/>
      <c r="CO154" s="371"/>
      <c r="CP154" s="371"/>
      <c r="CQ154" s="371"/>
      <c r="CR154" s="371"/>
      <c r="CS154" s="371"/>
      <c r="CT154" s="371"/>
      <c r="CU154" s="371"/>
      <c r="CV154" s="371"/>
      <c r="CW154" s="372"/>
      <c r="CX154" s="371"/>
      <c r="CY154" s="371"/>
      <c r="CZ154" s="371"/>
      <c r="DA154" s="371"/>
      <c r="DB154" s="371"/>
      <c r="DC154" s="371"/>
      <c r="DD154" s="371"/>
      <c r="DE154" s="371"/>
      <c r="DF154" s="371"/>
      <c r="DG154" s="371"/>
      <c r="DH154" s="371"/>
      <c r="DI154" s="371"/>
      <c r="DJ154" s="371"/>
      <c r="DK154" s="371"/>
      <c r="DL154" s="371"/>
      <c r="DM154" s="371"/>
      <c r="DN154" s="371"/>
      <c r="DO154" s="371"/>
      <c r="DP154" s="371"/>
      <c r="DR154" s="372"/>
      <c r="DS154" s="888"/>
      <c r="DT154" s="888"/>
      <c r="DU154" s="888"/>
      <c r="DV154" s="888"/>
      <c r="DW154" s="888"/>
      <c r="DX154" s="888"/>
      <c r="DY154" s="888"/>
      <c r="DZ154" s="888"/>
      <c r="EA154" s="888"/>
      <c r="EB154" s="888"/>
      <c r="EC154" s="888"/>
      <c r="ED154" s="888"/>
      <c r="EE154" s="888"/>
      <c r="EF154" s="888"/>
      <c r="EG154" s="888"/>
      <c r="EH154" s="888"/>
      <c r="EI154" s="888"/>
      <c r="EJ154" s="888"/>
      <c r="EK154" s="888"/>
    </row>
    <row r="155" spans="1:141">
      <c r="A155" s="5"/>
      <c r="B155" s="5" t="s">
        <v>950</v>
      </c>
      <c r="C155" s="161" t="s">
        <v>63</v>
      </c>
      <c r="D155" s="5" t="s">
        <v>951</v>
      </c>
      <c r="E155" s="5"/>
      <c r="F155" s="5"/>
      <c r="G155" s="5"/>
      <c r="H155" s="5"/>
      <c r="I155" s="5"/>
      <c r="J155" s="5"/>
      <c r="K155" s="5"/>
      <c r="L155" s="5"/>
      <c r="M155" s="5"/>
      <c r="N155" s="5"/>
      <c r="O155" s="5"/>
      <c r="P155" s="5"/>
      <c r="Q155" s="5"/>
      <c r="R155" s="5"/>
      <c r="S155" s="5"/>
      <c r="T155" s="374"/>
      <c r="U155" s="5"/>
      <c r="V155" s="161"/>
      <c r="W155" s="5"/>
      <c r="X155" s="5"/>
      <c r="Y155" s="5"/>
      <c r="Z155" s="5"/>
      <c r="AA155" s="5"/>
      <c r="AB155" s="5"/>
      <c r="AC155" s="5"/>
      <c r="AD155" s="5"/>
      <c r="AE155" s="5"/>
      <c r="AF155" s="5"/>
      <c r="AG155" s="5"/>
      <c r="AH155" s="5"/>
      <c r="AI155" s="5"/>
      <c r="AJ155" s="5"/>
      <c r="AK155" s="5"/>
      <c r="AL155" s="5"/>
      <c r="AM155" s="5"/>
      <c r="AN155" s="5" t="s">
        <v>950</v>
      </c>
      <c r="AO155" s="161" t="s">
        <v>63</v>
      </c>
      <c r="AP155" s="5" t="s">
        <v>951</v>
      </c>
      <c r="AQ155" s="5"/>
      <c r="AR155" s="5"/>
      <c r="AS155" s="5"/>
      <c r="AT155" s="5"/>
      <c r="AU155" s="5"/>
      <c r="AV155" s="5"/>
      <c r="AW155" s="5"/>
      <c r="AX155" s="5"/>
      <c r="AY155" s="5"/>
      <c r="AZ155" s="5"/>
      <c r="BA155" s="5"/>
      <c r="BB155" s="5"/>
      <c r="BC155" s="5"/>
      <c r="BD155" s="5"/>
      <c r="BE155" s="373"/>
      <c r="BF155" s="5"/>
      <c r="BG155" s="5" t="s">
        <v>950</v>
      </c>
      <c r="BH155" s="161" t="s">
        <v>63</v>
      </c>
      <c r="BI155" s="5" t="s">
        <v>951</v>
      </c>
      <c r="BJ155" s="5"/>
      <c r="BK155" s="5"/>
      <c r="BL155" s="5"/>
      <c r="BM155" s="5"/>
      <c r="BN155" s="5"/>
      <c r="BO155" s="5"/>
      <c r="BP155" s="5"/>
      <c r="BQ155" s="5"/>
      <c r="BR155" s="5"/>
      <c r="BS155" s="5"/>
      <c r="BT155" s="5"/>
      <c r="BU155" s="5"/>
      <c r="BV155" s="5"/>
      <c r="BW155" s="5"/>
      <c r="BX155" s="373"/>
      <c r="BY155" s="5"/>
      <c r="BZ155" s="5"/>
      <c r="CA155" s="5"/>
      <c r="CB155" s="5"/>
      <c r="CC155" s="5"/>
      <c r="CD155" s="5"/>
      <c r="CE155" s="5"/>
      <c r="CF155" s="161"/>
      <c r="CG155" s="5"/>
      <c r="CH155" s="5"/>
      <c r="CI155" s="5"/>
      <c r="CJ155" s="5"/>
      <c r="CK155" s="5"/>
      <c r="CL155" s="5"/>
      <c r="CM155" s="5"/>
      <c r="CN155" s="5"/>
      <c r="CO155" s="5"/>
      <c r="CP155" s="5"/>
      <c r="CQ155" s="5"/>
      <c r="CR155" s="5"/>
      <c r="CS155" s="5"/>
      <c r="CT155" s="5"/>
      <c r="CU155" s="5"/>
      <c r="CV155" s="5"/>
      <c r="CW155" s="372"/>
      <c r="CX155" s="5"/>
      <c r="CY155" s="5"/>
      <c r="CZ155" s="161"/>
      <c r="DA155" s="5"/>
      <c r="DB155" s="5"/>
      <c r="DC155" s="5"/>
      <c r="DD155" s="5"/>
      <c r="DE155" s="5"/>
      <c r="DF155" s="5"/>
      <c r="DG155" s="5"/>
      <c r="DH155" s="5"/>
      <c r="DI155" s="5"/>
      <c r="DJ155" s="5"/>
      <c r="DK155" s="5"/>
      <c r="DL155" s="5"/>
      <c r="DM155" s="5"/>
      <c r="DN155" s="5"/>
      <c r="DO155" s="5"/>
      <c r="DP155" s="5"/>
      <c r="DR155" s="372"/>
      <c r="DS155" s="5"/>
      <c r="DT155" s="5"/>
      <c r="DU155" s="161"/>
      <c r="DV155" s="5"/>
      <c r="DW155" s="5"/>
      <c r="DX155" s="5"/>
      <c r="DY155" s="5"/>
      <c r="DZ155" s="5"/>
      <c r="EA155" s="5"/>
      <c r="EB155" s="5"/>
      <c r="EC155" s="5"/>
      <c r="ED155" s="5"/>
      <c r="EE155" s="5"/>
      <c r="EF155" s="5"/>
      <c r="EG155" s="5"/>
      <c r="EH155" s="5"/>
      <c r="EI155" s="5"/>
      <c r="EJ155" s="5"/>
      <c r="EK155" s="5"/>
    </row>
    <row r="156" spans="1:141">
      <c r="A156" s="5"/>
      <c r="B156" s="5"/>
      <c r="C156" s="161" t="s">
        <v>63</v>
      </c>
      <c r="D156" s="931">
        <f>D47+D71+D97+D132+D140+D148+D153</f>
        <v>785.86595701130614</v>
      </c>
      <c r="E156" s="931"/>
      <c r="F156" s="5" t="s">
        <v>26</v>
      </c>
      <c r="G156" s="5"/>
      <c r="H156" s="5"/>
      <c r="I156" s="5"/>
      <c r="J156" s="5"/>
      <c r="K156" s="5"/>
      <c r="L156" s="5"/>
      <c r="M156" s="5"/>
      <c r="N156" s="5"/>
      <c r="O156" s="5"/>
      <c r="P156" s="5"/>
      <c r="Q156" s="5"/>
      <c r="R156" s="5"/>
      <c r="S156" s="5"/>
      <c r="T156" s="374"/>
      <c r="U156" s="5"/>
      <c r="V156" s="161"/>
      <c r="W156" s="426"/>
      <c r="X156" s="426"/>
      <c r="Y156" s="5"/>
      <c r="Z156" s="5"/>
      <c r="AA156" s="5"/>
      <c r="AB156" s="5"/>
      <c r="AC156" s="5"/>
      <c r="AD156" s="5"/>
      <c r="AE156" s="5"/>
      <c r="AF156" s="5"/>
      <c r="AG156" s="5"/>
      <c r="AH156" s="5"/>
      <c r="AI156" s="5"/>
      <c r="AJ156" s="5"/>
      <c r="AK156" s="5"/>
      <c r="AL156" s="5"/>
      <c r="AM156" s="5"/>
      <c r="AN156" s="5"/>
      <c r="AO156" s="161" t="s">
        <v>63</v>
      </c>
      <c r="AP156" s="931">
        <f>AP47+AP71+AP97+AP132+AP140+AP148+AP153</f>
        <v>336.86722394358975</v>
      </c>
      <c r="AQ156" s="931"/>
      <c r="AR156" s="5" t="s">
        <v>26</v>
      </c>
      <c r="AS156" s="5"/>
      <c r="AT156" s="5"/>
      <c r="AU156" s="5"/>
      <c r="AV156" s="5"/>
      <c r="AW156" s="5"/>
      <c r="AX156" s="5"/>
      <c r="AY156" s="5"/>
      <c r="AZ156" s="5"/>
      <c r="BA156" s="5"/>
      <c r="BB156" s="5"/>
      <c r="BC156" s="5"/>
      <c r="BD156" s="5"/>
      <c r="BE156" s="373"/>
      <c r="BF156" s="5"/>
      <c r="BG156" s="5"/>
      <c r="BH156" s="161" t="s">
        <v>63</v>
      </c>
      <c r="BI156" s="931">
        <f>BI47+BI71+BI97+BI132+BI140+BI148+BI153</f>
        <v>368.67102167435905</v>
      </c>
      <c r="BJ156" s="931"/>
      <c r="BK156" s="5" t="s">
        <v>26</v>
      </c>
      <c r="BL156" s="5"/>
      <c r="BM156" s="5"/>
      <c r="BN156" s="5"/>
      <c r="BO156" s="5"/>
      <c r="BP156" s="5"/>
      <c r="BQ156" s="5"/>
      <c r="BR156" s="5"/>
      <c r="BS156" s="5"/>
      <c r="BT156" s="5"/>
      <c r="BU156" s="5"/>
      <c r="BV156" s="5"/>
      <c r="BW156" s="5"/>
      <c r="BX156" s="373"/>
      <c r="BY156" s="5"/>
      <c r="BZ156" s="5"/>
      <c r="CA156" s="5"/>
      <c r="CB156" s="5"/>
      <c r="CC156" s="5"/>
      <c r="CD156" s="5"/>
      <c r="CE156" s="5"/>
      <c r="CF156" s="161"/>
      <c r="CG156" s="377"/>
      <c r="CH156" s="377"/>
      <c r="CI156" s="5"/>
      <c r="CJ156" s="5"/>
      <c r="CK156" s="5"/>
      <c r="CL156" s="5"/>
      <c r="CM156" s="5"/>
      <c r="CN156" s="5"/>
      <c r="CO156" s="5"/>
      <c r="CP156" s="5"/>
      <c r="CQ156" s="5"/>
      <c r="CR156" s="5"/>
      <c r="CS156" s="5"/>
      <c r="CT156" s="5"/>
      <c r="CU156" s="5"/>
      <c r="CV156" s="5"/>
      <c r="CW156" s="372"/>
      <c r="CX156" s="5"/>
      <c r="CY156" s="5"/>
      <c r="CZ156" s="161"/>
      <c r="DA156" s="377"/>
      <c r="DB156" s="377"/>
      <c r="DC156" s="5"/>
      <c r="DD156" s="5"/>
      <c r="DE156" s="5"/>
      <c r="DF156" s="5"/>
      <c r="DG156" s="5"/>
      <c r="DH156" s="5"/>
      <c r="DI156" s="5"/>
      <c r="DJ156" s="5"/>
      <c r="DK156" s="5"/>
      <c r="DL156" s="5"/>
      <c r="DM156" s="5"/>
      <c r="DN156" s="5"/>
      <c r="DO156" s="5"/>
      <c r="DP156" s="5"/>
      <c r="DR156" s="372"/>
      <c r="DS156" s="5"/>
      <c r="DT156" s="5"/>
      <c r="DU156" s="161"/>
      <c r="DV156" s="910"/>
      <c r="DW156" s="910"/>
      <c r="DX156" s="5"/>
      <c r="DY156" s="5"/>
      <c r="DZ156" s="5"/>
      <c r="EA156" s="5"/>
      <c r="EB156" s="5"/>
      <c r="EC156" s="5"/>
      <c r="ED156" s="5"/>
      <c r="EE156" s="5"/>
      <c r="EF156" s="5"/>
      <c r="EG156" s="5"/>
      <c r="EH156" s="5"/>
      <c r="EI156" s="5"/>
      <c r="EJ156" s="5"/>
      <c r="EK156" s="5"/>
    </row>
    <row r="157" spans="1:141">
      <c r="A157" s="5"/>
      <c r="B157" s="5"/>
      <c r="C157" s="161"/>
      <c r="D157" s="716"/>
      <c r="E157" s="716"/>
      <c r="F157" s="5"/>
      <c r="G157" s="5"/>
      <c r="H157" s="5"/>
      <c r="I157" s="5"/>
      <c r="J157" s="5"/>
      <c r="K157" s="5"/>
      <c r="L157" s="5"/>
      <c r="M157" s="5"/>
      <c r="N157" s="5"/>
      <c r="O157" s="5"/>
      <c r="P157" s="5"/>
      <c r="Q157" s="5"/>
      <c r="R157" s="5"/>
      <c r="S157" s="5"/>
      <c r="T157" s="374"/>
      <c r="U157" s="5"/>
      <c r="V157" s="161"/>
      <c r="W157" s="5"/>
      <c r="X157" s="5"/>
      <c r="Y157" s="5"/>
      <c r="Z157" s="5"/>
      <c r="AA157" s="5"/>
      <c r="AB157" s="5"/>
      <c r="AC157" s="5"/>
      <c r="AD157" s="5"/>
      <c r="AE157" s="5"/>
      <c r="AF157" s="5"/>
      <c r="AG157" s="5"/>
      <c r="AH157" s="5"/>
      <c r="AI157" s="5"/>
      <c r="AJ157" s="5"/>
      <c r="AK157" s="5"/>
      <c r="AL157" s="5"/>
      <c r="AM157" s="5"/>
      <c r="AN157" s="5"/>
      <c r="AO157" s="161"/>
      <c r="AP157" s="716"/>
      <c r="AQ157" s="716"/>
      <c r="AR157" s="5"/>
      <c r="AS157" s="5"/>
      <c r="AT157" s="5"/>
      <c r="AU157" s="5"/>
      <c r="AV157" s="5"/>
      <c r="AW157" s="5"/>
      <c r="AX157" s="5"/>
      <c r="AY157" s="5"/>
      <c r="AZ157" s="5"/>
      <c r="BA157" s="5"/>
      <c r="BB157" s="5"/>
      <c r="BC157" s="5"/>
      <c r="BD157" s="5"/>
      <c r="BE157" s="373"/>
      <c r="BF157" s="5"/>
      <c r="BG157" s="5"/>
      <c r="BH157" s="161"/>
      <c r="BI157" s="716"/>
      <c r="BJ157" s="716"/>
      <c r="BK157" s="5"/>
      <c r="BL157" s="5"/>
      <c r="BM157" s="5"/>
      <c r="BN157" s="5"/>
      <c r="BO157" s="5"/>
      <c r="BP157" s="5"/>
      <c r="BQ157" s="5"/>
      <c r="BR157" s="5"/>
      <c r="BS157" s="5"/>
      <c r="BT157" s="5"/>
      <c r="BU157" s="5"/>
      <c r="BV157" s="5"/>
      <c r="BW157" s="5"/>
      <c r="BX157" s="373"/>
      <c r="BY157" s="5"/>
      <c r="BZ157" s="5"/>
      <c r="CA157" s="5"/>
      <c r="CB157" s="5"/>
      <c r="CC157" s="5"/>
      <c r="CD157" s="5"/>
      <c r="CE157" s="5"/>
      <c r="CF157" s="161"/>
      <c r="CG157" s="5"/>
      <c r="CH157" s="5"/>
      <c r="CI157" s="5"/>
      <c r="CJ157" s="5"/>
      <c r="CK157" s="5"/>
      <c r="CL157" s="5"/>
      <c r="CM157" s="5"/>
      <c r="CN157" s="5"/>
      <c r="CO157" s="5"/>
      <c r="CP157" s="5"/>
      <c r="CQ157" s="5"/>
      <c r="CR157" s="5"/>
      <c r="CS157" s="5"/>
      <c r="CT157" s="5"/>
      <c r="CU157" s="5"/>
      <c r="CV157" s="5"/>
      <c r="CW157" s="372"/>
      <c r="CX157" s="5"/>
      <c r="CY157" s="5"/>
      <c r="CZ157" s="161"/>
      <c r="DA157" s="5"/>
      <c r="DB157" s="5"/>
      <c r="DC157" s="5"/>
      <c r="DD157" s="5"/>
      <c r="DE157" s="5"/>
      <c r="DF157" s="5"/>
      <c r="DG157" s="5"/>
      <c r="DH157" s="5"/>
      <c r="DI157" s="5"/>
      <c r="DJ157" s="5"/>
      <c r="DK157" s="5"/>
      <c r="DL157" s="5"/>
      <c r="DM157" s="5"/>
      <c r="DN157" s="5"/>
      <c r="DO157" s="5"/>
      <c r="DP157" s="5"/>
      <c r="DR157" s="372"/>
      <c r="DS157" s="5"/>
      <c r="DT157" s="5"/>
      <c r="DU157" s="161"/>
      <c r="DV157" s="716"/>
      <c r="DW157" s="716"/>
      <c r="DX157" s="5"/>
      <c r="DY157" s="5"/>
      <c r="DZ157" s="5"/>
      <c r="EA157" s="5"/>
      <c r="EB157" s="5"/>
      <c r="EC157" s="5"/>
      <c r="ED157" s="5"/>
      <c r="EE157" s="5"/>
      <c r="EF157" s="5"/>
      <c r="EG157" s="5"/>
      <c r="EH157" s="5"/>
      <c r="EI157" s="5"/>
      <c r="EJ157" s="5"/>
      <c r="EK157" s="5"/>
    </row>
    <row r="158" spans="1:141">
      <c r="A158" s="925" t="s">
        <v>952</v>
      </c>
      <c r="B158" s="926"/>
      <c r="C158" s="926"/>
      <c r="D158" s="926"/>
      <c r="E158" s="926"/>
      <c r="F158" s="926"/>
      <c r="G158" s="926"/>
      <c r="H158" s="926"/>
      <c r="I158" s="926"/>
      <c r="J158" s="926"/>
      <c r="K158" s="926"/>
      <c r="L158" s="926"/>
      <c r="M158" s="926"/>
      <c r="N158" s="926"/>
      <c r="O158" s="926"/>
      <c r="P158" s="926"/>
      <c r="Q158" s="926"/>
      <c r="R158" s="926"/>
      <c r="S158" s="926"/>
      <c r="T158" s="434"/>
      <c r="U158" s="371"/>
      <c r="V158" s="371"/>
      <c r="W158" s="371"/>
      <c r="X158" s="371"/>
      <c r="Y158" s="371"/>
      <c r="Z158" s="371"/>
      <c r="AA158" s="371"/>
      <c r="AB158" s="371"/>
      <c r="AC158" s="371"/>
      <c r="AD158" s="371"/>
      <c r="AE158" s="371"/>
      <c r="AF158" s="371"/>
      <c r="AG158" s="371"/>
      <c r="AH158" s="371"/>
      <c r="AI158" s="371"/>
      <c r="AJ158" s="371"/>
      <c r="AK158" s="371"/>
      <c r="AL158" s="371"/>
      <c r="AM158" s="927" t="s">
        <v>952</v>
      </c>
      <c r="AN158" s="927"/>
      <c r="AO158" s="927"/>
      <c r="AP158" s="927"/>
      <c r="AQ158" s="927"/>
      <c r="AR158" s="927"/>
      <c r="AS158" s="927"/>
      <c r="AT158" s="927"/>
      <c r="AU158" s="927"/>
      <c r="AV158" s="927"/>
      <c r="AW158" s="927"/>
      <c r="AX158" s="927"/>
      <c r="AY158" s="927"/>
      <c r="AZ158" s="927"/>
      <c r="BA158" s="927"/>
      <c r="BB158" s="927"/>
      <c r="BC158" s="927"/>
      <c r="BD158" s="927"/>
      <c r="BE158" s="928"/>
      <c r="BF158" s="929" t="s">
        <v>952</v>
      </c>
      <c r="BG158" s="927"/>
      <c r="BH158" s="927"/>
      <c r="BI158" s="927"/>
      <c r="BJ158" s="927"/>
      <c r="BK158" s="927"/>
      <c r="BL158" s="927"/>
      <c r="BM158" s="927"/>
      <c r="BN158" s="927"/>
      <c r="BO158" s="927"/>
      <c r="BP158" s="927"/>
      <c r="BQ158" s="927"/>
      <c r="BR158" s="927"/>
      <c r="BS158" s="927"/>
      <c r="BT158" s="927"/>
      <c r="BU158" s="927"/>
      <c r="BV158" s="927"/>
      <c r="BW158" s="927"/>
      <c r="BX158" s="928"/>
      <c r="BY158" s="391"/>
      <c r="BZ158" s="391"/>
      <c r="CA158" s="391"/>
      <c r="CB158" s="391"/>
      <c r="CC158" s="391"/>
      <c r="CD158" s="371"/>
      <c r="CE158" s="371"/>
      <c r="CF158" s="371"/>
      <c r="CG158" s="371"/>
      <c r="CH158" s="371"/>
      <c r="CI158" s="371"/>
      <c r="CJ158" s="371"/>
      <c r="CK158" s="371"/>
      <c r="CL158" s="371"/>
      <c r="CM158" s="371"/>
      <c r="CN158" s="371"/>
      <c r="CO158" s="371"/>
      <c r="CP158" s="371"/>
      <c r="CQ158" s="371"/>
      <c r="CR158" s="371"/>
      <c r="CS158" s="371"/>
      <c r="CT158" s="371"/>
      <c r="CU158" s="371"/>
      <c r="CV158" s="371"/>
      <c r="CW158" s="372"/>
      <c r="CX158" s="371"/>
      <c r="CY158" s="371"/>
      <c r="CZ158" s="371"/>
      <c r="DA158" s="371"/>
      <c r="DB158" s="371"/>
      <c r="DC158" s="371"/>
      <c r="DD158" s="371"/>
      <c r="DE158" s="371"/>
      <c r="DF158" s="371"/>
      <c r="DG158" s="371"/>
      <c r="DH158" s="371"/>
      <c r="DI158" s="371"/>
      <c r="DJ158" s="371"/>
      <c r="DK158" s="371"/>
      <c r="DL158" s="371"/>
      <c r="DM158" s="371"/>
      <c r="DN158" s="371"/>
      <c r="DO158" s="371"/>
      <c r="DP158" s="371"/>
      <c r="DR158" s="372"/>
      <c r="DS158" s="888"/>
      <c r="DT158" s="888"/>
      <c r="DU158" s="888"/>
      <c r="DV158" s="888"/>
      <c r="DW158" s="888"/>
      <c r="DX158" s="888"/>
      <c r="DY158" s="888"/>
      <c r="DZ158" s="888"/>
      <c r="EA158" s="888"/>
      <c r="EB158" s="888"/>
      <c r="EC158" s="888"/>
      <c r="ED158" s="888"/>
      <c r="EE158" s="888"/>
      <c r="EF158" s="888"/>
      <c r="EG158" s="888"/>
      <c r="EH158" s="888"/>
      <c r="EI158" s="888"/>
      <c r="EJ158" s="888"/>
      <c r="EK158" s="888"/>
    </row>
    <row r="159" spans="1:141" ht="15" customHeight="1">
      <c r="A159" s="371" t="s">
        <v>953</v>
      </c>
      <c r="B159" s="5"/>
      <c r="C159" s="5"/>
      <c r="D159" s="5"/>
      <c r="E159" s="5"/>
      <c r="F159" s="5"/>
      <c r="G159" s="5"/>
      <c r="H159" s="5"/>
      <c r="I159" s="5"/>
      <c r="J159" s="5"/>
      <c r="K159" s="5"/>
      <c r="L159" s="5"/>
      <c r="M159" s="5"/>
      <c r="N159" s="5"/>
      <c r="O159" s="5"/>
      <c r="P159" s="5"/>
      <c r="Q159" s="5"/>
      <c r="R159" s="5"/>
      <c r="S159" s="5"/>
      <c r="T159" s="434"/>
      <c r="U159" s="5"/>
      <c r="V159" s="5"/>
      <c r="W159" s="5"/>
      <c r="X159" s="5"/>
      <c r="Y159" s="5"/>
      <c r="Z159" s="5"/>
      <c r="AA159" s="5"/>
      <c r="AB159" s="5"/>
      <c r="AC159" s="5"/>
      <c r="AD159" s="5"/>
      <c r="AE159" s="5"/>
      <c r="AF159" s="5"/>
      <c r="AG159" s="5"/>
      <c r="AH159" s="5"/>
      <c r="AI159" s="5"/>
      <c r="AJ159" s="5"/>
      <c r="AK159" s="5"/>
      <c r="AL159" s="5"/>
      <c r="AM159" s="371" t="s">
        <v>953</v>
      </c>
      <c r="AN159" s="5"/>
      <c r="AO159" s="5"/>
      <c r="AP159" s="5"/>
      <c r="AQ159" s="5"/>
      <c r="AR159" s="5"/>
      <c r="AS159" s="5"/>
      <c r="AT159" s="5"/>
      <c r="AU159" s="5"/>
      <c r="AV159" s="5"/>
      <c r="AW159" s="5"/>
      <c r="AX159" s="5"/>
      <c r="AY159" s="5"/>
      <c r="AZ159" s="5"/>
      <c r="BA159" s="5"/>
      <c r="BB159" s="5"/>
      <c r="BC159" s="5"/>
      <c r="BD159" s="5"/>
      <c r="BE159" s="5"/>
      <c r="BF159" s="371" t="s">
        <v>953</v>
      </c>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371"/>
      <c r="CE159" s="5"/>
      <c r="CF159" s="5"/>
      <c r="CG159" s="5"/>
      <c r="CH159" s="5"/>
      <c r="CI159" s="5"/>
      <c r="CJ159" s="5"/>
      <c r="CK159" s="5"/>
      <c r="CL159" s="5"/>
      <c r="CM159" s="5"/>
      <c r="CN159" s="5"/>
      <c r="CO159" s="5"/>
      <c r="CP159" s="5"/>
      <c r="CQ159" s="5"/>
      <c r="CR159" s="5"/>
      <c r="CS159" s="5"/>
      <c r="CT159" s="5"/>
      <c r="CU159" s="5"/>
      <c r="CV159" s="5"/>
      <c r="CW159" s="372"/>
      <c r="CX159" s="371"/>
      <c r="CY159" s="5"/>
      <c r="CZ159" s="5"/>
      <c r="DA159" s="5"/>
      <c r="DB159" s="5"/>
      <c r="DC159" s="5"/>
      <c r="DD159" s="5"/>
      <c r="DE159" s="5"/>
      <c r="DF159" s="5"/>
      <c r="DG159" s="5"/>
      <c r="DH159" s="5"/>
      <c r="DI159" s="5"/>
      <c r="DJ159" s="5"/>
      <c r="DK159" s="5"/>
      <c r="DL159" s="5"/>
      <c r="DM159" s="5"/>
      <c r="DN159" s="5"/>
      <c r="DO159" s="5"/>
      <c r="DP159" s="5"/>
      <c r="DR159" s="372"/>
      <c r="DS159" s="371"/>
      <c r="DT159" s="5"/>
      <c r="DU159" s="5"/>
      <c r="DV159" s="5"/>
      <c r="DW159" s="5"/>
      <c r="DX159" s="5"/>
      <c r="DY159" s="5"/>
      <c r="DZ159" s="5"/>
      <c r="EA159" s="5"/>
      <c r="EB159" s="5"/>
      <c r="EC159" s="5"/>
      <c r="ED159" s="5"/>
      <c r="EE159" s="5"/>
      <c r="EF159" s="5"/>
      <c r="EG159" s="5"/>
      <c r="EH159" s="5"/>
      <c r="EI159" s="5"/>
      <c r="EJ159" s="5"/>
      <c r="EK159" s="5"/>
    </row>
    <row r="160" spans="1:141" ht="15" customHeight="1">
      <c r="A160" s="938" t="s">
        <v>954</v>
      </c>
      <c r="B160" s="938"/>
      <c r="C160" s="938"/>
      <c r="D160" s="938"/>
      <c r="E160" s="938"/>
      <c r="F160" s="938"/>
      <c r="G160" s="938"/>
      <c r="H160" s="938"/>
      <c r="I160" s="938"/>
      <c r="J160" s="938"/>
      <c r="K160" s="938"/>
      <c r="L160" s="938"/>
      <c r="M160" s="938"/>
      <c r="N160" s="938"/>
      <c r="O160" s="938"/>
      <c r="P160" s="938"/>
      <c r="Q160" s="938"/>
      <c r="R160" s="938"/>
      <c r="S160" s="938"/>
      <c r="T160" s="404"/>
      <c r="U160" s="395"/>
      <c r="V160" s="395"/>
      <c r="W160" s="395"/>
      <c r="X160" s="395"/>
      <c r="Y160" s="395"/>
      <c r="Z160" s="395"/>
      <c r="AA160" s="395"/>
      <c r="AB160" s="395"/>
      <c r="AC160" s="395"/>
      <c r="AD160" s="395"/>
      <c r="AE160" s="395"/>
      <c r="AF160" s="395"/>
      <c r="AG160" s="395"/>
      <c r="AH160" s="395"/>
      <c r="AI160" s="395"/>
      <c r="AJ160" s="395"/>
      <c r="AK160" s="395"/>
      <c r="AL160" s="395"/>
      <c r="AM160" s="938" t="s">
        <v>954</v>
      </c>
      <c r="AN160" s="938"/>
      <c r="AO160" s="938"/>
      <c r="AP160" s="938"/>
      <c r="AQ160" s="938"/>
      <c r="AR160" s="938"/>
      <c r="AS160" s="938"/>
      <c r="AT160" s="938"/>
      <c r="AU160" s="938"/>
      <c r="AV160" s="938"/>
      <c r="AW160" s="938"/>
      <c r="AX160" s="938"/>
      <c r="AY160" s="938"/>
      <c r="AZ160" s="938"/>
      <c r="BA160" s="938"/>
      <c r="BB160" s="938"/>
      <c r="BC160" s="938"/>
      <c r="BD160" s="938"/>
      <c r="BE160" s="938"/>
      <c r="BF160" s="938" t="s">
        <v>954</v>
      </c>
      <c r="BG160" s="938"/>
      <c r="BH160" s="938"/>
      <c r="BI160" s="938"/>
      <c r="BJ160" s="938"/>
      <c r="BK160" s="938"/>
      <c r="BL160" s="938"/>
      <c r="BM160" s="938"/>
      <c r="BN160" s="938"/>
      <c r="BO160" s="938"/>
      <c r="BP160" s="938"/>
      <c r="BQ160" s="938"/>
      <c r="BR160" s="938"/>
      <c r="BS160" s="938"/>
      <c r="BT160" s="938"/>
      <c r="BU160" s="938"/>
      <c r="BV160" s="938"/>
      <c r="BW160" s="938"/>
      <c r="BX160" s="938"/>
      <c r="BY160" s="394"/>
      <c r="BZ160" s="394"/>
      <c r="CA160" s="394"/>
      <c r="CB160" s="394"/>
      <c r="CC160" s="394"/>
      <c r="CD160" s="395"/>
      <c r="CE160" s="395"/>
      <c r="CF160" s="395"/>
      <c r="CG160" s="395"/>
      <c r="CH160" s="395"/>
      <c r="CI160" s="395"/>
      <c r="CJ160" s="395"/>
      <c r="CK160" s="395"/>
      <c r="CL160" s="395"/>
      <c r="CM160" s="395"/>
      <c r="CN160" s="395"/>
      <c r="CO160" s="395"/>
      <c r="CP160" s="395"/>
      <c r="CQ160" s="395"/>
      <c r="CR160" s="395"/>
      <c r="CS160" s="395"/>
      <c r="CT160" s="395"/>
      <c r="CU160" s="395"/>
      <c r="CV160" s="395"/>
      <c r="CW160" s="372"/>
      <c r="CX160" s="395"/>
      <c r="CY160" s="395"/>
      <c r="CZ160" s="395"/>
      <c r="DA160" s="395"/>
      <c r="DB160" s="395"/>
      <c r="DC160" s="395"/>
      <c r="DD160" s="395"/>
      <c r="DE160" s="395"/>
      <c r="DF160" s="395"/>
      <c r="DG160" s="395"/>
      <c r="DH160" s="395"/>
      <c r="DI160" s="395"/>
      <c r="DJ160" s="395"/>
      <c r="DK160" s="395"/>
      <c r="DL160" s="395"/>
      <c r="DM160" s="395"/>
      <c r="DN160" s="395"/>
      <c r="DO160" s="395"/>
      <c r="DP160" s="395"/>
      <c r="DR160" s="372"/>
      <c r="DS160" s="935"/>
      <c r="DT160" s="935"/>
      <c r="DU160" s="935"/>
      <c r="DV160" s="935"/>
      <c r="DW160" s="935"/>
      <c r="DX160" s="935"/>
      <c r="DY160" s="935"/>
      <c r="DZ160" s="935"/>
      <c r="EA160" s="935"/>
      <c r="EB160" s="935"/>
      <c r="EC160" s="935"/>
      <c r="ED160" s="935"/>
      <c r="EE160" s="935"/>
      <c r="EF160" s="935"/>
      <c r="EG160" s="935"/>
      <c r="EH160" s="935"/>
      <c r="EI160" s="935"/>
      <c r="EJ160" s="935"/>
      <c r="EK160" s="935"/>
    </row>
    <row r="161" spans="1:141">
      <c r="A161" s="938"/>
      <c r="B161" s="938"/>
      <c r="C161" s="938"/>
      <c r="D161" s="938"/>
      <c r="E161" s="938"/>
      <c r="F161" s="938"/>
      <c r="G161" s="938"/>
      <c r="H161" s="938"/>
      <c r="I161" s="938"/>
      <c r="J161" s="938"/>
      <c r="K161" s="938"/>
      <c r="L161" s="938"/>
      <c r="M161" s="938"/>
      <c r="N161" s="938"/>
      <c r="O161" s="938"/>
      <c r="P161" s="938"/>
      <c r="Q161" s="938"/>
      <c r="R161" s="938"/>
      <c r="S161" s="938"/>
      <c r="T161" s="404"/>
      <c r="U161" s="395"/>
      <c r="V161" s="395"/>
      <c r="W161" s="395"/>
      <c r="X161" s="395"/>
      <c r="Y161" s="395"/>
      <c r="Z161" s="395"/>
      <c r="AA161" s="395"/>
      <c r="AB161" s="395"/>
      <c r="AC161" s="395"/>
      <c r="AD161" s="395"/>
      <c r="AE161" s="395"/>
      <c r="AF161" s="395"/>
      <c r="AG161" s="395"/>
      <c r="AH161" s="395"/>
      <c r="AI161" s="395"/>
      <c r="AJ161" s="395"/>
      <c r="AK161" s="395"/>
      <c r="AL161" s="395"/>
      <c r="AM161" s="938"/>
      <c r="AN161" s="938"/>
      <c r="AO161" s="938"/>
      <c r="AP161" s="938"/>
      <c r="AQ161" s="938"/>
      <c r="AR161" s="938"/>
      <c r="AS161" s="938"/>
      <c r="AT161" s="938"/>
      <c r="AU161" s="938"/>
      <c r="AV161" s="938"/>
      <c r="AW161" s="938"/>
      <c r="AX161" s="938"/>
      <c r="AY161" s="938"/>
      <c r="AZ161" s="938"/>
      <c r="BA161" s="938"/>
      <c r="BB161" s="938"/>
      <c r="BC161" s="938"/>
      <c r="BD161" s="938"/>
      <c r="BE161" s="938"/>
      <c r="BF161" s="938"/>
      <c r="BG161" s="938"/>
      <c r="BH161" s="938"/>
      <c r="BI161" s="938"/>
      <c r="BJ161" s="938"/>
      <c r="BK161" s="938"/>
      <c r="BL161" s="938"/>
      <c r="BM161" s="938"/>
      <c r="BN161" s="938"/>
      <c r="BO161" s="938"/>
      <c r="BP161" s="938"/>
      <c r="BQ161" s="938"/>
      <c r="BR161" s="938"/>
      <c r="BS161" s="938"/>
      <c r="BT161" s="938"/>
      <c r="BU161" s="938"/>
      <c r="BV161" s="938"/>
      <c r="BW161" s="938"/>
      <c r="BX161" s="938"/>
      <c r="BY161" s="394"/>
      <c r="BZ161" s="394"/>
      <c r="CA161" s="394"/>
      <c r="CB161" s="394"/>
      <c r="CC161" s="394"/>
      <c r="CD161" s="395"/>
      <c r="CE161" s="395"/>
      <c r="CF161" s="395"/>
      <c r="CG161" s="395"/>
      <c r="CH161" s="395"/>
      <c r="CI161" s="395"/>
      <c r="CJ161" s="395"/>
      <c r="CK161" s="395"/>
      <c r="CL161" s="395"/>
      <c r="CM161" s="395"/>
      <c r="CN161" s="395"/>
      <c r="CO161" s="395"/>
      <c r="CP161" s="395"/>
      <c r="CQ161" s="395"/>
      <c r="CR161" s="395"/>
      <c r="CS161" s="395"/>
      <c r="CT161" s="395"/>
      <c r="CU161" s="395"/>
      <c r="CV161" s="395"/>
      <c r="CW161" s="372"/>
      <c r="CX161" s="395"/>
      <c r="CY161" s="395"/>
      <c r="CZ161" s="395"/>
      <c r="DA161" s="395"/>
      <c r="DB161" s="395"/>
      <c r="DC161" s="395"/>
      <c r="DD161" s="395"/>
      <c r="DE161" s="395"/>
      <c r="DF161" s="395"/>
      <c r="DG161" s="395"/>
      <c r="DH161" s="395"/>
      <c r="DI161" s="395"/>
      <c r="DJ161" s="395"/>
      <c r="DK161" s="395"/>
      <c r="DL161" s="395"/>
      <c r="DM161" s="395"/>
      <c r="DN161" s="395"/>
      <c r="DO161" s="395"/>
      <c r="DP161" s="395"/>
      <c r="DR161" s="372"/>
      <c r="DS161" s="935"/>
      <c r="DT161" s="935"/>
      <c r="DU161" s="935"/>
      <c r="DV161" s="935"/>
      <c r="DW161" s="935"/>
      <c r="DX161" s="935"/>
      <c r="DY161" s="935"/>
      <c r="DZ161" s="935"/>
      <c r="EA161" s="935"/>
      <c r="EB161" s="935"/>
      <c r="EC161" s="935"/>
      <c r="ED161" s="935"/>
      <c r="EE161" s="935"/>
      <c r="EF161" s="935"/>
      <c r="EG161" s="935"/>
      <c r="EH161" s="935"/>
      <c r="EI161" s="935"/>
      <c r="EJ161" s="935"/>
      <c r="EK161" s="935"/>
    </row>
    <row r="162" spans="1:141">
      <c r="A162" s="5"/>
      <c r="B162" s="5"/>
      <c r="C162" s="5"/>
      <c r="D162" s="5"/>
      <c r="E162" s="5"/>
      <c r="F162" s="5"/>
      <c r="G162" s="5"/>
      <c r="H162" s="5"/>
      <c r="I162" s="5"/>
      <c r="J162" s="5"/>
      <c r="K162" s="5"/>
      <c r="L162" s="5"/>
      <c r="M162" s="5"/>
      <c r="N162" s="5"/>
      <c r="O162" s="5"/>
      <c r="P162" s="5"/>
      <c r="Q162" s="5"/>
      <c r="R162" s="5"/>
      <c r="S162" s="5"/>
      <c r="T162" s="374"/>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373"/>
      <c r="BF162" s="5"/>
      <c r="BG162" s="5"/>
      <c r="BH162" s="5"/>
      <c r="BI162" s="5"/>
      <c r="BJ162" s="5"/>
      <c r="BK162" s="5"/>
      <c r="BL162" s="5"/>
      <c r="BM162" s="5"/>
      <c r="BN162" s="5"/>
      <c r="BO162" s="5"/>
      <c r="BP162" s="5"/>
      <c r="BQ162" s="5"/>
      <c r="BR162" s="5"/>
      <c r="BS162" s="5"/>
      <c r="BT162" s="5"/>
      <c r="BU162" s="5"/>
      <c r="BV162" s="5"/>
      <c r="BW162" s="5"/>
      <c r="BX162" s="373"/>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372"/>
      <c r="CX162" s="5"/>
      <c r="CY162" s="5"/>
      <c r="CZ162" s="5"/>
      <c r="DA162" s="5"/>
      <c r="DB162" s="5"/>
      <c r="DC162" s="5"/>
      <c r="DD162" s="5"/>
      <c r="DE162" s="5"/>
      <c r="DF162" s="5"/>
      <c r="DG162" s="5"/>
      <c r="DH162" s="5"/>
      <c r="DI162" s="5"/>
      <c r="DJ162" s="5"/>
      <c r="DK162" s="5"/>
      <c r="DL162" s="5"/>
      <c r="DM162" s="5"/>
      <c r="DN162" s="5"/>
      <c r="DO162" s="5"/>
      <c r="DP162" s="5"/>
      <c r="DR162" s="372"/>
      <c r="DS162" s="5"/>
      <c r="DT162" s="5"/>
      <c r="DU162" s="5"/>
      <c r="DV162" s="5"/>
      <c r="DW162" s="5"/>
      <c r="DX162" s="5"/>
      <c r="DY162" s="5"/>
      <c r="DZ162" s="5"/>
      <c r="EA162" s="5"/>
      <c r="EB162" s="5"/>
      <c r="EC162" s="5"/>
      <c r="ED162" s="5"/>
      <c r="EE162" s="5"/>
      <c r="EF162" s="5"/>
      <c r="EG162" s="5"/>
      <c r="EH162" s="5"/>
      <c r="EI162" s="5"/>
      <c r="EJ162" s="5"/>
      <c r="EK162" s="5"/>
    </row>
    <row r="163" spans="1:141" ht="15.6">
      <c r="A163" s="5" t="s">
        <v>955</v>
      </c>
      <c r="B163" s="5"/>
      <c r="C163" s="5"/>
      <c r="D163" s="5"/>
      <c r="E163" s="5"/>
      <c r="F163" s="5"/>
      <c r="G163" s="161" t="s">
        <v>63</v>
      </c>
      <c r="H163" s="5" t="s">
        <v>9</v>
      </c>
      <c r="I163" s="5"/>
      <c r="J163" s="5"/>
      <c r="K163" s="5"/>
      <c r="L163" s="5"/>
      <c r="M163" s="5"/>
      <c r="N163" s="5"/>
      <c r="O163" s="5"/>
      <c r="P163" s="5"/>
      <c r="Q163" s="5"/>
      <c r="R163" s="5"/>
      <c r="S163" s="5"/>
      <c r="T163" s="374"/>
      <c r="U163" s="5"/>
      <c r="V163" s="5"/>
      <c r="W163" s="5"/>
      <c r="X163" s="5"/>
      <c r="Y163" s="5"/>
      <c r="Z163" s="161"/>
      <c r="AA163" s="5"/>
      <c r="AB163" s="5"/>
      <c r="AC163" s="5"/>
      <c r="AD163" s="5"/>
      <c r="AE163" s="5"/>
      <c r="AF163" s="5"/>
      <c r="AG163" s="5"/>
      <c r="AH163" s="5"/>
      <c r="AI163" s="5"/>
      <c r="AJ163" s="5"/>
      <c r="AK163" s="5"/>
      <c r="AL163" s="5"/>
      <c r="AM163" s="5" t="s">
        <v>955</v>
      </c>
      <c r="AN163" s="5"/>
      <c r="AO163" s="5"/>
      <c r="AP163" s="5"/>
      <c r="AQ163" s="5"/>
      <c r="AR163" s="5"/>
      <c r="AS163" s="161" t="s">
        <v>63</v>
      </c>
      <c r="AT163" s="5" t="s">
        <v>9</v>
      </c>
      <c r="AU163" s="5"/>
      <c r="AV163" s="5"/>
      <c r="AW163" s="5"/>
      <c r="AX163" s="5"/>
      <c r="AY163" s="5"/>
      <c r="AZ163" s="5"/>
      <c r="BA163" s="5"/>
      <c r="BB163" s="5"/>
      <c r="BC163" s="5"/>
      <c r="BD163" s="5"/>
      <c r="BE163" s="373"/>
      <c r="BF163" s="5" t="s">
        <v>955</v>
      </c>
      <c r="BG163" s="5"/>
      <c r="BH163" s="5"/>
      <c r="BI163" s="5"/>
      <c r="BJ163" s="5"/>
      <c r="BK163" s="5"/>
      <c r="BL163" s="161" t="s">
        <v>63</v>
      </c>
      <c r="BM163" s="5" t="s">
        <v>9</v>
      </c>
      <c r="BN163" s="5"/>
      <c r="BO163" s="5"/>
      <c r="BP163" s="5"/>
      <c r="BQ163" s="5"/>
      <c r="BR163" s="5"/>
      <c r="BS163" s="5"/>
      <c r="BT163" s="5"/>
      <c r="BU163" s="5"/>
      <c r="BV163" s="5"/>
      <c r="BW163" s="5"/>
      <c r="BX163" s="373"/>
      <c r="BY163" s="5"/>
      <c r="BZ163" s="5"/>
      <c r="CA163" s="5"/>
      <c r="CB163" s="5"/>
      <c r="CC163" s="5"/>
      <c r="CD163" s="5"/>
      <c r="CE163" s="5"/>
      <c r="CF163" s="5"/>
      <c r="CG163" s="5"/>
      <c r="CH163" s="5"/>
      <c r="CI163" s="5"/>
      <c r="CJ163" s="161"/>
      <c r="CK163" s="5"/>
      <c r="CL163" s="5"/>
      <c r="CM163" s="5"/>
      <c r="CN163" s="5"/>
      <c r="CO163" s="5"/>
      <c r="CP163" s="5"/>
      <c r="CQ163" s="5"/>
      <c r="CR163" s="5"/>
      <c r="CS163" s="5"/>
      <c r="CT163" s="5"/>
      <c r="CU163" s="5"/>
      <c r="CV163" s="5"/>
      <c r="CW163" s="372"/>
      <c r="CX163" s="5"/>
      <c r="CY163" s="5"/>
      <c r="CZ163" s="5"/>
      <c r="DA163" s="5"/>
      <c r="DB163" s="5"/>
      <c r="DC163" s="5"/>
      <c r="DD163" s="161"/>
      <c r="DE163" s="5"/>
      <c r="DF163" s="5"/>
      <c r="DG163" s="5"/>
      <c r="DH163" s="5"/>
      <c r="DI163" s="5"/>
      <c r="DJ163" s="5"/>
      <c r="DK163" s="5"/>
      <c r="DL163" s="5"/>
      <c r="DM163" s="5"/>
      <c r="DN163" s="5"/>
      <c r="DO163" s="5"/>
      <c r="DP163" s="5"/>
      <c r="DR163" s="372"/>
      <c r="DS163" s="5"/>
      <c r="DT163" s="5"/>
      <c r="DU163" s="5"/>
      <c r="DV163" s="5"/>
      <c r="DW163" s="5"/>
      <c r="DX163" s="5"/>
      <c r="DY163" s="161"/>
      <c r="DZ163" s="5"/>
      <c r="EA163" s="5"/>
      <c r="EB163" s="5"/>
      <c r="EC163" s="5"/>
      <c r="ED163" s="5"/>
      <c r="EE163" s="5"/>
      <c r="EF163" s="5"/>
      <c r="EG163" s="5"/>
      <c r="EH163" s="5"/>
      <c r="EI163" s="5"/>
      <c r="EJ163" s="5"/>
      <c r="EK163" s="5"/>
    </row>
    <row r="164" spans="1:141" ht="15.6">
      <c r="A164" s="5"/>
      <c r="B164" s="5" t="s">
        <v>956</v>
      </c>
      <c r="C164" s="396" t="s">
        <v>957</v>
      </c>
      <c r="D164" s="396"/>
      <c r="E164" s="396"/>
      <c r="H164" s="5"/>
      <c r="I164" s="161" t="s">
        <v>63</v>
      </c>
      <c r="J164" s="716">
        <v>15.029</v>
      </c>
      <c r="K164" s="716"/>
      <c r="L164" s="5" t="s">
        <v>4</v>
      </c>
      <c r="M164" s="5"/>
      <c r="N164" s="5"/>
      <c r="O164" s="5"/>
      <c r="P164" s="5"/>
      <c r="Q164" s="5"/>
      <c r="R164" s="5"/>
      <c r="S164" s="5"/>
      <c r="T164" s="374"/>
      <c r="U164" s="5"/>
      <c r="V164" s="396"/>
      <c r="W164" s="396"/>
      <c r="X164" s="396"/>
      <c r="AA164" s="5"/>
      <c r="AB164" s="161"/>
      <c r="AC164" s="5"/>
      <c r="AD164" s="5"/>
      <c r="AE164" s="5"/>
      <c r="AF164" s="5"/>
      <c r="AG164" s="5"/>
      <c r="AH164" s="5"/>
      <c r="AI164" s="5"/>
      <c r="AJ164" s="5"/>
      <c r="AK164" s="5"/>
      <c r="AL164" s="5"/>
      <c r="AM164" s="5"/>
      <c r="AN164" s="5" t="s">
        <v>956</v>
      </c>
      <c r="AO164" s="396" t="s">
        <v>957</v>
      </c>
      <c r="AP164" s="396"/>
      <c r="AQ164" s="396"/>
      <c r="AT164" s="5"/>
      <c r="AU164" s="161" t="s">
        <v>63</v>
      </c>
      <c r="AV164" s="716">
        <v>15.029</v>
      </c>
      <c r="AW164" s="716"/>
      <c r="AX164" s="5" t="s">
        <v>4</v>
      </c>
      <c r="AY164" s="5"/>
      <c r="AZ164" s="5"/>
      <c r="BA164" s="5"/>
      <c r="BB164" s="5"/>
      <c r="BC164" s="5"/>
      <c r="BD164" s="5"/>
      <c r="BE164" s="373"/>
      <c r="BF164" s="5"/>
      <c r="BG164" s="5" t="s">
        <v>956</v>
      </c>
      <c r="BH164" s="396" t="s">
        <v>957</v>
      </c>
      <c r="BI164" s="396"/>
      <c r="BJ164" s="396"/>
      <c r="BM164" s="5"/>
      <c r="BN164" s="161" t="s">
        <v>63</v>
      </c>
      <c r="BO164" s="716">
        <v>15.029</v>
      </c>
      <c r="BP164" s="716"/>
      <c r="BQ164" s="5" t="s">
        <v>4</v>
      </c>
      <c r="BR164" s="5"/>
      <c r="BS164" s="5"/>
      <c r="BT164" s="5"/>
      <c r="BU164" s="5"/>
      <c r="BV164" s="5"/>
      <c r="BW164" s="5"/>
      <c r="BX164" s="373"/>
      <c r="BY164" s="5"/>
      <c r="BZ164" s="5"/>
      <c r="CA164" s="5"/>
      <c r="CB164" s="5"/>
      <c r="CC164" s="5"/>
      <c r="CD164" s="5"/>
      <c r="CE164" s="5"/>
      <c r="CF164" s="396"/>
      <c r="CG164" s="396"/>
      <c r="CH164" s="396"/>
      <c r="CK164" s="5"/>
      <c r="CL164" s="161"/>
      <c r="CM164" s="5"/>
      <c r="CN164" s="5"/>
      <c r="CO164" s="5"/>
      <c r="CP164" s="5"/>
      <c r="CQ164" s="5"/>
      <c r="CR164" s="5"/>
      <c r="CS164" s="5"/>
      <c r="CT164" s="5"/>
      <c r="CU164" s="5"/>
      <c r="CV164" s="5"/>
      <c r="CW164" s="372"/>
      <c r="CX164" s="5"/>
      <c r="CY164" s="5"/>
      <c r="CZ164" s="396"/>
      <c r="DA164" s="396"/>
      <c r="DB164" s="396"/>
      <c r="DE164" s="5"/>
      <c r="DF164" s="161"/>
      <c r="DG164" s="5"/>
      <c r="DH164" s="5"/>
      <c r="DI164" s="5"/>
      <c r="DJ164" s="5"/>
      <c r="DK164" s="5"/>
      <c r="DL164" s="5"/>
      <c r="DM164" s="5"/>
      <c r="DN164" s="5"/>
      <c r="DO164" s="5"/>
      <c r="DP164" s="5"/>
      <c r="DR164" s="372"/>
      <c r="DS164" s="5"/>
      <c r="DT164" s="5"/>
      <c r="DU164" s="396"/>
      <c r="DV164" s="396"/>
      <c r="DW164" s="396"/>
      <c r="DX164" s="5"/>
      <c r="DY164" s="5"/>
      <c r="DZ164" s="5"/>
      <c r="EA164" s="161"/>
      <c r="EB164" s="716"/>
      <c r="EC164" s="716"/>
      <c r="ED164" s="5"/>
      <c r="EE164" s="5"/>
      <c r="EF164" s="5"/>
      <c r="EG164" s="5"/>
      <c r="EH164" s="5"/>
      <c r="EI164" s="5"/>
      <c r="EJ164" s="5"/>
      <c r="EK164" s="5"/>
    </row>
    <row r="165" spans="1:141" ht="15.6">
      <c r="A165" s="5"/>
      <c r="B165" s="5" t="s">
        <v>958</v>
      </c>
      <c r="C165" s="396" t="s">
        <v>959</v>
      </c>
      <c r="D165" s="396"/>
      <c r="E165" s="396"/>
      <c r="H165" s="5"/>
      <c r="I165" s="161" t="s">
        <v>63</v>
      </c>
      <c r="J165" s="716">
        <v>2.5</v>
      </c>
      <c r="K165" s="716"/>
      <c r="L165" s="5" t="s">
        <v>4</v>
      </c>
      <c r="M165" s="5"/>
      <c r="N165" s="5"/>
      <c r="O165" s="5"/>
      <c r="P165" s="5"/>
      <c r="Q165" s="5"/>
      <c r="R165" s="5"/>
      <c r="S165" s="5"/>
      <c r="T165" s="374"/>
      <c r="U165" s="5"/>
      <c r="V165" s="396"/>
      <c r="W165" s="396"/>
      <c r="X165" s="396"/>
      <c r="AA165" s="5"/>
      <c r="AB165" s="161"/>
      <c r="AC165" s="5"/>
      <c r="AD165" s="5"/>
      <c r="AE165" s="5"/>
      <c r="AF165" s="5"/>
      <c r="AG165" s="5"/>
      <c r="AH165" s="5"/>
      <c r="AI165" s="5"/>
      <c r="AJ165" s="5"/>
      <c r="AK165" s="5"/>
      <c r="AL165" s="5"/>
      <c r="AM165" s="5"/>
      <c r="AN165" s="5" t="s">
        <v>958</v>
      </c>
      <c r="AO165" s="396" t="s">
        <v>959</v>
      </c>
      <c r="AP165" s="396"/>
      <c r="AQ165" s="396"/>
      <c r="AT165" s="5"/>
      <c r="AU165" s="161" t="s">
        <v>63</v>
      </c>
      <c r="AV165" s="716">
        <v>2.4</v>
      </c>
      <c r="AW165" s="716"/>
      <c r="AX165" s="5" t="s">
        <v>4</v>
      </c>
      <c r="AY165" s="5"/>
      <c r="AZ165" s="5"/>
      <c r="BA165" s="5"/>
      <c r="BB165" s="5"/>
      <c r="BC165" s="5"/>
      <c r="BD165" s="5"/>
      <c r="BE165" s="373"/>
      <c r="BF165" s="5"/>
      <c r="BG165" s="5" t="s">
        <v>958</v>
      </c>
      <c r="BH165" s="396" t="s">
        <v>959</v>
      </c>
      <c r="BI165" s="396"/>
      <c r="BJ165" s="396"/>
      <c r="BM165" s="5"/>
      <c r="BN165" s="161" t="s">
        <v>63</v>
      </c>
      <c r="BO165" s="716">
        <v>2.4</v>
      </c>
      <c r="BP165" s="716"/>
      <c r="BQ165" s="5" t="s">
        <v>4</v>
      </c>
      <c r="BR165" s="5"/>
      <c r="BS165" s="5"/>
      <c r="BT165" s="5"/>
      <c r="BU165" s="5"/>
      <c r="BV165" s="5"/>
      <c r="BW165" s="5"/>
      <c r="BX165" s="373"/>
      <c r="BY165" s="5"/>
      <c r="BZ165" s="5"/>
      <c r="CA165" s="5"/>
      <c r="CB165" s="5"/>
      <c r="CC165" s="5"/>
      <c r="CD165" s="5"/>
      <c r="CE165" s="5"/>
      <c r="CF165" s="396"/>
      <c r="CG165" s="396"/>
      <c r="CH165" s="396"/>
      <c r="CK165" s="5"/>
      <c r="CL165" s="161"/>
      <c r="CM165" s="5"/>
      <c r="CN165" s="5"/>
      <c r="CO165" s="5"/>
      <c r="CP165" s="5"/>
      <c r="CQ165" s="5"/>
      <c r="CR165" s="5"/>
      <c r="CS165" s="5"/>
      <c r="CT165" s="5"/>
      <c r="CU165" s="5"/>
      <c r="CV165" s="5"/>
      <c r="CW165" s="372"/>
      <c r="CX165" s="5"/>
      <c r="CY165" s="5"/>
      <c r="CZ165" s="396"/>
      <c r="DA165" s="396"/>
      <c r="DB165" s="396"/>
      <c r="DE165" s="5"/>
      <c r="DF165" s="161"/>
      <c r="DG165" s="5"/>
      <c r="DH165" s="5"/>
      <c r="DI165" s="5"/>
      <c r="DJ165" s="5"/>
      <c r="DK165" s="5"/>
      <c r="DL165" s="5"/>
      <c r="DM165" s="5"/>
      <c r="DN165" s="5"/>
      <c r="DO165" s="5"/>
      <c r="DP165" s="5"/>
      <c r="DR165" s="372"/>
      <c r="DS165" s="5"/>
      <c r="DT165" s="5"/>
      <c r="DU165" s="396"/>
      <c r="DV165" s="396"/>
      <c r="DW165" s="396"/>
      <c r="DX165" s="5"/>
      <c r="DY165" s="5"/>
      <c r="DZ165" s="5"/>
      <c r="EA165" s="161"/>
      <c r="EB165" s="716"/>
      <c r="EC165" s="716"/>
      <c r="ED165" s="5"/>
      <c r="EE165" s="5"/>
      <c r="EF165" s="5"/>
      <c r="EG165" s="5"/>
      <c r="EH165" s="5"/>
      <c r="EI165" s="5"/>
      <c r="EJ165" s="5"/>
      <c r="EK165" s="5"/>
    </row>
    <row r="166" spans="1:141" ht="15.6">
      <c r="A166" s="5"/>
      <c r="B166" s="5" t="s">
        <v>960</v>
      </c>
      <c r="C166" s="396" t="s">
        <v>961</v>
      </c>
      <c r="D166" s="396"/>
      <c r="E166" s="396"/>
      <c r="H166" s="5"/>
      <c r="I166" s="161" t="s">
        <v>63</v>
      </c>
      <c r="J166" s="716">
        <v>30.152000000000001</v>
      </c>
      <c r="K166" s="716"/>
      <c r="L166" s="5" t="s">
        <v>4</v>
      </c>
      <c r="M166" s="5"/>
      <c r="N166" s="5"/>
      <c r="O166" s="5"/>
      <c r="P166" s="5"/>
      <c r="Q166" s="5"/>
      <c r="R166" s="5"/>
      <c r="S166" s="5"/>
      <c r="T166" s="374"/>
      <c r="U166" s="5"/>
      <c r="V166" s="396"/>
      <c r="W166" s="396"/>
      <c r="X166" s="396"/>
      <c r="AA166" s="5"/>
      <c r="AB166" s="161"/>
      <c r="AC166" s="5"/>
      <c r="AD166" s="5"/>
      <c r="AE166" s="5"/>
      <c r="AF166" s="5"/>
      <c r="AG166" s="5"/>
      <c r="AH166" s="5"/>
      <c r="AI166" s="5"/>
      <c r="AJ166" s="5"/>
      <c r="AK166" s="5"/>
      <c r="AL166" s="5"/>
      <c r="AM166" s="5"/>
      <c r="AN166" s="5" t="s">
        <v>960</v>
      </c>
      <c r="AO166" s="396" t="s">
        <v>961</v>
      </c>
      <c r="AP166" s="396"/>
      <c r="AQ166" s="396"/>
      <c r="AT166" s="5"/>
      <c r="AU166" s="161" t="s">
        <v>63</v>
      </c>
      <c r="AV166" s="716">
        <v>30.152000000000001</v>
      </c>
      <c r="AW166" s="716"/>
      <c r="AX166" s="5" t="s">
        <v>4</v>
      </c>
      <c r="AY166" s="5"/>
      <c r="AZ166" s="5"/>
      <c r="BA166" s="5"/>
      <c r="BB166" s="5"/>
      <c r="BC166" s="5"/>
      <c r="BD166" s="5"/>
      <c r="BE166" s="373"/>
      <c r="BF166" s="5"/>
      <c r="BG166" s="5" t="s">
        <v>960</v>
      </c>
      <c r="BH166" s="396" t="s">
        <v>961</v>
      </c>
      <c r="BI166" s="396"/>
      <c r="BJ166" s="396"/>
      <c r="BM166" s="5"/>
      <c r="BN166" s="161" t="s">
        <v>63</v>
      </c>
      <c r="BO166" s="716">
        <v>30.152000000000001</v>
      </c>
      <c r="BP166" s="716"/>
      <c r="BQ166" s="5" t="s">
        <v>4</v>
      </c>
      <c r="BR166" s="5"/>
      <c r="BS166" s="5"/>
      <c r="BT166" s="5"/>
      <c r="BU166" s="5"/>
      <c r="BV166" s="5"/>
      <c r="BW166" s="5"/>
      <c r="BX166" s="373"/>
      <c r="BY166" s="5"/>
      <c r="BZ166" s="5"/>
      <c r="CA166" s="5"/>
      <c r="CB166" s="5"/>
      <c r="CC166" s="5"/>
      <c r="CD166" s="5"/>
      <c r="CE166" s="5"/>
      <c r="CF166" s="396"/>
      <c r="CG166" s="396"/>
      <c r="CH166" s="396"/>
      <c r="CK166" s="5"/>
      <c r="CL166" s="161"/>
      <c r="CM166" s="5"/>
      <c r="CN166" s="5"/>
      <c r="CO166" s="5"/>
      <c r="CP166" s="5"/>
      <c r="CQ166" s="5"/>
      <c r="CR166" s="5"/>
      <c r="CS166" s="5"/>
      <c r="CT166" s="5"/>
      <c r="CU166" s="5"/>
      <c r="CV166" s="5"/>
      <c r="CW166" s="372"/>
      <c r="CX166" s="5"/>
      <c r="CY166" s="5"/>
      <c r="CZ166" s="396"/>
      <c r="DA166" s="396"/>
      <c r="DB166" s="396"/>
      <c r="DE166" s="5"/>
      <c r="DF166" s="161"/>
      <c r="DG166" s="5"/>
      <c r="DH166" s="5"/>
      <c r="DI166" s="5"/>
      <c r="DJ166" s="5"/>
      <c r="DK166" s="5"/>
      <c r="DL166" s="5"/>
      <c r="DM166" s="5"/>
      <c r="DN166" s="5"/>
      <c r="DO166" s="5"/>
      <c r="DP166" s="5"/>
      <c r="DR166" s="372"/>
      <c r="DS166" s="5"/>
      <c r="DT166" s="5"/>
      <c r="DU166" s="396"/>
      <c r="DV166" s="396"/>
      <c r="DW166" s="396"/>
      <c r="DX166" s="5"/>
      <c r="DY166" s="5"/>
      <c r="DZ166" s="5"/>
      <c r="EA166" s="161"/>
      <c r="EB166" s="716"/>
      <c r="EC166" s="716"/>
      <c r="ED166" s="5"/>
      <c r="EE166" s="5"/>
      <c r="EF166" s="5"/>
      <c r="EG166" s="5"/>
      <c r="EH166" s="5"/>
      <c r="EI166" s="5"/>
      <c r="EJ166" s="5"/>
      <c r="EK166" s="5"/>
    </row>
    <row r="167" spans="1:141" ht="15.6">
      <c r="A167" s="5"/>
      <c r="B167" s="5" t="s">
        <v>962</v>
      </c>
      <c r="C167" s="396" t="s">
        <v>963</v>
      </c>
      <c r="D167" s="396"/>
      <c r="E167" s="396"/>
      <c r="H167" s="5"/>
      <c r="I167" s="161" t="s">
        <v>63</v>
      </c>
      <c r="J167" s="937">
        <v>12</v>
      </c>
      <c r="K167" s="716"/>
      <c r="L167" s="5" t="s">
        <v>4</v>
      </c>
      <c r="M167" s="375" t="s">
        <v>964</v>
      </c>
      <c r="N167" s="5"/>
      <c r="O167" s="5"/>
      <c r="P167" s="5"/>
      <c r="Q167" s="5"/>
      <c r="R167" s="5"/>
      <c r="S167" s="5"/>
      <c r="T167" s="374"/>
      <c r="U167" s="5"/>
      <c r="V167" s="396"/>
      <c r="W167" s="396"/>
      <c r="X167" s="396"/>
      <c r="AA167" s="5"/>
      <c r="AB167" s="161"/>
      <c r="AC167" s="375"/>
      <c r="AD167" s="5"/>
      <c r="AE167" s="5"/>
      <c r="AF167" s="375"/>
      <c r="AG167" s="5"/>
      <c r="AH167" s="5"/>
      <c r="AI167" s="5"/>
      <c r="AJ167" s="5"/>
      <c r="AK167" s="5"/>
      <c r="AL167" s="5"/>
      <c r="AM167" s="5"/>
      <c r="AN167" s="5" t="s">
        <v>962</v>
      </c>
      <c r="AO167" s="396" t="s">
        <v>963</v>
      </c>
      <c r="AP167" s="396"/>
      <c r="AQ167" s="396"/>
      <c r="AT167" s="5"/>
      <c r="AU167" s="161" t="s">
        <v>63</v>
      </c>
      <c r="AV167" s="937">
        <v>12</v>
      </c>
      <c r="AW167" s="716"/>
      <c r="AX167" s="5" t="s">
        <v>4</v>
      </c>
      <c r="AY167" s="375" t="s">
        <v>964</v>
      </c>
      <c r="AZ167" s="5"/>
      <c r="BA167" s="5"/>
      <c r="BB167" s="5"/>
      <c r="BC167" s="5"/>
      <c r="BD167" s="5"/>
      <c r="BE167" s="373"/>
      <c r="BF167" s="5"/>
      <c r="BG167" s="5" t="s">
        <v>962</v>
      </c>
      <c r="BH167" s="396" t="s">
        <v>963</v>
      </c>
      <c r="BI167" s="396"/>
      <c r="BJ167" s="396"/>
      <c r="BM167" s="5"/>
      <c r="BN167" s="161" t="s">
        <v>63</v>
      </c>
      <c r="BO167" s="937">
        <v>12</v>
      </c>
      <c r="BP167" s="716"/>
      <c r="BQ167" s="5" t="s">
        <v>4</v>
      </c>
      <c r="BR167" s="375" t="s">
        <v>964</v>
      </c>
      <c r="BS167" s="5"/>
      <c r="BT167" s="5"/>
      <c r="BU167" s="5"/>
      <c r="BV167" s="5"/>
      <c r="BW167" s="5"/>
      <c r="BX167" s="373"/>
      <c r="BY167" s="5"/>
      <c r="BZ167" s="5"/>
      <c r="CA167" s="5"/>
      <c r="CB167" s="5"/>
      <c r="CC167" s="5"/>
      <c r="CD167" s="5"/>
      <c r="CE167" s="5"/>
      <c r="CF167" s="396"/>
      <c r="CG167" s="396"/>
      <c r="CH167" s="396"/>
      <c r="CK167" s="5"/>
      <c r="CL167" s="161"/>
      <c r="CM167" s="375"/>
      <c r="CN167" s="5"/>
      <c r="CO167" s="5"/>
      <c r="CP167" s="375"/>
      <c r="CQ167" s="5"/>
      <c r="CR167" s="5"/>
      <c r="CS167" s="5"/>
      <c r="CT167" s="5"/>
      <c r="CU167" s="5"/>
      <c r="CV167" s="5"/>
      <c r="CW167" s="372"/>
      <c r="CX167" s="5"/>
      <c r="CY167" s="5"/>
      <c r="CZ167" s="396"/>
      <c r="DA167" s="396"/>
      <c r="DB167" s="396"/>
      <c r="DE167" s="5"/>
      <c r="DF167" s="161"/>
      <c r="DG167" s="375"/>
      <c r="DH167" s="5"/>
      <c r="DI167" s="5"/>
      <c r="DJ167" s="375"/>
      <c r="DK167" s="5"/>
      <c r="DL167" s="5"/>
      <c r="DM167" s="5"/>
      <c r="DN167" s="5"/>
      <c r="DO167" s="5"/>
      <c r="DP167" s="5"/>
      <c r="DR167" s="372"/>
      <c r="DS167" s="5"/>
      <c r="DT167" s="5"/>
      <c r="DU167" s="396"/>
      <c r="DV167" s="396"/>
      <c r="DW167" s="396"/>
      <c r="DX167" s="5"/>
      <c r="DY167" s="5"/>
      <c r="DZ167" s="5"/>
      <c r="EA167" s="161"/>
      <c r="EB167" s="716"/>
      <c r="EC167" s="716"/>
      <c r="ED167" s="5"/>
      <c r="EE167" s="5"/>
      <c r="EF167" s="5"/>
      <c r="EG167" s="5"/>
      <c r="EH167" s="5"/>
      <c r="EI167" s="5"/>
      <c r="EJ167" s="5"/>
      <c r="EK167" s="5"/>
    </row>
    <row r="168" spans="1:141">
      <c r="A168" s="5"/>
      <c r="B168" s="5"/>
      <c r="C168" s="5"/>
      <c r="D168" s="5"/>
      <c r="E168" s="5"/>
      <c r="F168" s="5"/>
      <c r="G168" s="5"/>
      <c r="H168" s="5"/>
      <c r="I168" s="5"/>
      <c r="J168" s="5"/>
      <c r="K168" s="5"/>
      <c r="L168" s="5"/>
      <c r="M168" s="5"/>
      <c r="N168" s="5"/>
      <c r="O168" s="5"/>
      <c r="P168" s="5"/>
      <c r="Q168" s="5"/>
      <c r="R168" s="5"/>
      <c r="S168" s="5"/>
      <c r="T168" s="374"/>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373"/>
      <c r="BF168" s="5"/>
      <c r="BG168" s="5"/>
      <c r="BH168" s="5"/>
      <c r="BI168" s="5"/>
      <c r="BJ168" s="5"/>
      <c r="BK168" s="5"/>
      <c r="BL168" s="5"/>
      <c r="BM168" s="5"/>
      <c r="BN168" s="5"/>
      <c r="BO168" s="5"/>
      <c r="BP168" s="5"/>
      <c r="BQ168" s="5"/>
      <c r="BR168" s="5"/>
      <c r="BS168" s="5"/>
      <c r="BT168" s="5"/>
      <c r="BU168" s="5"/>
      <c r="BV168" s="5"/>
      <c r="BW168" s="5"/>
      <c r="BX168" s="373"/>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372"/>
      <c r="CX168" s="5"/>
      <c r="CY168" s="5"/>
      <c r="CZ168" s="5"/>
      <c r="DA168" s="5"/>
      <c r="DB168" s="5"/>
      <c r="DC168" s="5"/>
      <c r="DD168" s="5"/>
      <c r="DE168" s="5"/>
      <c r="DF168" s="5"/>
      <c r="DG168" s="5"/>
      <c r="DH168" s="5"/>
      <c r="DI168" s="5"/>
      <c r="DJ168" s="5"/>
      <c r="DK168" s="5"/>
      <c r="DL168" s="5"/>
      <c r="DM168" s="5"/>
      <c r="DN168" s="5"/>
      <c r="DO168" s="5"/>
      <c r="DP168" s="5"/>
      <c r="DR168" s="372"/>
      <c r="DS168" s="5"/>
      <c r="DT168" s="5"/>
      <c r="DU168" s="5"/>
      <c r="DV168" s="5"/>
      <c r="DW168" s="5"/>
      <c r="DX168" s="5"/>
      <c r="DY168" s="5"/>
      <c r="DZ168" s="5"/>
      <c r="EA168" s="5"/>
      <c r="EB168" s="5"/>
      <c r="EC168" s="5"/>
      <c r="ED168" s="5"/>
      <c r="EE168" s="5"/>
      <c r="EF168" s="5"/>
      <c r="EG168" s="5"/>
      <c r="EH168" s="5"/>
      <c r="EI168" s="5"/>
      <c r="EJ168" s="5"/>
      <c r="EK168" s="5"/>
    </row>
    <row r="169" spans="1:141" ht="15.6">
      <c r="A169" s="161" t="s">
        <v>965</v>
      </c>
      <c r="B169" s="161" t="s">
        <v>63</v>
      </c>
      <c r="C169" s="5" t="s">
        <v>9</v>
      </c>
      <c r="D169" s="5"/>
      <c r="E169" s="5"/>
      <c r="F169" s="5"/>
      <c r="G169" s="5"/>
      <c r="H169" s="5"/>
      <c r="I169" s="5"/>
      <c r="J169" s="5"/>
      <c r="K169" s="5"/>
      <c r="L169" s="5"/>
      <c r="M169" s="5"/>
      <c r="N169" s="5"/>
      <c r="O169" s="5"/>
      <c r="P169" s="5"/>
      <c r="Q169" s="5"/>
      <c r="R169" s="5"/>
      <c r="S169" s="5"/>
      <c r="T169" s="374"/>
      <c r="U169" s="161"/>
      <c r="V169" s="5"/>
      <c r="W169" s="5"/>
      <c r="X169" s="5"/>
      <c r="Y169" s="5"/>
      <c r="Z169" s="5"/>
      <c r="AA169" s="5"/>
      <c r="AB169" s="5"/>
      <c r="AC169" s="5"/>
      <c r="AD169" s="5"/>
      <c r="AE169" s="5"/>
      <c r="AF169" s="5"/>
      <c r="AG169" s="5"/>
      <c r="AH169" s="5"/>
      <c r="AI169" s="5"/>
      <c r="AJ169" s="5"/>
      <c r="AK169" s="5"/>
      <c r="AL169" s="5"/>
      <c r="AM169" s="161" t="s">
        <v>965</v>
      </c>
      <c r="AN169" s="161" t="s">
        <v>63</v>
      </c>
      <c r="AO169" s="5" t="s">
        <v>9</v>
      </c>
      <c r="AP169" s="5"/>
      <c r="AQ169" s="5"/>
      <c r="AR169" s="5"/>
      <c r="AS169" s="5"/>
      <c r="AT169" s="5"/>
      <c r="AU169" s="5"/>
      <c r="AV169" s="5"/>
      <c r="AW169" s="5"/>
      <c r="AX169" s="5"/>
      <c r="AY169" s="5"/>
      <c r="AZ169" s="5"/>
      <c r="BA169" s="5"/>
      <c r="BB169" s="5"/>
      <c r="BC169" s="5"/>
      <c r="BD169" s="5"/>
      <c r="BE169" s="373"/>
      <c r="BF169" s="161" t="s">
        <v>965</v>
      </c>
      <c r="BG169" s="161" t="s">
        <v>63</v>
      </c>
      <c r="BH169" s="5" t="s">
        <v>9</v>
      </c>
      <c r="BI169" s="5"/>
      <c r="BJ169" s="5"/>
      <c r="BK169" s="5"/>
      <c r="BL169" s="5"/>
      <c r="BM169" s="5"/>
      <c r="BN169" s="5"/>
      <c r="BO169" s="5"/>
      <c r="BP169" s="5"/>
      <c r="BQ169" s="5"/>
      <c r="BR169" s="5"/>
      <c r="BS169" s="5"/>
      <c r="BT169" s="5"/>
      <c r="BU169" s="5"/>
      <c r="BV169" s="5"/>
      <c r="BW169" s="5"/>
      <c r="BX169" s="373"/>
      <c r="BY169" s="5"/>
      <c r="BZ169" s="5"/>
      <c r="CA169" s="5"/>
      <c r="CB169" s="5"/>
      <c r="CC169" s="5"/>
      <c r="CD169" s="161"/>
      <c r="CE169" s="161"/>
      <c r="CF169" s="5"/>
      <c r="CG169" s="5"/>
      <c r="CH169" s="5"/>
      <c r="CI169" s="5"/>
      <c r="CJ169" s="5"/>
      <c r="CK169" s="5"/>
      <c r="CL169" s="5"/>
      <c r="CM169" s="5"/>
      <c r="CN169" s="5"/>
      <c r="CO169" s="5"/>
      <c r="CP169" s="5"/>
      <c r="CQ169" s="5"/>
      <c r="CR169" s="5"/>
      <c r="CS169" s="5"/>
      <c r="CT169" s="5"/>
      <c r="CU169" s="5"/>
      <c r="CV169" s="5"/>
      <c r="CW169" s="372"/>
      <c r="CX169" s="161"/>
      <c r="CY169" s="161"/>
      <c r="CZ169" s="5"/>
      <c r="DA169" s="5"/>
      <c r="DB169" s="5"/>
      <c r="DC169" s="5"/>
      <c r="DD169" s="5"/>
      <c r="DE169" s="5"/>
      <c r="DF169" s="5"/>
      <c r="DG169" s="5"/>
      <c r="DH169" s="5"/>
      <c r="DI169" s="5"/>
      <c r="DJ169" s="5"/>
      <c r="DK169" s="5"/>
      <c r="DL169" s="5"/>
      <c r="DM169" s="5"/>
      <c r="DN169" s="5"/>
      <c r="DO169" s="5"/>
      <c r="DP169" s="5"/>
      <c r="DR169" s="372"/>
      <c r="DS169" s="161"/>
      <c r="DT169" s="161"/>
      <c r="DU169" s="5"/>
      <c r="DV169" s="5"/>
      <c r="DW169" s="5"/>
      <c r="DX169" s="5"/>
      <c r="DY169" s="5"/>
      <c r="DZ169" s="5"/>
      <c r="EA169" s="5"/>
      <c r="EB169" s="5"/>
      <c r="EC169" s="5"/>
      <c r="ED169" s="5"/>
      <c r="EE169" s="5"/>
      <c r="EF169" s="5"/>
      <c r="EG169" s="5"/>
      <c r="EH169" s="5"/>
      <c r="EI169" s="5"/>
      <c r="EJ169" s="5"/>
      <c r="EK169" s="5"/>
    </row>
    <row r="170" spans="1:141">
      <c r="A170" s="5"/>
      <c r="B170" s="161" t="s">
        <v>63</v>
      </c>
      <c r="C170" s="375" t="s">
        <v>966</v>
      </c>
      <c r="D170" s="5"/>
      <c r="E170" s="5"/>
      <c r="F170" s="5"/>
      <c r="G170" s="5"/>
      <c r="H170" s="5"/>
      <c r="I170" s="5"/>
      <c r="J170" s="5"/>
      <c r="K170" s="5"/>
      <c r="L170" s="5"/>
      <c r="M170" s="5"/>
      <c r="N170" s="5"/>
      <c r="O170" s="5"/>
      <c r="P170" s="5"/>
      <c r="Q170" s="5"/>
      <c r="R170" s="5"/>
      <c r="S170" s="5"/>
      <c r="T170" s="374"/>
      <c r="U170" s="161"/>
      <c r="V170" s="375"/>
      <c r="W170" s="5"/>
      <c r="X170" s="5"/>
      <c r="Y170" s="5"/>
      <c r="Z170" s="5"/>
      <c r="AA170" s="5"/>
      <c r="AB170" s="5"/>
      <c r="AC170" s="5"/>
      <c r="AD170" s="5"/>
      <c r="AE170" s="5"/>
      <c r="AF170" s="5"/>
      <c r="AG170" s="5"/>
      <c r="AH170" s="5"/>
      <c r="AI170" s="5"/>
      <c r="AJ170" s="5"/>
      <c r="AK170" s="5"/>
      <c r="AL170" s="5"/>
      <c r="AM170" s="5"/>
      <c r="AN170" s="161" t="s">
        <v>63</v>
      </c>
      <c r="AO170" s="375" t="s">
        <v>966</v>
      </c>
      <c r="AP170" s="5"/>
      <c r="AQ170" s="5"/>
      <c r="AR170" s="5"/>
      <c r="AS170" s="5"/>
      <c r="AT170" s="5"/>
      <c r="AU170" s="5"/>
      <c r="AV170" s="5"/>
      <c r="AW170" s="5"/>
      <c r="AX170" s="5"/>
      <c r="AY170" s="5"/>
      <c r="AZ170" s="5"/>
      <c r="BA170" s="5"/>
      <c r="BB170" s="5"/>
      <c r="BC170" s="5"/>
      <c r="BD170" s="5"/>
      <c r="BE170" s="373"/>
      <c r="BF170" s="5"/>
      <c r="BG170" s="161" t="s">
        <v>63</v>
      </c>
      <c r="BH170" s="375" t="s">
        <v>966</v>
      </c>
      <c r="BI170" s="5"/>
      <c r="BJ170" s="5"/>
      <c r="BK170" s="5"/>
      <c r="BL170" s="5"/>
      <c r="BM170" s="5"/>
      <c r="BN170" s="5"/>
      <c r="BO170" s="5"/>
      <c r="BP170" s="5"/>
      <c r="BQ170" s="5"/>
      <c r="BR170" s="5"/>
      <c r="BS170" s="5"/>
      <c r="BT170" s="5"/>
      <c r="BU170" s="5"/>
      <c r="BV170" s="5"/>
      <c r="BW170" s="5"/>
      <c r="BX170" s="373"/>
      <c r="BY170" s="5"/>
      <c r="BZ170" s="5"/>
      <c r="CA170" s="5"/>
      <c r="CB170" s="5"/>
      <c r="CC170" s="5"/>
      <c r="CD170" s="5"/>
      <c r="CE170" s="161"/>
      <c r="CF170" s="375"/>
      <c r="CG170" s="5"/>
      <c r="CH170" s="5"/>
      <c r="CI170" s="5"/>
      <c r="CJ170" s="5"/>
      <c r="CK170" s="5"/>
      <c r="CL170" s="5"/>
      <c r="CM170" s="5"/>
      <c r="CN170" s="5"/>
      <c r="CO170" s="5"/>
      <c r="CP170" s="5"/>
      <c r="CQ170" s="5"/>
      <c r="CR170" s="5"/>
      <c r="CS170" s="5"/>
      <c r="CT170" s="5"/>
      <c r="CU170" s="5"/>
      <c r="CV170" s="5"/>
      <c r="CW170" s="5"/>
      <c r="CX170" s="5"/>
      <c r="CY170" s="161"/>
      <c r="CZ170" s="375"/>
      <c r="DA170" s="5"/>
      <c r="DB170" s="5"/>
      <c r="DC170" s="5"/>
      <c r="DD170" s="5"/>
      <c r="DE170" s="5"/>
      <c r="DF170" s="5"/>
      <c r="DG170" s="5"/>
      <c r="DH170" s="5"/>
      <c r="DI170" s="5"/>
      <c r="DJ170" s="5"/>
      <c r="DK170" s="5"/>
      <c r="DL170" s="5"/>
      <c r="DM170" s="5"/>
      <c r="DN170" s="5"/>
      <c r="DO170" s="5"/>
      <c r="DP170" s="5"/>
      <c r="DR170" s="5"/>
      <c r="DS170" s="5"/>
      <c r="DT170" s="161"/>
      <c r="DU170" s="5"/>
      <c r="DV170" s="5"/>
      <c r="DW170" s="5"/>
      <c r="DX170" s="5"/>
      <c r="DY170" s="5"/>
      <c r="DZ170" s="5"/>
      <c r="EA170" s="5"/>
      <c r="EB170" s="5"/>
      <c r="EC170" s="5"/>
      <c r="ED170" s="5"/>
      <c r="EE170" s="5"/>
      <c r="EF170" s="5"/>
      <c r="EG170" s="5"/>
      <c r="EH170" s="5"/>
      <c r="EI170" s="5"/>
      <c r="EJ170" s="5"/>
      <c r="EK170" s="5"/>
    </row>
    <row r="171" spans="1:141" ht="16.2">
      <c r="A171" s="5"/>
      <c r="B171" s="161" t="s">
        <v>63</v>
      </c>
      <c r="C171" s="931">
        <f>$G$3*($G$5+$G$7)+0.85*$G$3*($G$6-$G$7)+0.85*((J164*J165)+0.75*(J166*J167))</f>
        <v>5267.3532750000004</v>
      </c>
      <c r="D171" s="931"/>
      <c r="E171" s="161" t="s">
        <v>500</v>
      </c>
      <c r="F171" s="5"/>
      <c r="G171" s="5"/>
      <c r="H171" s="5"/>
      <c r="I171" s="5"/>
      <c r="J171" s="5"/>
      <c r="K171" s="5"/>
      <c r="L171" s="5"/>
      <c r="M171" s="5"/>
      <c r="N171" s="5"/>
      <c r="O171" s="5"/>
      <c r="P171" s="5"/>
      <c r="Q171" s="5"/>
      <c r="R171" s="5"/>
      <c r="S171" s="5"/>
      <c r="T171" s="374"/>
      <c r="U171" s="161"/>
      <c r="V171" s="426"/>
      <c r="W171" s="426"/>
      <c r="X171" s="161"/>
      <c r="Y171" s="5"/>
      <c r="Z171" s="5"/>
      <c r="AA171" s="5"/>
      <c r="AB171" s="5"/>
      <c r="AC171" s="5"/>
      <c r="AD171" s="5"/>
      <c r="AE171" s="5"/>
      <c r="AF171" s="5"/>
      <c r="AG171" s="5"/>
      <c r="AH171" s="5"/>
      <c r="AI171" s="5"/>
      <c r="AJ171" s="5"/>
      <c r="AK171" s="5"/>
      <c r="AL171" s="5"/>
      <c r="AM171" s="5"/>
      <c r="AN171" s="161" t="s">
        <v>63</v>
      </c>
      <c r="AO171" s="931">
        <f>$G$3*($G$5+$G$7)+0.85*$G$3*($G$6-$G$7)+0.85*((AV164*AV165)+0.75*(AV166*AV167))</f>
        <v>5266.0758100000003</v>
      </c>
      <c r="AP171" s="931"/>
      <c r="AQ171" s="161" t="s">
        <v>500</v>
      </c>
      <c r="AR171" s="5"/>
      <c r="AS171" s="5"/>
      <c r="AT171" s="5"/>
      <c r="AU171" s="5"/>
      <c r="AV171" s="5"/>
      <c r="AW171" s="5"/>
      <c r="AX171" s="5"/>
      <c r="AY171" s="5"/>
      <c r="AZ171" s="5"/>
      <c r="BA171" s="5"/>
      <c r="BB171" s="5"/>
      <c r="BC171" s="5"/>
      <c r="BD171" s="5"/>
      <c r="BE171" s="373"/>
      <c r="BF171" s="5"/>
      <c r="BG171" s="161" t="s">
        <v>63</v>
      </c>
      <c r="BH171" s="931">
        <f>$G$3*($G$5+$G$7)+0.85*$G$3*($G$6-$G$7)+0.85*((BO164*BO165)+0.75*(BO166*BO167))</f>
        <v>5266.0758100000003</v>
      </c>
      <c r="BI171" s="931"/>
      <c r="BJ171" s="161" t="s">
        <v>500</v>
      </c>
      <c r="BK171" s="5"/>
      <c r="BL171" s="5"/>
      <c r="BM171" s="5"/>
      <c r="BN171" s="5"/>
      <c r="BO171" s="5"/>
      <c r="BP171" s="5"/>
      <c r="BQ171" s="5"/>
      <c r="BR171" s="5"/>
      <c r="BS171" s="5"/>
      <c r="BT171" s="5"/>
      <c r="BU171" s="5"/>
      <c r="BV171" s="5"/>
      <c r="BW171" s="5"/>
      <c r="BX171" s="373"/>
      <c r="BY171" s="5"/>
      <c r="BZ171" s="5"/>
      <c r="CA171" s="5"/>
      <c r="CB171" s="5"/>
      <c r="CC171" s="5"/>
      <c r="CD171" s="5"/>
      <c r="CE171" s="161"/>
      <c r="CF171" s="397"/>
      <c r="CG171" s="397"/>
      <c r="CH171" s="161"/>
      <c r="CI171" s="5"/>
      <c r="CJ171" s="5"/>
      <c r="CK171" s="5"/>
      <c r="CL171" s="5"/>
      <c r="CM171" s="5"/>
      <c r="CN171" s="5"/>
      <c r="CO171" s="5"/>
      <c r="CP171" s="5"/>
      <c r="CQ171" s="5"/>
      <c r="CR171" s="5"/>
      <c r="CS171" s="5"/>
      <c r="CT171" s="5"/>
      <c r="CU171" s="5"/>
      <c r="CV171" s="5"/>
      <c r="CW171" s="372"/>
      <c r="CX171" s="5"/>
      <c r="CY171" s="161"/>
      <c r="CZ171" s="397"/>
      <c r="DA171" s="397"/>
      <c r="DB171" s="161"/>
      <c r="DC171" s="5"/>
      <c r="DD171" s="5"/>
      <c r="DE171" s="5"/>
      <c r="DF171" s="5"/>
      <c r="DG171" s="5"/>
      <c r="DH171" s="5"/>
      <c r="DI171" s="5"/>
      <c r="DJ171" s="5"/>
      <c r="DK171" s="5"/>
      <c r="DL171" s="5"/>
      <c r="DM171" s="5"/>
      <c r="DN171" s="5"/>
      <c r="DO171" s="5"/>
      <c r="DP171" s="5"/>
      <c r="DR171" s="372"/>
      <c r="DS171" s="5"/>
      <c r="DT171" s="161"/>
      <c r="DU171" s="716"/>
      <c r="DV171" s="716"/>
      <c r="DW171" s="161"/>
      <c r="DX171" s="5"/>
      <c r="DY171" s="5"/>
      <c r="DZ171" s="5"/>
      <c r="EA171" s="5"/>
      <c r="EB171" s="5"/>
      <c r="EC171" s="5"/>
      <c r="ED171" s="5"/>
      <c r="EE171" s="5"/>
      <c r="EF171" s="5"/>
      <c r="EG171" s="5"/>
      <c r="EH171" s="5"/>
      <c r="EI171" s="5"/>
      <c r="EJ171" s="5"/>
      <c r="EK171" s="5"/>
    </row>
    <row r="172" spans="1:141">
      <c r="A172" s="5"/>
      <c r="B172" s="5"/>
      <c r="C172" s="5"/>
      <c r="D172" s="5"/>
      <c r="E172" s="5"/>
      <c r="F172" s="5"/>
      <c r="G172" s="5"/>
      <c r="H172" s="5"/>
      <c r="I172" s="5"/>
      <c r="J172" s="5"/>
      <c r="K172" s="5"/>
      <c r="L172" s="5"/>
      <c r="M172" s="5"/>
      <c r="N172" s="5"/>
      <c r="O172" s="5"/>
      <c r="P172" s="5"/>
      <c r="Q172" s="5"/>
      <c r="R172" s="5"/>
      <c r="S172" s="5"/>
      <c r="T172" s="374"/>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373"/>
      <c r="BF172" s="5"/>
      <c r="BG172" s="5"/>
      <c r="BH172" s="5"/>
      <c r="BI172" s="5"/>
      <c r="BJ172" s="5"/>
      <c r="BK172" s="5"/>
      <c r="BL172" s="5"/>
      <c r="BM172" s="5"/>
      <c r="BN172" s="5"/>
      <c r="BO172" s="5"/>
      <c r="BP172" s="5"/>
      <c r="BQ172" s="5"/>
      <c r="BR172" s="5"/>
      <c r="BS172" s="5"/>
      <c r="BT172" s="5"/>
      <c r="BU172" s="5"/>
      <c r="BV172" s="5"/>
      <c r="BW172" s="5"/>
      <c r="BX172" s="373"/>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372"/>
      <c r="CX172" s="5"/>
      <c r="CY172" s="5"/>
      <c r="CZ172" s="5"/>
      <c r="DA172" s="5"/>
      <c r="DB172" s="5"/>
      <c r="DC172" s="5"/>
      <c r="DD172" s="5"/>
      <c r="DE172" s="5"/>
      <c r="DF172" s="5"/>
      <c r="DG172" s="5"/>
      <c r="DH172" s="5"/>
      <c r="DI172" s="5"/>
      <c r="DJ172" s="5"/>
      <c r="DK172" s="5"/>
      <c r="DL172" s="5"/>
      <c r="DM172" s="5"/>
      <c r="DN172" s="5"/>
      <c r="DO172" s="5"/>
      <c r="DP172" s="5"/>
      <c r="DR172" s="372"/>
      <c r="DS172" s="5"/>
      <c r="DT172" s="5"/>
      <c r="DU172" s="5"/>
      <c r="DV172" s="5"/>
      <c r="DW172" s="5"/>
      <c r="DX172" s="5"/>
      <c r="DY172" s="5"/>
      <c r="DZ172" s="5"/>
      <c r="EA172" s="5"/>
      <c r="EB172" s="5"/>
      <c r="EC172" s="5"/>
      <c r="ED172" s="5"/>
      <c r="EE172" s="5"/>
      <c r="EF172" s="5"/>
      <c r="EG172" s="5"/>
      <c r="EH172" s="5"/>
      <c r="EI172" s="5"/>
      <c r="EJ172" s="5"/>
      <c r="EK172" s="5"/>
    </row>
    <row r="173" spans="1:141">
      <c r="A173" s="5" t="s">
        <v>967</v>
      </c>
      <c r="B173" s="5"/>
      <c r="C173" s="5"/>
      <c r="D173" s="5"/>
      <c r="E173" s="5"/>
      <c r="F173" s="5"/>
      <c r="G173" s="5"/>
      <c r="H173" s="5"/>
      <c r="I173" s="5"/>
      <c r="J173" s="5"/>
      <c r="K173" s="5"/>
      <c r="L173" s="5"/>
      <c r="M173" s="5"/>
      <c r="N173" s="5"/>
      <c r="O173" s="5"/>
      <c r="P173" s="5"/>
      <c r="Q173" s="5"/>
      <c r="R173" s="5"/>
      <c r="S173" s="5"/>
      <c r="T173" s="374"/>
      <c r="U173" s="5"/>
      <c r="V173" s="5"/>
      <c r="W173" s="5"/>
      <c r="X173" s="5"/>
      <c r="Y173" s="5"/>
      <c r="Z173" s="5"/>
      <c r="AA173" s="5"/>
      <c r="AB173" s="5"/>
      <c r="AC173" s="5"/>
      <c r="AD173" s="5"/>
      <c r="AE173" s="5"/>
      <c r="AF173" s="5"/>
      <c r="AG173" s="5"/>
      <c r="AH173" s="5"/>
      <c r="AI173" s="5"/>
      <c r="AJ173" s="5"/>
      <c r="AK173" s="5"/>
      <c r="AL173" s="5"/>
      <c r="AM173" s="5" t="s">
        <v>967</v>
      </c>
      <c r="AN173" s="5"/>
      <c r="AO173" s="5"/>
      <c r="AP173" s="5"/>
      <c r="AQ173" s="5"/>
      <c r="AR173" s="5"/>
      <c r="AS173" s="5"/>
      <c r="AT173" s="5"/>
      <c r="AU173" s="5"/>
      <c r="AV173" s="5"/>
      <c r="AW173" s="5"/>
      <c r="AX173" s="5"/>
      <c r="AY173" s="5"/>
      <c r="AZ173" s="5"/>
      <c r="BA173" s="5"/>
      <c r="BB173" s="5"/>
      <c r="BC173" s="5"/>
      <c r="BD173" s="5"/>
      <c r="BE173" s="373"/>
      <c r="BF173" s="5" t="s">
        <v>967</v>
      </c>
      <c r="BG173" s="5"/>
      <c r="BH173" s="5"/>
      <c r="BI173" s="5"/>
      <c r="BJ173" s="5"/>
      <c r="BK173" s="5"/>
      <c r="BL173" s="5"/>
      <c r="BM173" s="5"/>
      <c r="BN173" s="5"/>
      <c r="BO173" s="5"/>
      <c r="BP173" s="5"/>
      <c r="BQ173" s="5"/>
      <c r="BR173" s="5"/>
      <c r="BS173" s="5"/>
      <c r="BT173" s="5"/>
      <c r="BU173" s="5"/>
      <c r="BV173" s="5"/>
      <c r="BW173" s="5"/>
      <c r="BX173" s="373"/>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372"/>
      <c r="CX173" s="5"/>
      <c r="CY173" s="5"/>
      <c r="CZ173" s="5"/>
      <c r="DA173" s="5"/>
      <c r="DB173" s="5"/>
      <c r="DC173" s="5"/>
      <c r="DD173" s="5"/>
      <c r="DE173" s="5"/>
      <c r="DF173" s="5"/>
      <c r="DG173" s="5"/>
      <c r="DH173" s="5"/>
      <c r="DI173" s="5"/>
      <c r="DJ173" s="5"/>
      <c r="DK173" s="5"/>
      <c r="DL173" s="5"/>
      <c r="DM173" s="5"/>
      <c r="DN173" s="5"/>
      <c r="DO173" s="5"/>
      <c r="DP173" s="5"/>
      <c r="DR173" s="372"/>
      <c r="DS173" s="5"/>
      <c r="DT173" s="5"/>
      <c r="DU173" s="5"/>
      <c r="DV173" s="5"/>
      <c r="DW173" s="5"/>
      <c r="DX173" s="5"/>
      <c r="DY173" s="5"/>
      <c r="DZ173" s="5"/>
      <c r="EA173" s="5"/>
      <c r="EB173" s="5"/>
      <c r="EC173" s="5"/>
      <c r="ED173" s="5"/>
      <c r="EE173" s="5"/>
      <c r="EF173" s="5"/>
      <c r="EG173" s="5"/>
      <c r="EH173" s="5"/>
      <c r="EI173" s="5"/>
      <c r="EJ173" s="5"/>
      <c r="EK173" s="5"/>
    </row>
    <row r="174" spans="1:141">
      <c r="A174" s="5"/>
      <c r="B174" s="5"/>
      <c r="C174" s="5"/>
      <c r="D174" s="5"/>
      <c r="E174" s="5"/>
      <c r="F174" s="5"/>
      <c r="G174" s="5"/>
      <c r="H174" s="5"/>
      <c r="I174" s="5"/>
      <c r="J174" s="5"/>
      <c r="K174" s="5"/>
      <c r="L174" s="5"/>
      <c r="M174" s="5"/>
      <c r="N174" s="5"/>
      <c r="O174" s="5"/>
      <c r="P174" s="5"/>
      <c r="Q174" s="5"/>
      <c r="R174" s="5"/>
      <c r="S174" s="5"/>
      <c r="T174" s="374"/>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373"/>
      <c r="BF174" s="5"/>
      <c r="BG174" s="5"/>
      <c r="BH174" s="5"/>
      <c r="BI174" s="5"/>
      <c r="BJ174" s="5"/>
      <c r="BK174" s="5"/>
      <c r="BL174" s="5"/>
      <c r="BM174" s="5"/>
      <c r="BN174" s="5"/>
      <c r="BO174" s="5"/>
      <c r="BP174" s="5"/>
      <c r="BQ174" s="5"/>
      <c r="BR174" s="5"/>
      <c r="BS174" s="5"/>
      <c r="BT174" s="5"/>
      <c r="BU174" s="5"/>
      <c r="BV174" s="5"/>
      <c r="BW174" s="5"/>
      <c r="BX174" s="373"/>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372"/>
      <c r="CX174" s="5"/>
      <c r="CY174" s="5"/>
      <c r="CZ174" s="5"/>
      <c r="DA174" s="5"/>
      <c r="DB174" s="5"/>
      <c r="DC174" s="5"/>
      <c r="DD174" s="5"/>
      <c r="DE174" s="5"/>
      <c r="DF174" s="5"/>
      <c r="DG174" s="5"/>
      <c r="DH174" s="5"/>
      <c r="DI174" s="5"/>
      <c r="DJ174" s="5"/>
      <c r="DK174" s="5"/>
      <c r="DL174" s="5"/>
      <c r="DM174" s="5"/>
      <c r="DN174" s="5"/>
      <c r="DO174" s="5"/>
      <c r="DP174" s="5"/>
      <c r="DR174" s="372"/>
      <c r="DS174" s="5"/>
      <c r="DT174" s="5"/>
      <c r="DU174" s="5"/>
      <c r="DV174" s="5"/>
      <c r="DW174" s="5"/>
      <c r="DX174" s="5"/>
      <c r="DY174" s="5"/>
      <c r="DZ174" s="5"/>
      <c r="EA174" s="5"/>
      <c r="EB174" s="5"/>
      <c r="EC174" s="5"/>
      <c r="ED174" s="5"/>
      <c r="EE174" s="5"/>
      <c r="EF174" s="5"/>
      <c r="EG174" s="5"/>
      <c r="EH174" s="5"/>
      <c r="EI174" s="5"/>
      <c r="EJ174" s="5"/>
      <c r="EK174" s="5"/>
    </row>
    <row r="175" spans="1:141" ht="16.2">
      <c r="A175" s="5" t="s">
        <v>968</v>
      </c>
      <c r="B175" s="161" t="s">
        <v>63</v>
      </c>
      <c r="C175" s="5" t="s">
        <v>969</v>
      </c>
      <c r="D175" s="5"/>
      <c r="E175" s="5"/>
      <c r="F175" s="5"/>
      <c r="G175" s="5"/>
      <c r="H175" s="5"/>
      <c r="I175" s="5"/>
      <c r="J175" s="5"/>
      <c r="K175" s="5"/>
      <c r="L175" s="5"/>
      <c r="M175" s="5"/>
      <c r="N175" s="5"/>
      <c r="O175" s="5"/>
      <c r="P175" s="5"/>
      <c r="Q175" s="5"/>
      <c r="R175" s="5"/>
      <c r="S175" s="5"/>
      <c r="T175" s="374"/>
      <c r="U175" s="161"/>
      <c r="V175" s="5"/>
      <c r="W175" s="5"/>
      <c r="X175" s="5"/>
      <c r="Y175" s="5"/>
      <c r="Z175" s="5"/>
      <c r="AA175" s="5"/>
      <c r="AB175" s="5"/>
      <c r="AC175" s="5"/>
      <c r="AD175" s="5"/>
      <c r="AE175" s="5"/>
      <c r="AF175" s="5"/>
      <c r="AG175" s="5"/>
      <c r="AH175" s="5"/>
      <c r="AI175" s="5"/>
      <c r="AJ175" s="5"/>
      <c r="AK175" s="5"/>
      <c r="AL175" s="5"/>
      <c r="AM175" s="5" t="s">
        <v>968</v>
      </c>
      <c r="AN175" s="161" t="s">
        <v>63</v>
      </c>
      <c r="AO175" s="5" t="s">
        <v>969</v>
      </c>
      <c r="AP175" s="5"/>
      <c r="AQ175" s="5"/>
      <c r="AR175" s="5"/>
      <c r="AS175" s="5"/>
      <c r="AT175" s="5"/>
      <c r="AU175" s="5"/>
      <c r="AV175" s="5"/>
      <c r="AW175" s="5"/>
      <c r="AX175" s="5"/>
      <c r="AY175" s="5"/>
      <c r="AZ175" s="5"/>
      <c r="BA175" s="5"/>
      <c r="BB175" s="5"/>
      <c r="BC175" s="5"/>
      <c r="BD175" s="5"/>
      <c r="BE175" s="373"/>
      <c r="BF175" s="5" t="s">
        <v>968</v>
      </c>
      <c r="BG175" s="161" t="s">
        <v>63</v>
      </c>
      <c r="BH175" s="5" t="s">
        <v>969</v>
      </c>
      <c r="BI175" s="5"/>
      <c r="BJ175" s="5"/>
      <c r="BK175" s="5"/>
      <c r="BL175" s="5"/>
      <c r="BM175" s="5"/>
      <c r="BN175" s="5"/>
      <c r="BO175" s="5"/>
      <c r="BP175" s="5"/>
      <c r="BQ175" s="5"/>
      <c r="BR175" s="5"/>
      <c r="BS175" s="5"/>
      <c r="BT175" s="5"/>
      <c r="BU175" s="5"/>
      <c r="BV175" s="5"/>
      <c r="BW175" s="5"/>
      <c r="BX175" s="373"/>
      <c r="BY175" s="5"/>
      <c r="BZ175" s="5"/>
      <c r="CA175" s="5"/>
      <c r="CB175" s="5"/>
      <c r="CC175" s="5"/>
      <c r="CD175" s="5"/>
      <c r="CE175" s="161"/>
      <c r="CF175" s="5"/>
      <c r="CG175" s="5"/>
      <c r="CH175" s="5"/>
      <c r="CI175" s="5"/>
      <c r="CJ175" s="5"/>
      <c r="CK175" s="5"/>
      <c r="CL175" s="5"/>
      <c r="CM175" s="5"/>
      <c r="CN175" s="5"/>
      <c r="CO175" s="5"/>
      <c r="CP175" s="5"/>
      <c r="CQ175" s="5"/>
      <c r="CR175" s="5"/>
      <c r="CS175" s="5"/>
      <c r="CT175" s="5"/>
      <c r="CU175" s="5"/>
      <c r="CV175" s="5"/>
      <c r="CW175" s="372"/>
      <c r="CX175" s="5"/>
      <c r="CY175" s="161"/>
      <c r="CZ175" s="5"/>
      <c r="DA175" s="5"/>
      <c r="DB175" s="5"/>
      <c r="DC175" s="5"/>
      <c r="DD175" s="5"/>
      <c r="DE175" s="5"/>
      <c r="DF175" s="5"/>
      <c r="DG175" s="5"/>
      <c r="DH175" s="5"/>
      <c r="DI175" s="5"/>
      <c r="DJ175" s="5"/>
      <c r="DK175" s="5"/>
      <c r="DL175" s="5"/>
      <c r="DM175" s="5"/>
      <c r="DN175" s="5"/>
      <c r="DO175" s="5"/>
      <c r="DP175" s="5"/>
      <c r="DR175" s="372"/>
      <c r="DS175" s="5"/>
      <c r="DT175" s="161"/>
      <c r="DU175" s="5"/>
      <c r="DV175" s="5"/>
      <c r="DW175" s="5"/>
      <c r="DX175" s="5"/>
      <c r="DY175" s="5"/>
      <c r="DZ175" s="5"/>
      <c r="EA175" s="5"/>
      <c r="EB175" s="5"/>
      <c r="EC175" s="5"/>
      <c r="ED175" s="5"/>
      <c r="EE175" s="5"/>
      <c r="EF175" s="5"/>
      <c r="EG175" s="5"/>
      <c r="EH175" s="5"/>
      <c r="EI175" s="5"/>
      <c r="EJ175" s="5"/>
      <c r="EK175" s="5"/>
    </row>
    <row r="176" spans="1:141">
      <c r="A176" s="5"/>
      <c r="B176" s="5"/>
      <c r="C176" s="5"/>
      <c r="D176" s="5"/>
      <c r="E176" s="5"/>
      <c r="F176" s="5"/>
      <c r="G176" s="5"/>
      <c r="H176" s="5"/>
      <c r="I176" s="5"/>
      <c r="J176" s="5"/>
      <c r="K176" s="5"/>
      <c r="L176" s="5"/>
      <c r="M176" s="5"/>
      <c r="N176" s="5"/>
      <c r="O176" s="5"/>
      <c r="P176" s="5"/>
      <c r="Q176" s="5"/>
      <c r="R176" s="5"/>
      <c r="S176" s="5"/>
      <c r="T176" s="374"/>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373"/>
      <c r="BF176" s="5"/>
      <c r="BG176" s="5"/>
      <c r="BH176" s="5"/>
      <c r="BI176" s="5"/>
      <c r="BJ176" s="5"/>
      <c r="BK176" s="5"/>
      <c r="BL176" s="5"/>
      <c r="BM176" s="5"/>
      <c r="BN176" s="5"/>
      <c r="BO176" s="5"/>
      <c r="BP176" s="5"/>
      <c r="BQ176" s="5"/>
      <c r="BR176" s="5"/>
      <c r="BS176" s="5"/>
      <c r="BT176" s="5"/>
      <c r="BU176" s="5"/>
      <c r="BV176" s="5"/>
      <c r="BW176" s="5"/>
      <c r="BX176" s="373"/>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372"/>
      <c r="CX176" s="5"/>
      <c r="CY176" s="5"/>
      <c r="CZ176" s="5"/>
      <c r="DA176" s="5"/>
      <c r="DB176" s="5"/>
      <c r="DC176" s="5"/>
      <c r="DD176" s="5"/>
      <c r="DE176" s="5"/>
      <c r="DF176" s="5"/>
      <c r="DG176" s="5"/>
      <c r="DH176" s="5"/>
      <c r="DI176" s="5"/>
      <c r="DJ176" s="5"/>
      <c r="DK176" s="5"/>
      <c r="DL176" s="5"/>
      <c r="DM176" s="5"/>
      <c r="DN176" s="5"/>
      <c r="DO176" s="5"/>
      <c r="DP176" s="5"/>
      <c r="DR176" s="372"/>
      <c r="DS176" s="5"/>
      <c r="DT176" s="5"/>
      <c r="DU176" s="5"/>
      <c r="DV176" s="5"/>
      <c r="DW176" s="5"/>
      <c r="DX176" s="5"/>
      <c r="DY176" s="5"/>
      <c r="DZ176" s="5"/>
      <c r="EA176" s="5"/>
      <c r="EB176" s="5"/>
      <c r="EC176" s="5"/>
      <c r="ED176" s="5"/>
      <c r="EE176" s="5"/>
      <c r="EF176" s="5"/>
      <c r="EG176" s="5"/>
      <c r="EH176" s="5"/>
      <c r="EI176" s="5"/>
      <c r="EJ176" s="5"/>
      <c r="EK176" s="5"/>
    </row>
    <row r="177" spans="1:141">
      <c r="A177" s="398" t="s">
        <v>970</v>
      </c>
      <c r="B177" s="5"/>
      <c r="C177" s="5"/>
      <c r="D177" s="5"/>
      <c r="E177" s="5"/>
      <c r="F177" s="5"/>
      <c r="G177" s="5"/>
      <c r="H177" s="5"/>
      <c r="I177" s="5"/>
      <c r="J177" s="5"/>
      <c r="K177" s="5"/>
      <c r="L177" s="5"/>
      <c r="M177" s="5"/>
      <c r="N177" s="5"/>
      <c r="O177" s="5"/>
      <c r="P177" s="5"/>
      <c r="Q177" s="5"/>
      <c r="R177" s="5"/>
      <c r="S177" s="5"/>
      <c r="T177" s="398"/>
      <c r="U177" s="5"/>
      <c r="V177" s="5"/>
      <c r="W177" s="5"/>
      <c r="X177" s="5"/>
      <c r="Y177" s="5"/>
      <c r="Z177" s="5"/>
      <c r="AA177" s="5"/>
      <c r="AB177" s="5"/>
      <c r="AC177" s="5"/>
      <c r="AD177" s="5"/>
      <c r="AE177" s="5"/>
      <c r="AF177" s="5"/>
      <c r="AG177" s="5"/>
      <c r="AH177" s="5"/>
      <c r="AI177" s="5"/>
      <c r="AJ177" s="5"/>
      <c r="AK177" s="5"/>
      <c r="AL177" s="5"/>
      <c r="AM177" s="398" t="s">
        <v>970</v>
      </c>
      <c r="AN177" s="5"/>
      <c r="AO177" s="5"/>
      <c r="AP177" s="5"/>
      <c r="AQ177" s="5"/>
      <c r="AR177" s="5"/>
      <c r="AS177" s="5"/>
      <c r="AT177" s="5"/>
      <c r="AU177" s="5"/>
      <c r="AV177" s="5"/>
      <c r="AW177" s="5"/>
      <c r="AX177" s="5"/>
      <c r="AY177" s="5"/>
      <c r="AZ177" s="5"/>
      <c r="BA177" s="5"/>
      <c r="BB177" s="5"/>
      <c r="BC177" s="5"/>
      <c r="BD177" s="5"/>
      <c r="BE177" s="373"/>
      <c r="BF177" s="398" t="s">
        <v>970</v>
      </c>
      <c r="BG177" s="5"/>
      <c r="BH177" s="5"/>
      <c r="BI177" s="5"/>
      <c r="BJ177" s="5"/>
      <c r="BK177" s="5"/>
      <c r="BL177" s="5"/>
      <c r="BM177" s="5"/>
      <c r="BN177" s="5"/>
      <c r="BO177" s="5"/>
      <c r="BP177" s="5"/>
      <c r="BQ177" s="5"/>
      <c r="BR177" s="5"/>
      <c r="BS177" s="5"/>
      <c r="BT177" s="5"/>
      <c r="BU177" s="5"/>
      <c r="BV177" s="5"/>
      <c r="BW177" s="5"/>
      <c r="BX177" s="373"/>
      <c r="BY177" s="5"/>
      <c r="BZ177" s="5"/>
      <c r="CA177" s="5"/>
      <c r="CB177" s="5"/>
      <c r="CC177" s="5"/>
      <c r="CD177" s="398"/>
      <c r="CE177" s="5"/>
      <c r="CF177" s="5"/>
      <c r="CG177" s="5"/>
      <c r="CH177" s="5"/>
      <c r="CI177" s="5"/>
      <c r="CJ177" s="5"/>
      <c r="CK177" s="5"/>
      <c r="CL177" s="5"/>
      <c r="CM177" s="5"/>
      <c r="CN177" s="5"/>
      <c r="CO177" s="5"/>
      <c r="CP177" s="5"/>
      <c r="CQ177" s="5"/>
      <c r="CR177" s="5"/>
      <c r="CS177" s="5"/>
      <c r="CT177" s="5"/>
      <c r="CU177" s="5"/>
      <c r="CV177" s="5"/>
      <c r="CW177" s="372"/>
      <c r="CX177" s="398"/>
      <c r="CY177" s="5"/>
      <c r="CZ177" s="5"/>
      <c r="DA177" s="5"/>
      <c r="DB177" s="5"/>
      <c r="DC177" s="5"/>
      <c r="DD177" s="5"/>
      <c r="DE177" s="5"/>
      <c r="DF177" s="5"/>
      <c r="DG177" s="5"/>
      <c r="DH177" s="5"/>
      <c r="DI177" s="5"/>
      <c r="DJ177" s="5"/>
      <c r="DK177" s="5"/>
      <c r="DL177" s="5"/>
      <c r="DM177" s="5"/>
      <c r="DN177" s="5"/>
      <c r="DO177" s="5"/>
      <c r="DP177" s="5"/>
      <c r="DR177" s="372"/>
      <c r="DS177" s="398"/>
      <c r="DT177" s="5"/>
      <c r="DU177" s="5"/>
      <c r="DV177" s="5"/>
      <c r="DW177" s="5"/>
      <c r="DX177" s="5"/>
      <c r="DY177" s="5"/>
      <c r="DZ177" s="5"/>
      <c r="EA177" s="5"/>
      <c r="EB177" s="5"/>
      <c r="EC177" s="5"/>
      <c r="ED177" s="5"/>
      <c r="EE177" s="5"/>
      <c r="EF177" s="5"/>
      <c r="EG177" s="5"/>
      <c r="EH177" s="5"/>
      <c r="EI177" s="5"/>
      <c r="EJ177" s="5"/>
      <c r="EK177" s="5"/>
    </row>
    <row r="178" spans="1:141">
      <c r="A178" s="5"/>
      <c r="B178" s="5"/>
      <c r="C178" s="5"/>
      <c r="D178" s="5"/>
      <c r="E178" s="5"/>
      <c r="F178" s="5"/>
      <c r="G178" s="5"/>
      <c r="H178" s="5"/>
      <c r="I178" s="5"/>
      <c r="J178" s="5"/>
      <c r="K178" s="5"/>
      <c r="L178" s="5"/>
      <c r="M178" s="5"/>
      <c r="N178" s="5"/>
      <c r="O178" s="5"/>
      <c r="P178" s="5"/>
      <c r="Q178" s="5"/>
      <c r="R178" s="5"/>
      <c r="S178" s="5"/>
      <c r="T178" s="374"/>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373"/>
      <c r="BF178" s="5"/>
      <c r="BG178" s="5"/>
      <c r="BH178" s="5"/>
      <c r="BI178" s="5"/>
      <c r="BJ178" s="5"/>
      <c r="BK178" s="5"/>
      <c r="BL178" s="5"/>
      <c r="BM178" s="5"/>
      <c r="BN178" s="5"/>
      <c r="BO178" s="5"/>
      <c r="BP178" s="5"/>
      <c r="BQ178" s="5"/>
      <c r="BR178" s="5"/>
      <c r="BS178" s="5"/>
      <c r="BT178" s="5"/>
      <c r="BU178" s="5"/>
      <c r="BV178" s="5"/>
      <c r="BW178" s="5"/>
      <c r="BX178" s="373"/>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372"/>
      <c r="CX178" s="5"/>
      <c r="CY178" s="5"/>
      <c r="CZ178" s="5"/>
      <c r="DA178" s="5"/>
      <c r="DB178" s="5"/>
      <c r="DC178" s="5"/>
      <c r="DD178" s="5"/>
      <c r="DE178" s="5"/>
      <c r="DF178" s="5"/>
      <c r="DG178" s="5"/>
      <c r="DH178" s="5"/>
      <c r="DI178" s="5"/>
      <c r="DJ178" s="5"/>
      <c r="DK178" s="5"/>
      <c r="DL178" s="5"/>
      <c r="DM178" s="5"/>
      <c r="DN178" s="5"/>
      <c r="DO178" s="5"/>
      <c r="DP178" s="5"/>
      <c r="DR178" s="372"/>
      <c r="DS178" s="5"/>
      <c r="DT178" s="5"/>
      <c r="DU178" s="5"/>
      <c r="DV178" s="5"/>
      <c r="DW178" s="5"/>
      <c r="DX178" s="5"/>
      <c r="DY178" s="5"/>
      <c r="DZ178" s="5"/>
      <c r="EA178" s="5"/>
      <c r="EB178" s="5"/>
      <c r="EC178" s="5"/>
      <c r="ED178" s="5"/>
      <c r="EE178" s="5"/>
      <c r="EF178" s="5"/>
      <c r="EG178" s="5"/>
      <c r="EH178" s="5"/>
      <c r="EI178" s="5"/>
      <c r="EJ178" s="5"/>
      <c r="EK178" s="5"/>
    </row>
    <row r="179" spans="1:141">
      <c r="A179" s="5"/>
      <c r="B179" s="5"/>
      <c r="C179" s="5"/>
      <c r="D179" s="5"/>
      <c r="E179" s="5"/>
      <c r="F179" s="5"/>
      <c r="G179" s="5"/>
      <c r="H179" s="5"/>
      <c r="I179" s="5"/>
      <c r="J179" s="5"/>
      <c r="K179" s="5"/>
      <c r="L179" s="5"/>
      <c r="M179" s="5"/>
      <c r="N179" s="5"/>
      <c r="O179" s="5"/>
      <c r="P179" s="5"/>
      <c r="Q179" s="5"/>
      <c r="R179" s="5"/>
      <c r="S179" s="5"/>
      <c r="T179" s="374"/>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373"/>
      <c r="BF179" s="5"/>
      <c r="BG179" s="5"/>
      <c r="BH179" s="5"/>
      <c r="BI179" s="5"/>
      <c r="BJ179" s="5"/>
      <c r="BK179" s="5"/>
      <c r="BL179" s="5"/>
      <c r="BM179" s="5"/>
      <c r="BN179" s="5"/>
      <c r="BO179" s="5"/>
      <c r="BP179" s="5"/>
      <c r="BQ179" s="5"/>
      <c r="BR179" s="5"/>
      <c r="BS179" s="5"/>
      <c r="BT179" s="5"/>
      <c r="BU179" s="5"/>
      <c r="BV179" s="5"/>
      <c r="BW179" s="5"/>
      <c r="BX179" s="373"/>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372"/>
      <c r="CX179" s="5"/>
      <c r="CY179" s="5"/>
      <c r="CZ179" s="5"/>
      <c r="DA179" s="5"/>
      <c r="DB179" s="5"/>
      <c r="DC179" s="5"/>
      <c r="DD179" s="5"/>
      <c r="DE179" s="5"/>
      <c r="DF179" s="5"/>
      <c r="DG179" s="5"/>
      <c r="DH179" s="5"/>
      <c r="DI179" s="5"/>
      <c r="DJ179" s="5"/>
      <c r="DK179" s="5"/>
      <c r="DL179" s="5"/>
      <c r="DM179" s="5"/>
      <c r="DN179" s="5"/>
      <c r="DO179" s="5"/>
      <c r="DP179" s="5"/>
      <c r="DR179" s="372"/>
      <c r="DS179" s="5"/>
      <c r="DT179" s="5"/>
      <c r="DU179" s="5"/>
      <c r="DV179" s="5"/>
      <c r="DW179" s="5"/>
      <c r="DX179" s="5"/>
      <c r="DY179" s="5"/>
      <c r="DZ179" s="5"/>
      <c r="EA179" s="5"/>
      <c r="EB179" s="5"/>
      <c r="EC179" s="5"/>
      <c r="ED179" s="5"/>
      <c r="EE179" s="5"/>
      <c r="EF179" s="5"/>
      <c r="EG179" s="5"/>
      <c r="EH179" s="5"/>
      <c r="EI179" s="5"/>
      <c r="EJ179" s="5"/>
      <c r="EK179" s="5"/>
    </row>
    <row r="180" spans="1:141">
      <c r="A180" s="5"/>
      <c r="B180" s="5"/>
      <c r="C180" s="5"/>
      <c r="D180" s="5"/>
      <c r="E180" s="5"/>
      <c r="F180" s="5"/>
      <c r="G180" s="5"/>
      <c r="H180" s="5"/>
      <c r="I180" s="5"/>
      <c r="J180" s="5"/>
      <c r="K180" s="5"/>
      <c r="L180" s="5"/>
      <c r="M180" s="5"/>
      <c r="N180" s="5"/>
      <c r="O180" s="5"/>
      <c r="P180" s="5"/>
      <c r="Q180" s="5"/>
      <c r="R180" s="5"/>
      <c r="S180" s="5"/>
      <c r="T180" s="374"/>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373"/>
      <c r="BF180" s="5"/>
      <c r="BG180" s="5"/>
      <c r="BH180" s="5"/>
      <c r="BI180" s="5"/>
      <c r="BJ180" s="5"/>
      <c r="BK180" s="5"/>
      <c r="BL180" s="5"/>
      <c r="BM180" s="5"/>
      <c r="BN180" s="5"/>
      <c r="BO180" s="5"/>
      <c r="BP180" s="5"/>
      <c r="BQ180" s="5"/>
      <c r="BR180" s="5"/>
      <c r="BS180" s="5"/>
      <c r="BT180" s="5"/>
      <c r="BU180" s="5"/>
      <c r="BV180" s="5"/>
      <c r="BW180" s="5"/>
      <c r="BX180" s="373"/>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372"/>
      <c r="CX180" s="5"/>
      <c r="CY180" s="5"/>
      <c r="CZ180" s="5"/>
      <c r="DA180" s="5"/>
      <c r="DB180" s="5"/>
      <c r="DC180" s="5"/>
      <c r="DD180" s="5"/>
      <c r="DE180" s="5"/>
      <c r="DF180" s="5"/>
      <c r="DG180" s="5"/>
      <c r="DH180" s="5"/>
      <c r="DI180" s="5"/>
      <c r="DJ180" s="5"/>
      <c r="DK180" s="5"/>
      <c r="DL180" s="5"/>
      <c r="DM180" s="5"/>
      <c r="DN180" s="5"/>
      <c r="DO180" s="5"/>
      <c r="DP180" s="5"/>
      <c r="DR180" s="372"/>
      <c r="DS180" s="5"/>
      <c r="DT180" s="5"/>
      <c r="DU180" s="5"/>
      <c r="DV180" s="5"/>
      <c r="DW180" s="5"/>
      <c r="DX180" s="5"/>
      <c r="DY180" s="5"/>
      <c r="DZ180" s="5"/>
      <c r="EA180" s="5"/>
      <c r="EB180" s="5"/>
      <c r="EC180" s="5"/>
      <c r="ED180" s="5"/>
      <c r="EE180" s="5"/>
      <c r="EF180" s="5"/>
      <c r="EG180" s="5"/>
      <c r="EH180" s="5"/>
      <c r="EI180" s="5"/>
      <c r="EJ180" s="5"/>
      <c r="EK180" s="5"/>
    </row>
    <row r="181" spans="1:141">
      <c r="A181" s="5"/>
      <c r="B181" s="5"/>
      <c r="C181" s="5"/>
      <c r="D181" s="5"/>
      <c r="E181" s="5"/>
      <c r="F181" s="5"/>
      <c r="G181" s="5"/>
      <c r="H181" s="5"/>
      <c r="I181" s="5"/>
      <c r="J181" s="5"/>
      <c r="K181" s="5"/>
      <c r="L181" s="5"/>
      <c r="M181" s="5"/>
      <c r="N181" s="5"/>
      <c r="O181" s="5"/>
      <c r="P181" s="5"/>
      <c r="Q181" s="5"/>
      <c r="R181" s="5"/>
      <c r="S181" s="5"/>
      <c r="T181" s="374"/>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373"/>
      <c r="BF181" s="5"/>
      <c r="BG181" s="5"/>
      <c r="BH181" s="5"/>
      <c r="BI181" s="5"/>
      <c r="BJ181" s="5"/>
      <c r="BK181" s="5"/>
      <c r="BL181" s="5"/>
      <c r="BM181" s="5"/>
      <c r="BN181" s="5"/>
      <c r="BO181" s="5"/>
      <c r="BP181" s="5"/>
      <c r="BQ181" s="5"/>
      <c r="BR181" s="5"/>
      <c r="BS181" s="5"/>
      <c r="BT181" s="5"/>
      <c r="BU181" s="5"/>
      <c r="BV181" s="5"/>
      <c r="BW181" s="5"/>
      <c r="BX181" s="373"/>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372"/>
      <c r="CX181" s="5"/>
      <c r="CY181" s="5"/>
      <c r="CZ181" s="5"/>
      <c r="DA181" s="5"/>
      <c r="DB181" s="5"/>
      <c r="DC181" s="5"/>
      <c r="DD181" s="5"/>
      <c r="DE181" s="5"/>
      <c r="DF181" s="5"/>
      <c r="DG181" s="5"/>
      <c r="DH181" s="5"/>
      <c r="DI181" s="5"/>
      <c r="DJ181" s="5"/>
      <c r="DK181" s="5"/>
      <c r="DL181" s="5"/>
      <c r="DM181" s="5"/>
      <c r="DN181" s="5"/>
      <c r="DO181" s="5"/>
      <c r="DP181" s="5"/>
      <c r="DR181" s="372"/>
      <c r="DS181" s="5"/>
      <c r="DT181" s="5"/>
      <c r="DU181" s="5"/>
      <c r="DV181" s="5"/>
      <c r="DW181" s="5"/>
      <c r="DX181" s="5"/>
      <c r="DY181" s="5"/>
      <c r="DZ181" s="5"/>
      <c r="EA181" s="5"/>
      <c r="EB181" s="5"/>
      <c r="EC181" s="5"/>
      <c r="ED181" s="5"/>
      <c r="EE181" s="5"/>
      <c r="EF181" s="5"/>
      <c r="EG181" s="5"/>
      <c r="EH181" s="5"/>
      <c r="EI181" s="5"/>
      <c r="EJ181" s="5"/>
      <c r="EK181" s="5"/>
    </row>
    <row r="182" spans="1:141">
      <c r="A182" s="5"/>
      <c r="B182" s="5"/>
      <c r="C182" s="5"/>
      <c r="D182" s="5"/>
      <c r="E182" s="5"/>
      <c r="F182" s="5"/>
      <c r="G182" s="5"/>
      <c r="H182" s="5"/>
      <c r="I182" s="5"/>
      <c r="J182" s="5"/>
      <c r="K182" s="5"/>
      <c r="L182" s="5"/>
      <c r="M182" s="5"/>
      <c r="N182" s="5"/>
      <c r="O182" s="5"/>
      <c r="P182" s="5"/>
      <c r="Q182" s="5"/>
      <c r="R182" s="5"/>
      <c r="S182" s="5"/>
      <c r="T182" s="374"/>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373"/>
      <c r="BF182" s="5"/>
      <c r="BG182" s="5"/>
      <c r="BH182" s="5"/>
      <c r="BI182" s="5"/>
      <c r="BJ182" s="5"/>
      <c r="BK182" s="5"/>
      <c r="BL182" s="5"/>
      <c r="BM182" s="5"/>
      <c r="BN182" s="5"/>
      <c r="BO182" s="5"/>
      <c r="BP182" s="5"/>
      <c r="BQ182" s="5"/>
      <c r="BR182" s="5"/>
      <c r="BS182" s="5"/>
      <c r="BT182" s="5"/>
      <c r="BU182" s="5"/>
      <c r="BV182" s="5"/>
      <c r="BW182" s="5"/>
      <c r="BX182" s="373"/>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372"/>
      <c r="CX182" s="5"/>
      <c r="CY182" s="5"/>
      <c r="CZ182" s="5"/>
      <c r="DA182" s="5"/>
      <c r="DB182" s="5"/>
      <c r="DC182" s="5"/>
      <c r="DD182" s="5"/>
      <c r="DE182" s="5"/>
      <c r="DF182" s="5"/>
      <c r="DG182" s="5"/>
      <c r="DH182" s="5"/>
      <c r="DI182" s="5"/>
      <c r="DJ182" s="5"/>
      <c r="DK182" s="5"/>
      <c r="DL182" s="5"/>
      <c r="DM182" s="5"/>
      <c r="DN182" s="5"/>
      <c r="DO182" s="5"/>
      <c r="DP182" s="5"/>
      <c r="DR182" s="372"/>
      <c r="DS182" s="5"/>
      <c r="DT182" s="5"/>
      <c r="DU182" s="5"/>
      <c r="DV182" s="5"/>
      <c r="DW182" s="5"/>
      <c r="DX182" s="5"/>
      <c r="DY182" s="5"/>
      <c r="DZ182" s="5"/>
      <c r="EA182" s="5"/>
      <c r="EB182" s="5"/>
      <c r="EC182" s="5"/>
      <c r="ED182" s="5"/>
      <c r="EE182" s="5"/>
      <c r="EF182" s="5"/>
      <c r="EG182" s="5"/>
      <c r="EH182" s="5"/>
      <c r="EI182" s="5"/>
      <c r="EJ182" s="5"/>
      <c r="EK182" s="5"/>
    </row>
    <row r="183" spans="1:141">
      <c r="A183" s="5"/>
      <c r="B183" s="5"/>
      <c r="C183" s="5"/>
      <c r="D183" s="5"/>
      <c r="E183" s="5"/>
      <c r="F183" s="5"/>
      <c r="G183" s="5"/>
      <c r="H183" s="5"/>
      <c r="I183" s="5"/>
      <c r="J183" s="5"/>
      <c r="K183" s="5"/>
      <c r="L183" s="5"/>
      <c r="M183" s="5"/>
      <c r="N183" s="5"/>
      <c r="O183" s="5"/>
      <c r="P183" s="5"/>
      <c r="Q183" s="5"/>
      <c r="R183" s="5"/>
      <c r="S183" s="5"/>
      <c r="T183" s="374"/>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373"/>
      <c r="BF183" s="5"/>
      <c r="BG183" s="5"/>
      <c r="BH183" s="5"/>
      <c r="BI183" s="5"/>
      <c r="BJ183" s="5"/>
      <c r="BK183" s="5"/>
      <c r="BL183" s="5"/>
      <c r="BM183" s="5"/>
      <c r="BN183" s="5"/>
      <c r="BO183" s="5"/>
      <c r="BP183" s="5"/>
      <c r="BQ183" s="5"/>
      <c r="BR183" s="5"/>
      <c r="BS183" s="5"/>
      <c r="BT183" s="5"/>
      <c r="BU183" s="5"/>
      <c r="BV183" s="5"/>
      <c r="BW183" s="5"/>
      <c r="BX183" s="373"/>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372"/>
      <c r="CX183" s="5"/>
      <c r="CY183" s="5"/>
      <c r="CZ183" s="5"/>
      <c r="DA183" s="5"/>
      <c r="DB183" s="5"/>
      <c r="DC183" s="5"/>
      <c r="DD183" s="5"/>
      <c r="DE183" s="5"/>
      <c r="DF183" s="5"/>
      <c r="DG183" s="5"/>
      <c r="DH183" s="5"/>
      <c r="DI183" s="5"/>
      <c r="DJ183" s="5"/>
      <c r="DK183" s="5"/>
      <c r="DL183" s="5"/>
      <c r="DM183" s="5"/>
      <c r="DN183" s="5"/>
      <c r="DO183" s="5"/>
      <c r="DP183" s="5"/>
      <c r="DR183" s="372"/>
      <c r="DS183" s="5"/>
      <c r="DT183" s="5"/>
      <c r="DU183" s="5"/>
      <c r="DV183" s="5"/>
      <c r="DW183" s="5"/>
      <c r="DX183" s="5"/>
      <c r="DY183" s="5"/>
      <c r="DZ183" s="5"/>
      <c r="EA183" s="5"/>
      <c r="EB183" s="5"/>
      <c r="EC183" s="5"/>
      <c r="ED183" s="5"/>
      <c r="EE183" s="5"/>
      <c r="EF183" s="5"/>
      <c r="EG183" s="5"/>
      <c r="EH183" s="5"/>
      <c r="EI183" s="5"/>
      <c r="EJ183" s="5"/>
      <c r="EK183" s="5"/>
    </row>
    <row r="184" spans="1:141">
      <c r="A184" s="5"/>
      <c r="B184" s="5"/>
      <c r="C184" s="5"/>
      <c r="D184" s="5"/>
      <c r="E184" s="5"/>
      <c r="F184" s="5"/>
      <c r="G184" s="5"/>
      <c r="H184" s="5"/>
      <c r="I184" s="5"/>
      <c r="J184" s="5"/>
      <c r="K184" s="5"/>
      <c r="L184" s="5"/>
      <c r="M184" s="5"/>
      <c r="N184" s="5"/>
      <c r="O184" s="5"/>
      <c r="P184" s="5"/>
      <c r="Q184" s="5"/>
      <c r="R184" s="5"/>
      <c r="S184" s="5"/>
      <c r="T184" s="374"/>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373"/>
      <c r="BF184" s="5"/>
      <c r="BG184" s="5"/>
      <c r="BH184" s="5"/>
      <c r="BI184" s="5"/>
      <c r="BJ184" s="5"/>
      <c r="BK184" s="5"/>
      <c r="BL184" s="5"/>
      <c r="BM184" s="5"/>
      <c r="BN184" s="5"/>
      <c r="BO184" s="5"/>
      <c r="BP184" s="5"/>
      <c r="BQ184" s="5"/>
      <c r="BR184" s="5"/>
      <c r="BS184" s="5"/>
      <c r="BT184" s="5"/>
      <c r="BU184" s="5"/>
      <c r="BV184" s="5"/>
      <c r="BW184" s="5"/>
      <c r="BX184" s="373"/>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372"/>
      <c r="CX184" s="5"/>
      <c r="CY184" s="5"/>
      <c r="CZ184" s="5"/>
      <c r="DA184" s="5"/>
      <c r="DB184" s="5"/>
      <c r="DC184" s="5"/>
      <c r="DD184" s="5"/>
      <c r="DE184" s="5"/>
      <c r="DF184" s="5"/>
      <c r="DG184" s="5"/>
      <c r="DH184" s="5"/>
      <c r="DI184" s="5"/>
      <c r="DJ184" s="5"/>
      <c r="DK184" s="5"/>
      <c r="DL184" s="5"/>
      <c r="DM184" s="5"/>
      <c r="DN184" s="5"/>
      <c r="DO184" s="5"/>
      <c r="DP184" s="5"/>
      <c r="DR184" s="372"/>
      <c r="DS184" s="5"/>
      <c r="DT184" s="5"/>
      <c r="DU184" s="5"/>
      <c r="DV184" s="5"/>
      <c r="DW184" s="5"/>
      <c r="DX184" s="5"/>
      <c r="DY184" s="5"/>
      <c r="DZ184" s="5"/>
      <c r="EA184" s="5"/>
      <c r="EB184" s="5"/>
      <c r="EC184" s="5"/>
      <c r="ED184" s="5"/>
      <c r="EE184" s="5"/>
      <c r="EF184" s="5"/>
      <c r="EG184" s="5"/>
      <c r="EH184" s="5"/>
      <c r="EI184" s="5"/>
      <c r="EJ184" s="5"/>
      <c r="EK184" s="5"/>
    </row>
    <row r="185" spans="1:141">
      <c r="A185" s="5"/>
      <c r="B185" s="5"/>
      <c r="C185" s="5"/>
      <c r="D185" s="5"/>
      <c r="E185" s="5"/>
      <c r="F185" s="5"/>
      <c r="G185" s="5"/>
      <c r="H185" s="5"/>
      <c r="I185" s="5"/>
      <c r="J185" s="5"/>
      <c r="K185" s="5"/>
      <c r="L185" s="5"/>
      <c r="M185" s="5"/>
      <c r="N185" s="5"/>
      <c r="O185" s="5"/>
      <c r="P185" s="5"/>
      <c r="Q185" s="5"/>
      <c r="R185" s="5"/>
      <c r="S185" s="5"/>
      <c r="T185" s="374"/>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373"/>
      <c r="BF185" s="5"/>
      <c r="BG185" s="5"/>
      <c r="BH185" s="5"/>
      <c r="BI185" s="5"/>
      <c r="BJ185" s="5"/>
      <c r="BK185" s="5"/>
      <c r="BL185" s="5"/>
      <c r="BM185" s="5"/>
      <c r="BN185" s="5"/>
      <c r="BO185" s="5"/>
      <c r="BP185" s="5"/>
      <c r="BQ185" s="5"/>
      <c r="BR185" s="5"/>
      <c r="BS185" s="5"/>
      <c r="BT185" s="5"/>
      <c r="BU185" s="5"/>
      <c r="BV185" s="5"/>
      <c r="BW185" s="5"/>
      <c r="BX185" s="373"/>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372"/>
      <c r="CX185" s="5"/>
      <c r="CY185" s="5"/>
      <c r="CZ185" s="5"/>
      <c r="DA185" s="5"/>
      <c r="DB185" s="5"/>
      <c r="DC185" s="5"/>
      <c r="DD185" s="5"/>
      <c r="DE185" s="5"/>
      <c r="DF185" s="5"/>
      <c r="DG185" s="5"/>
      <c r="DH185" s="5"/>
      <c r="DI185" s="5"/>
      <c r="DJ185" s="5"/>
      <c r="DK185" s="5"/>
      <c r="DL185" s="5"/>
      <c r="DM185" s="5"/>
      <c r="DN185" s="5"/>
      <c r="DO185" s="5"/>
      <c r="DP185" s="5"/>
      <c r="DR185" s="372"/>
      <c r="DS185" s="5"/>
      <c r="DT185" s="5"/>
      <c r="DU185" s="5"/>
      <c r="DV185" s="5"/>
      <c r="DW185" s="5"/>
      <c r="DX185" s="5"/>
      <c r="DY185" s="5"/>
      <c r="DZ185" s="5"/>
      <c r="EA185" s="5"/>
      <c r="EB185" s="5"/>
      <c r="EC185" s="5"/>
      <c r="ED185" s="5"/>
      <c r="EE185" s="5"/>
      <c r="EF185" s="5"/>
      <c r="EG185" s="5"/>
      <c r="EH185" s="5"/>
      <c r="EI185" s="5"/>
      <c r="EJ185" s="5"/>
      <c r="EK185" s="5"/>
    </row>
    <row r="186" spans="1:141">
      <c r="A186" s="5"/>
      <c r="B186" s="5"/>
      <c r="C186" s="5"/>
      <c r="D186" s="5"/>
      <c r="E186" s="5"/>
      <c r="F186" s="5"/>
      <c r="G186" s="5"/>
      <c r="H186" s="5"/>
      <c r="I186" s="5"/>
      <c r="J186" s="5"/>
      <c r="K186" s="5"/>
      <c r="L186" s="5"/>
      <c r="M186" s="5"/>
      <c r="N186" s="5"/>
      <c r="O186" s="5"/>
      <c r="P186" s="5"/>
      <c r="Q186" s="5"/>
      <c r="R186" s="5"/>
      <c r="S186" s="5"/>
      <c r="T186" s="374"/>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373"/>
      <c r="BF186" s="5"/>
      <c r="BG186" s="5"/>
      <c r="BH186" s="5"/>
      <c r="BI186" s="5"/>
      <c r="BJ186" s="5"/>
      <c r="BK186" s="5"/>
      <c r="BL186" s="5"/>
      <c r="BM186" s="5"/>
      <c r="BN186" s="5"/>
      <c r="BO186" s="5"/>
      <c r="BP186" s="5"/>
      <c r="BQ186" s="5"/>
      <c r="BR186" s="5"/>
      <c r="BS186" s="5"/>
      <c r="BT186" s="5"/>
      <c r="BU186" s="5"/>
      <c r="BV186" s="5"/>
      <c r="BW186" s="5"/>
      <c r="BX186" s="373"/>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372"/>
      <c r="CX186" s="5"/>
      <c r="CY186" s="5"/>
      <c r="CZ186" s="5"/>
      <c r="DA186" s="5"/>
      <c r="DB186" s="5"/>
      <c r="DC186" s="5"/>
      <c r="DD186" s="5"/>
      <c r="DE186" s="5"/>
      <c r="DF186" s="5"/>
      <c r="DG186" s="5"/>
      <c r="DH186" s="5"/>
      <c r="DI186" s="5"/>
      <c r="DJ186" s="5"/>
      <c r="DK186" s="5"/>
      <c r="DL186" s="5"/>
      <c r="DM186" s="5"/>
      <c r="DN186" s="5"/>
      <c r="DO186" s="5"/>
      <c r="DP186" s="5"/>
      <c r="DR186" s="372"/>
      <c r="DS186" s="5"/>
      <c r="DT186" s="5"/>
      <c r="DU186" s="5"/>
      <c r="DV186" s="5"/>
      <c r="DW186" s="5"/>
      <c r="DX186" s="5"/>
      <c r="DY186" s="5"/>
      <c r="DZ186" s="5"/>
      <c r="EA186" s="5"/>
      <c r="EB186" s="5"/>
      <c r="EC186" s="5"/>
      <c r="ED186" s="5"/>
      <c r="EE186" s="5"/>
      <c r="EF186" s="5"/>
      <c r="EG186" s="5"/>
      <c r="EH186" s="5"/>
      <c r="EI186" s="5"/>
      <c r="EJ186" s="5"/>
      <c r="EK186" s="5"/>
    </row>
    <row r="187" spans="1:141">
      <c r="A187" s="5"/>
      <c r="B187" s="5"/>
      <c r="C187" s="5"/>
      <c r="D187" s="5"/>
      <c r="E187" s="5"/>
      <c r="F187" s="5"/>
      <c r="G187" s="5"/>
      <c r="H187" s="5"/>
      <c r="I187" s="5"/>
      <c r="J187" s="5"/>
      <c r="K187" s="5"/>
      <c r="L187" s="5"/>
      <c r="M187" s="5"/>
      <c r="N187" s="5"/>
      <c r="O187" s="5"/>
      <c r="P187" s="5"/>
      <c r="Q187" s="5"/>
      <c r="R187" s="5"/>
      <c r="S187" s="5"/>
      <c r="T187" s="374"/>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373"/>
      <c r="BF187" s="5"/>
      <c r="BG187" s="5"/>
      <c r="BH187" s="5"/>
      <c r="BI187" s="5"/>
      <c r="BJ187" s="5"/>
      <c r="BK187" s="5"/>
      <c r="BL187" s="5"/>
      <c r="BM187" s="5"/>
      <c r="BN187" s="5"/>
      <c r="BO187" s="5"/>
      <c r="BP187" s="5"/>
      <c r="BQ187" s="5"/>
      <c r="BR187" s="5"/>
      <c r="BS187" s="5"/>
      <c r="BT187" s="5"/>
      <c r="BU187" s="5"/>
      <c r="BV187" s="5"/>
      <c r="BW187" s="5"/>
      <c r="BX187" s="373"/>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372"/>
      <c r="CX187" s="5"/>
      <c r="CY187" s="5"/>
      <c r="CZ187" s="5"/>
      <c r="DA187" s="5"/>
      <c r="DB187" s="5"/>
      <c r="DC187" s="5"/>
      <c r="DD187" s="5"/>
      <c r="DE187" s="5"/>
      <c r="DF187" s="5"/>
      <c r="DG187" s="5"/>
      <c r="DH187" s="5"/>
      <c r="DI187" s="5"/>
      <c r="DJ187" s="5"/>
      <c r="DK187" s="5"/>
      <c r="DL187" s="5"/>
      <c r="DM187" s="5"/>
      <c r="DN187" s="5"/>
      <c r="DO187" s="5"/>
      <c r="DP187" s="5"/>
      <c r="DR187" s="372"/>
      <c r="DS187" s="5"/>
      <c r="DT187" s="5"/>
      <c r="DU187" s="5"/>
      <c r="DV187" s="5"/>
      <c r="DW187" s="5"/>
      <c r="DX187" s="5"/>
      <c r="DY187" s="5"/>
      <c r="DZ187" s="5"/>
      <c r="EA187" s="5"/>
      <c r="EB187" s="5"/>
      <c r="EC187" s="5"/>
      <c r="ED187" s="5"/>
      <c r="EE187" s="5"/>
      <c r="EF187" s="5"/>
      <c r="EG187" s="5"/>
      <c r="EH187" s="5"/>
      <c r="EI187" s="5"/>
      <c r="EJ187" s="5"/>
      <c r="EK187" s="5"/>
    </row>
    <row r="188" spans="1:141">
      <c r="A188" s="5"/>
      <c r="B188" s="5"/>
      <c r="C188" s="5"/>
      <c r="D188" s="5"/>
      <c r="E188" s="5"/>
      <c r="F188" s="5"/>
      <c r="G188" s="5"/>
      <c r="H188" s="5"/>
      <c r="I188" s="5"/>
      <c r="J188" s="5"/>
      <c r="K188" s="5"/>
      <c r="L188" s="5"/>
      <c r="M188" s="5"/>
      <c r="N188" s="5"/>
      <c r="O188" s="5"/>
      <c r="P188" s="5"/>
      <c r="Q188" s="5"/>
      <c r="R188" s="5"/>
      <c r="S188" s="5"/>
      <c r="T188" s="374"/>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373"/>
      <c r="BF188" s="5"/>
      <c r="BG188" s="5"/>
      <c r="BH188" s="5"/>
      <c r="BI188" s="5"/>
      <c r="BJ188" s="5"/>
      <c r="BK188" s="5"/>
      <c r="BL188" s="5"/>
      <c r="BM188" s="5"/>
      <c r="BN188" s="5"/>
      <c r="BO188" s="5"/>
      <c r="BP188" s="5"/>
      <c r="BQ188" s="5"/>
      <c r="BR188" s="5"/>
      <c r="BS188" s="5"/>
      <c r="BT188" s="5"/>
      <c r="BU188" s="5"/>
      <c r="BV188" s="5"/>
      <c r="BW188" s="5"/>
      <c r="BX188" s="373"/>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372"/>
      <c r="CX188" s="5"/>
      <c r="CY188" s="5"/>
      <c r="CZ188" s="5"/>
      <c r="DA188" s="5"/>
      <c r="DB188" s="5"/>
      <c r="DC188" s="5"/>
      <c r="DD188" s="5"/>
      <c r="DE188" s="5"/>
      <c r="DF188" s="5"/>
      <c r="DG188" s="5"/>
      <c r="DH188" s="5"/>
      <c r="DI188" s="5"/>
      <c r="DJ188" s="5"/>
      <c r="DK188" s="5"/>
      <c r="DL188" s="5"/>
      <c r="DM188" s="5"/>
      <c r="DN188" s="5"/>
      <c r="DO188" s="5"/>
      <c r="DP188" s="5"/>
      <c r="DR188" s="372"/>
      <c r="DS188" s="5"/>
      <c r="DT188" s="5"/>
      <c r="DU188" s="5"/>
      <c r="DV188" s="5"/>
      <c r="DW188" s="5"/>
      <c r="DX188" s="5"/>
      <c r="DY188" s="5"/>
      <c r="DZ188" s="5"/>
      <c r="EA188" s="5"/>
      <c r="EB188" s="5"/>
      <c r="EC188" s="5"/>
      <c r="ED188" s="5"/>
      <c r="EE188" s="5"/>
      <c r="EF188" s="5"/>
      <c r="EG188" s="5"/>
      <c r="EH188" s="5"/>
      <c r="EI188" s="5"/>
      <c r="EJ188" s="5"/>
      <c r="EK188" s="5"/>
    </row>
    <row r="189" spans="1:141">
      <c r="A189" s="5"/>
      <c r="B189" s="5"/>
      <c r="C189" s="5"/>
      <c r="D189" s="5"/>
      <c r="E189" s="5"/>
      <c r="F189" s="5"/>
      <c r="G189" s="5"/>
      <c r="H189" s="5"/>
      <c r="I189" s="5"/>
      <c r="J189" s="5"/>
      <c r="K189" s="5"/>
      <c r="L189" s="5"/>
      <c r="M189" s="5"/>
      <c r="N189" s="5"/>
      <c r="O189" s="5"/>
      <c r="P189" s="5"/>
      <c r="Q189" s="5"/>
      <c r="R189" s="5"/>
      <c r="S189" s="5"/>
      <c r="T189" s="374"/>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373"/>
      <c r="BF189" s="5"/>
      <c r="BG189" s="5"/>
      <c r="BH189" s="5"/>
      <c r="BI189" s="5"/>
      <c r="BJ189" s="5"/>
      <c r="BK189" s="5"/>
      <c r="BL189" s="5"/>
      <c r="BM189" s="5"/>
      <c r="BN189" s="5"/>
      <c r="BO189" s="5"/>
      <c r="BP189" s="5"/>
      <c r="BQ189" s="5"/>
      <c r="BR189" s="5"/>
      <c r="BS189" s="5"/>
      <c r="BT189" s="5"/>
      <c r="BU189" s="5"/>
      <c r="BV189" s="5"/>
      <c r="BW189" s="5"/>
      <c r="BX189" s="373"/>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372"/>
      <c r="CX189" s="5"/>
      <c r="CY189" s="5"/>
      <c r="CZ189" s="5"/>
      <c r="DA189" s="5"/>
      <c r="DB189" s="5"/>
      <c r="DC189" s="5"/>
      <c r="DD189" s="5"/>
      <c r="DE189" s="5"/>
      <c r="DF189" s="5"/>
      <c r="DG189" s="5"/>
      <c r="DH189" s="5"/>
      <c r="DI189" s="5"/>
      <c r="DJ189" s="5"/>
      <c r="DK189" s="5"/>
      <c r="DL189" s="5"/>
      <c r="DM189" s="5"/>
      <c r="DN189" s="5"/>
      <c r="DO189" s="5"/>
      <c r="DP189" s="5"/>
      <c r="DR189" s="372"/>
      <c r="DS189" s="5"/>
      <c r="DT189" s="5"/>
      <c r="DU189" s="5"/>
      <c r="DV189" s="5"/>
      <c r="DW189" s="5"/>
      <c r="DX189" s="5"/>
      <c r="DY189" s="5"/>
      <c r="DZ189" s="5"/>
      <c r="EA189" s="5"/>
      <c r="EB189" s="5"/>
      <c r="EC189" s="5"/>
      <c r="ED189" s="5"/>
      <c r="EE189" s="5"/>
      <c r="EF189" s="5"/>
      <c r="EG189" s="5"/>
      <c r="EH189" s="5"/>
      <c r="EI189" s="5"/>
      <c r="EJ189" s="5"/>
      <c r="EK189" s="5"/>
    </row>
    <row r="190" spans="1:141">
      <c r="A190" s="5"/>
      <c r="B190" s="5"/>
      <c r="C190" s="5"/>
      <c r="D190" s="5"/>
      <c r="E190" s="5"/>
      <c r="F190" s="5"/>
      <c r="G190" s="5"/>
      <c r="H190" s="5"/>
      <c r="I190" s="5"/>
      <c r="J190" s="5"/>
      <c r="K190" s="5"/>
      <c r="L190" s="5"/>
      <c r="M190" s="5"/>
      <c r="N190" s="5"/>
      <c r="O190" s="5"/>
      <c r="P190" s="5"/>
      <c r="Q190" s="5"/>
      <c r="R190" s="5"/>
      <c r="S190" s="5"/>
      <c r="T190" s="374"/>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373"/>
      <c r="BF190" s="5"/>
      <c r="BG190" s="5"/>
      <c r="BH190" s="5"/>
      <c r="BI190" s="5"/>
      <c r="BJ190" s="5"/>
      <c r="BK190" s="5"/>
      <c r="BL190" s="5"/>
      <c r="BM190" s="5"/>
      <c r="BN190" s="5"/>
      <c r="BO190" s="5"/>
      <c r="BP190" s="5"/>
      <c r="BQ190" s="5"/>
      <c r="BR190" s="5"/>
      <c r="BS190" s="5"/>
      <c r="BT190" s="5"/>
      <c r="BU190" s="5"/>
      <c r="BV190" s="5"/>
      <c r="BW190" s="5"/>
      <c r="BX190" s="373"/>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372"/>
      <c r="CX190" s="5"/>
      <c r="CY190" s="5"/>
      <c r="CZ190" s="5"/>
      <c r="DA190" s="5"/>
      <c r="DB190" s="5"/>
      <c r="DC190" s="5"/>
      <c r="DD190" s="5"/>
      <c r="DE190" s="5"/>
      <c r="DF190" s="5"/>
      <c r="DG190" s="5"/>
      <c r="DH190" s="5"/>
      <c r="DI190" s="5"/>
      <c r="DJ190" s="5"/>
      <c r="DK190" s="5"/>
      <c r="DL190" s="5"/>
      <c r="DM190" s="5"/>
      <c r="DN190" s="5"/>
      <c r="DO190" s="5"/>
      <c r="DP190" s="5"/>
      <c r="DR190" s="372"/>
      <c r="DS190" s="5"/>
      <c r="DT190" s="5"/>
      <c r="DU190" s="5"/>
      <c r="DV190" s="5"/>
      <c r="DW190" s="5"/>
      <c r="DX190" s="5"/>
      <c r="DY190" s="5"/>
      <c r="DZ190" s="5"/>
      <c r="EA190" s="5"/>
      <c r="EB190" s="5"/>
      <c r="EC190" s="5"/>
      <c r="ED190" s="5"/>
      <c r="EE190" s="5"/>
      <c r="EF190" s="5"/>
      <c r="EG190" s="5"/>
      <c r="EH190" s="5"/>
      <c r="EI190" s="5"/>
      <c r="EJ190" s="5"/>
      <c r="EK190" s="5"/>
    </row>
    <row r="191" spans="1:141">
      <c r="A191" s="5"/>
      <c r="B191" s="5"/>
      <c r="C191" s="5"/>
      <c r="D191" s="5"/>
      <c r="E191" s="5"/>
      <c r="F191" s="5"/>
      <c r="G191" s="5"/>
      <c r="H191" s="5"/>
      <c r="I191" s="5"/>
      <c r="J191" s="5"/>
      <c r="K191" s="5"/>
      <c r="L191" s="5"/>
      <c r="M191" s="5"/>
      <c r="N191" s="5"/>
      <c r="O191" s="5"/>
      <c r="P191" s="5"/>
      <c r="Q191" s="5"/>
      <c r="R191" s="5"/>
      <c r="S191" s="5"/>
      <c r="T191" s="374"/>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373"/>
      <c r="BF191" s="5"/>
      <c r="BG191" s="5"/>
      <c r="BH191" s="5"/>
      <c r="BI191" s="5"/>
      <c r="BJ191" s="5"/>
      <c r="BK191" s="5"/>
      <c r="BL191" s="5"/>
      <c r="BM191" s="5"/>
      <c r="BN191" s="5"/>
      <c r="BO191" s="5"/>
      <c r="BP191" s="5"/>
      <c r="BQ191" s="5"/>
      <c r="BR191" s="5"/>
      <c r="BS191" s="5"/>
      <c r="BT191" s="5"/>
      <c r="BU191" s="5"/>
      <c r="BV191" s="5"/>
      <c r="BW191" s="5"/>
      <c r="BX191" s="373"/>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372"/>
      <c r="CX191" s="5"/>
      <c r="CY191" s="5"/>
      <c r="CZ191" s="5"/>
      <c r="DA191" s="5"/>
      <c r="DB191" s="5"/>
      <c r="DC191" s="5"/>
      <c r="DD191" s="5"/>
      <c r="DE191" s="5"/>
      <c r="DF191" s="5"/>
      <c r="DG191" s="5"/>
      <c r="DH191" s="5"/>
      <c r="DI191" s="5"/>
      <c r="DJ191" s="5"/>
      <c r="DK191" s="5"/>
      <c r="DL191" s="5"/>
      <c r="DM191" s="5"/>
      <c r="DN191" s="5"/>
      <c r="DO191" s="5"/>
      <c r="DP191" s="5"/>
      <c r="DR191" s="372"/>
      <c r="DS191" s="5"/>
      <c r="DT191" s="5"/>
      <c r="DU191" s="5"/>
      <c r="DV191" s="5"/>
      <c r="DW191" s="5"/>
      <c r="DX191" s="5"/>
      <c r="DY191" s="5"/>
      <c r="DZ191" s="5"/>
      <c r="EA191" s="5"/>
      <c r="EB191" s="5"/>
      <c r="EC191" s="5"/>
      <c r="ED191" s="5"/>
      <c r="EE191" s="5"/>
      <c r="EF191" s="5"/>
      <c r="EG191" s="5"/>
      <c r="EH191" s="5"/>
      <c r="EI191" s="5"/>
      <c r="EJ191" s="5"/>
      <c r="EK191" s="5"/>
    </row>
    <row r="192" spans="1:141">
      <c r="A192" s="5"/>
      <c r="B192" s="5"/>
      <c r="C192" s="5"/>
      <c r="D192" s="5"/>
      <c r="E192" s="5"/>
      <c r="F192" s="5"/>
      <c r="G192" s="5"/>
      <c r="H192" s="5"/>
      <c r="I192" s="5"/>
      <c r="J192" s="5"/>
      <c r="K192" s="5"/>
      <c r="L192" s="5"/>
      <c r="M192" s="5"/>
      <c r="N192" s="5"/>
      <c r="O192" s="5"/>
      <c r="P192" s="5"/>
      <c r="Q192" s="5"/>
      <c r="R192" s="5"/>
      <c r="S192" s="5"/>
      <c r="T192" s="374"/>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373"/>
      <c r="BF192" s="5"/>
      <c r="BG192" s="5"/>
      <c r="BH192" s="5"/>
      <c r="BI192" s="5"/>
      <c r="BJ192" s="5"/>
      <c r="BK192" s="5"/>
      <c r="BL192" s="5"/>
      <c r="BM192" s="5"/>
      <c r="BN192" s="5"/>
      <c r="BO192" s="5"/>
      <c r="BP192" s="5"/>
      <c r="BQ192" s="5"/>
      <c r="BR192" s="5"/>
      <c r="BS192" s="5"/>
      <c r="BT192" s="5"/>
      <c r="BU192" s="5"/>
      <c r="BV192" s="5"/>
      <c r="BW192" s="5"/>
      <c r="BX192" s="373"/>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372"/>
      <c r="CX192" s="5"/>
      <c r="CY192" s="5"/>
      <c r="CZ192" s="5"/>
      <c r="DA192" s="5"/>
      <c r="DB192" s="5"/>
      <c r="DC192" s="5"/>
      <c r="DD192" s="5"/>
      <c r="DE192" s="5"/>
      <c r="DF192" s="5"/>
      <c r="DG192" s="5"/>
      <c r="DH192" s="5"/>
      <c r="DI192" s="5"/>
      <c r="DJ192" s="5"/>
      <c r="DK192" s="5"/>
      <c r="DL192" s="5"/>
      <c r="DM192" s="5"/>
      <c r="DN192" s="5"/>
      <c r="DO192" s="5"/>
      <c r="DP192" s="5"/>
      <c r="DR192" s="372"/>
      <c r="DS192" s="5"/>
      <c r="DT192" s="5"/>
      <c r="DU192" s="5"/>
      <c r="DV192" s="5"/>
      <c r="DW192" s="5"/>
      <c r="DX192" s="5"/>
      <c r="DY192" s="5"/>
      <c r="DZ192" s="5"/>
      <c r="EA192" s="5"/>
      <c r="EB192" s="5"/>
      <c r="EC192" s="5"/>
      <c r="ED192" s="5"/>
      <c r="EE192" s="5"/>
      <c r="EF192" s="5"/>
      <c r="EG192" s="5"/>
      <c r="EH192" s="5"/>
      <c r="EI192" s="5"/>
      <c r="EJ192" s="5"/>
      <c r="EK192" s="5"/>
    </row>
    <row r="193" spans="1:141">
      <c r="A193" s="5"/>
      <c r="B193" s="5"/>
      <c r="C193" s="5"/>
      <c r="D193" s="5"/>
      <c r="E193" s="5"/>
      <c r="F193" s="5"/>
      <c r="G193" s="5"/>
      <c r="H193" s="5"/>
      <c r="I193" s="5"/>
      <c r="J193" s="5"/>
      <c r="K193" s="5"/>
      <c r="L193" s="5"/>
      <c r="M193" s="5"/>
      <c r="N193" s="5"/>
      <c r="O193" s="5"/>
      <c r="P193" s="5"/>
      <c r="Q193" s="5"/>
      <c r="R193" s="5"/>
      <c r="S193" s="5"/>
      <c r="T193" s="374"/>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373"/>
      <c r="BF193" s="5"/>
      <c r="BG193" s="5"/>
      <c r="BH193" s="5"/>
      <c r="BI193" s="5"/>
      <c r="BJ193" s="5"/>
      <c r="BK193" s="5"/>
      <c r="BL193" s="5"/>
      <c r="BM193" s="5"/>
      <c r="BN193" s="5"/>
      <c r="BO193" s="5"/>
      <c r="BP193" s="5"/>
      <c r="BQ193" s="5"/>
      <c r="BR193" s="5"/>
      <c r="BS193" s="5"/>
      <c r="BT193" s="5"/>
      <c r="BU193" s="5"/>
      <c r="BV193" s="5"/>
      <c r="BW193" s="5"/>
      <c r="BX193" s="373"/>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372"/>
      <c r="CX193" s="5"/>
      <c r="CY193" s="5"/>
      <c r="CZ193" s="5"/>
      <c r="DA193" s="5"/>
      <c r="DB193" s="5"/>
      <c r="DC193" s="5"/>
      <c r="DD193" s="5"/>
      <c r="DE193" s="5"/>
      <c r="DF193" s="5"/>
      <c r="DG193" s="5"/>
      <c r="DH193" s="5"/>
      <c r="DI193" s="5"/>
      <c r="DJ193" s="5"/>
      <c r="DK193" s="5"/>
      <c r="DL193" s="5"/>
      <c r="DM193" s="5"/>
      <c r="DN193" s="5"/>
      <c r="DO193" s="5"/>
      <c r="DP193" s="5"/>
      <c r="DR193" s="372"/>
      <c r="DS193" s="5"/>
      <c r="DT193" s="5"/>
      <c r="DU193" s="5"/>
      <c r="DV193" s="5"/>
      <c r="DW193" s="5"/>
      <c r="DX193" s="5"/>
      <c r="DY193" s="5"/>
      <c r="DZ193" s="5"/>
      <c r="EA193" s="5"/>
      <c r="EB193" s="5"/>
      <c r="EC193" s="5"/>
      <c r="ED193" s="5"/>
      <c r="EE193" s="5"/>
      <c r="EF193" s="5"/>
      <c r="EG193" s="5"/>
      <c r="EH193" s="5"/>
      <c r="EI193" s="5"/>
      <c r="EJ193" s="5"/>
      <c r="EK193" s="5"/>
    </row>
    <row r="194" spans="1:141">
      <c r="A194" s="5"/>
      <c r="B194" s="5"/>
      <c r="C194" s="5"/>
      <c r="D194" s="5"/>
      <c r="E194" s="5"/>
      <c r="F194" s="5"/>
      <c r="G194" s="5"/>
      <c r="H194" s="5"/>
      <c r="I194" s="5"/>
      <c r="J194" s="5"/>
      <c r="K194" s="5"/>
      <c r="L194" s="5"/>
      <c r="M194" s="5"/>
      <c r="N194" s="5"/>
      <c r="O194" s="5"/>
      <c r="P194" s="5"/>
      <c r="Q194" s="5"/>
      <c r="R194" s="5"/>
      <c r="S194" s="5"/>
      <c r="T194" s="374"/>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373"/>
      <c r="BF194" s="5"/>
      <c r="BG194" s="5"/>
      <c r="BH194" s="5"/>
      <c r="BI194" s="5"/>
      <c r="BJ194" s="5"/>
      <c r="BK194" s="5"/>
      <c r="BL194" s="5"/>
      <c r="BM194" s="5"/>
      <c r="BN194" s="5"/>
      <c r="BO194" s="5"/>
      <c r="BP194" s="5"/>
      <c r="BQ194" s="5"/>
      <c r="BR194" s="5"/>
      <c r="BS194" s="5"/>
      <c r="BT194" s="5"/>
      <c r="BU194" s="5"/>
      <c r="BV194" s="5"/>
      <c r="BW194" s="5"/>
      <c r="BX194" s="373"/>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372"/>
      <c r="CX194" s="5"/>
      <c r="CY194" s="5"/>
      <c r="CZ194" s="5"/>
      <c r="DA194" s="5"/>
      <c r="DB194" s="5"/>
      <c r="DC194" s="5"/>
      <c r="DD194" s="5"/>
      <c r="DE194" s="5"/>
      <c r="DF194" s="5"/>
      <c r="DG194" s="5"/>
      <c r="DH194" s="5"/>
      <c r="DI194" s="5"/>
      <c r="DJ194" s="5"/>
      <c r="DK194" s="5"/>
      <c r="DL194" s="5"/>
      <c r="DM194" s="5"/>
      <c r="DN194" s="5"/>
      <c r="DO194" s="5"/>
      <c r="DP194" s="5"/>
      <c r="DR194" s="372"/>
      <c r="DS194" s="5"/>
      <c r="DT194" s="5"/>
      <c r="DU194" s="5"/>
      <c r="DV194" s="5"/>
      <c r="DW194" s="5"/>
      <c r="DX194" s="5"/>
      <c r="DY194" s="5"/>
      <c r="DZ194" s="5"/>
      <c r="EA194" s="5"/>
      <c r="EB194" s="5"/>
      <c r="EC194" s="5"/>
      <c r="ED194" s="5"/>
      <c r="EE194" s="5"/>
      <c r="EF194" s="5"/>
      <c r="EG194" s="5"/>
      <c r="EH194" s="5"/>
      <c r="EI194" s="5"/>
      <c r="EJ194" s="5"/>
      <c r="EK194" s="5"/>
    </row>
    <row r="195" spans="1:141">
      <c r="A195" s="5"/>
      <c r="B195" s="5"/>
      <c r="C195" s="5"/>
      <c r="D195" s="5"/>
      <c r="E195" s="5"/>
      <c r="F195" s="5"/>
      <c r="G195" s="5"/>
      <c r="H195" s="5"/>
      <c r="I195" s="5"/>
      <c r="J195" s="5"/>
      <c r="K195" s="5"/>
      <c r="L195" s="5"/>
      <c r="M195" s="5"/>
      <c r="N195" s="5"/>
      <c r="O195" s="5"/>
      <c r="P195" s="5"/>
      <c r="Q195" s="5"/>
      <c r="R195" s="5"/>
      <c r="S195" s="5"/>
      <c r="T195" s="374"/>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373"/>
      <c r="BF195" s="5"/>
      <c r="BG195" s="5"/>
      <c r="BH195" s="5"/>
      <c r="BI195" s="5"/>
      <c r="BJ195" s="5"/>
      <c r="BK195" s="5"/>
      <c r="BL195" s="5"/>
      <c r="BM195" s="5"/>
      <c r="BN195" s="5"/>
      <c r="BO195" s="5"/>
      <c r="BP195" s="5"/>
      <c r="BQ195" s="5"/>
      <c r="BR195" s="5"/>
      <c r="BS195" s="5"/>
      <c r="BT195" s="5"/>
      <c r="BU195" s="5"/>
      <c r="BV195" s="5"/>
      <c r="BW195" s="5"/>
      <c r="BX195" s="373"/>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372"/>
      <c r="CX195" s="5"/>
      <c r="CY195" s="5"/>
      <c r="CZ195" s="5"/>
      <c r="DA195" s="5"/>
      <c r="DB195" s="5"/>
      <c r="DC195" s="5"/>
      <c r="DD195" s="5"/>
      <c r="DE195" s="5"/>
      <c r="DF195" s="5"/>
      <c r="DG195" s="5"/>
      <c r="DH195" s="5"/>
      <c r="DI195" s="5"/>
      <c r="DJ195" s="5"/>
      <c r="DK195" s="5"/>
      <c r="DL195" s="5"/>
      <c r="DM195" s="5"/>
      <c r="DN195" s="5"/>
      <c r="DO195" s="5"/>
      <c r="DP195" s="5"/>
      <c r="DR195" s="372"/>
      <c r="DS195" s="5"/>
      <c r="DT195" s="5"/>
      <c r="DU195" s="5"/>
      <c r="DV195" s="5"/>
      <c r="DW195" s="5"/>
      <c r="DX195" s="5"/>
      <c r="DY195" s="5"/>
      <c r="DZ195" s="5"/>
      <c r="EA195" s="5"/>
      <c r="EB195" s="5"/>
      <c r="EC195" s="5"/>
      <c r="ED195" s="5"/>
      <c r="EE195" s="5"/>
      <c r="EF195" s="5"/>
      <c r="EG195" s="5"/>
      <c r="EH195" s="5"/>
      <c r="EI195" s="5"/>
      <c r="EJ195" s="5"/>
      <c r="EK195" s="5"/>
    </row>
    <row r="196" spans="1:141">
      <c r="A196" s="161" t="s">
        <v>971</v>
      </c>
      <c r="B196" s="161" t="s">
        <v>63</v>
      </c>
      <c r="C196" s="375" t="s">
        <v>972</v>
      </c>
      <c r="D196" s="5"/>
      <c r="E196" s="5"/>
      <c r="F196" s="5"/>
      <c r="G196" s="161" t="s">
        <v>971</v>
      </c>
      <c r="H196" s="161" t="s">
        <v>63</v>
      </c>
      <c r="I196" s="716">
        <v>3.5000000000000003E-2</v>
      </c>
      <c r="J196" s="716"/>
      <c r="K196" s="5"/>
      <c r="L196" s="5"/>
      <c r="M196" s="5"/>
      <c r="N196" s="5"/>
      <c r="O196" s="5"/>
      <c r="P196" s="5"/>
      <c r="Q196" s="5"/>
      <c r="R196" s="5"/>
      <c r="S196" s="5"/>
      <c r="T196" s="374"/>
      <c r="U196" s="161"/>
      <c r="V196" s="375"/>
      <c r="W196" s="5"/>
      <c r="X196" s="5"/>
      <c r="Y196" s="5"/>
      <c r="Z196" s="161"/>
      <c r="AA196" s="161"/>
      <c r="AB196" s="5"/>
      <c r="AC196" s="5"/>
      <c r="AD196" s="5"/>
      <c r="AE196" s="5"/>
      <c r="AF196" s="5"/>
      <c r="AG196" s="5"/>
      <c r="AH196" s="5"/>
      <c r="AI196" s="5"/>
      <c r="AJ196" s="5"/>
      <c r="AK196" s="5"/>
      <c r="AL196" s="5"/>
      <c r="AM196" s="161" t="s">
        <v>971</v>
      </c>
      <c r="AN196" s="161" t="s">
        <v>63</v>
      </c>
      <c r="AO196" s="375" t="s">
        <v>972</v>
      </c>
      <c r="AP196" s="5"/>
      <c r="AQ196" s="5"/>
      <c r="AR196" s="5"/>
      <c r="AS196" s="161" t="s">
        <v>971</v>
      </c>
      <c r="AT196" s="161" t="s">
        <v>63</v>
      </c>
      <c r="AU196" s="716">
        <v>3.5000000000000003E-2</v>
      </c>
      <c r="AV196" s="716"/>
      <c r="AW196" s="5"/>
      <c r="AX196" s="5"/>
      <c r="AY196" s="5"/>
      <c r="AZ196" s="5"/>
      <c r="BA196" s="5"/>
      <c r="BB196" s="5"/>
      <c r="BC196" s="5"/>
      <c r="BD196" s="5"/>
      <c r="BE196" s="373"/>
      <c r="BF196" s="161" t="s">
        <v>971</v>
      </c>
      <c r="BG196" s="161" t="s">
        <v>63</v>
      </c>
      <c r="BH196" s="375" t="s">
        <v>972</v>
      </c>
      <c r="BI196" s="5"/>
      <c r="BJ196" s="5"/>
      <c r="BK196" s="5"/>
      <c r="BL196" s="161" t="s">
        <v>971</v>
      </c>
      <c r="BM196" s="161" t="s">
        <v>63</v>
      </c>
      <c r="BN196" s="716">
        <v>3.5000000000000003E-2</v>
      </c>
      <c r="BO196" s="716"/>
      <c r="BP196" s="5"/>
      <c r="BQ196" s="5"/>
      <c r="BR196" s="5"/>
      <c r="BS196" s="5"/>
      <c r="BT196" s="5"/>
      <c r="BU196" s="5"/>
      <c r="BV196" s="5"/>
      <c r="BW196" s="5"/>
      <c r="BX196" s="373"/>
      <c r="BY196" s="5"/>
      <c r="BZ196" s="5"/>
      <c r="CA196" s="5"/>
      <c r="CB196" s="5"/>
      <c r="CC196" s="5"/>
      <c r="CD196" s="161"/>
      <c r="CE196" s="161"/>
      <c r="CF196" s="375"/>
      <c r="CG196" s="5"/>
      <c r="CH196" s="5"/>
      <c r="CI196" s="5"/>
      <c r="CJ196" s="161"/>
      <c r="CK196" s="161"/>
      <c r="CL196" s="5"/>
      <c r="CM196" s="5"/>
      <c r="CN196" s="5"/>
      <c r="CO196" s="5"/>
      <c r="CP196" s="5"/>
      <c r="CQ196" s="5"/>
      <c r="CR196" s="5"/>
      <c r="CS196" s="5"/>
      <c r="CT196" s="5"/>
      <c r="CU196" s="5"/>
      <c r="CV196" s="5"/>
      <c r="CW196" s="372"/>
      <c r="CX196" s="161"/>
      <c r="CY196" s="161"/>
      <c r="CZ196" s="375"/>
      <c r="DA196" s="5"/>
      <c r="DB196" s="5"/>
      <c r="DC196" s="5"/>
      <c r="DD196" s="161"/>
      <c r="DE196" s="161"/>
      <c r="DF196" s="5"/>
      <c r="DG196" s="5"/>
      <c r="DH196" s="5"/>
      <c r="DI196" s="5"/>
      <c r="DJ196" s="5"/>
      <c r="DK196" s="5"/>
      <c r="DL196" s="5"/>
      <c r="DM196" s="5"/>
      <c r="DN196" s="5"/>
      <c r="DO196" s="5"/>
      <c r="DP196" s="5"/>
      <c r="DR196" s="372"/>
      <c r="DS196" s="161"/>
      <c r="DT196" s="161"/>
      <c r="DU196" s="5"/>
      <c r="DV196" s="5"/>
      <c r="DW196" s="5"/>
      <c r="DX196" s="5"/>
      <c r="DY196" s="161"/>
      <c r="DZ196" s="161"/>
      <c r="EA196" s="716"/>
      <c r="EB196" s="716"/>
      <c r="EC196" s="5"/>
      <c r="ED196" s="5"/>
      <c r="EE196" s="5"/>
      <c r="EF196" s="5"/>
      <c r="EG196" s="5"/>
      <c r="EH196" s="5"/>
      <c r="EI196" s="5"/>
      <c r="EJ196" s="5"/>
      <c r="EK196" s="5"/>
    </row>
    <row r="197" spans="1:141" ht="16.2">
      <c r="A197" s="5" t="s">
        <v>968</v>
      </c>
      <c r="B197" s="161" t="s">
        <v>63</v>
      </c>
      <c r="C197" s="5" t="s">
        <v>969</v>
      </c>
      <c r="D197" s="5"/>
      <c r="E197" s="5"/>
      <c r="F197" s="5"/>
      <c r="G197" s="5"/>
      <c r="H197" s="5"/>
      <c r="I197" s="5"/>
      <c r="J197" s="5"/>
      <c r="K197" s="5"/>
      <c r="L197" s="5"/>
      <c r="M197" s="5"/>
      <c r="N197" s="5"/>
      <c r="O197" s="5"/>
      <c r="P197" s="5"/>
      <c r="Q197" s="5"/>
      <c r="R197" s="5"/>
      <c r="S197" s="5"/>
      <c r="T197" s="374"/>
      <c r="U197" s="161"/>
      <c r="V197" s="5"/>
      <c r="W197" s="5"/>
      <c r="X197" s="5"/>
      <c r="Y197" s="5"/>
      <c r="Z197" s="5"/>
      <c r="AA197" s="5"/>
      <c r="AB197" s="5"/>
      <c r="AC197" s="5"/>
      <c r="AD197" s="5"/>
      <c r="AE197" s="5"/>
      <c r="AF197" s="5"/>
      <c r="AG197" s="5"/>
      <c r="AH197" s="5"/>
      <c r="AI197" s="5"/>
      <c r="AJ197" s="5"/>
      <c r="AK197" s="5"/>
      <c r="AL197" s="5"/>
      <c r="AM197" s="5" t="s">
        <v>968</v>
      </c>
      <c r="AN197" s="161" t="s">
        <v>63</v>
      </c>
      <c r="AO197" s="5" t="s">
        <v>969</v>
      </c>
      <c r="AP197" s="5"/>
      <c r="AQ197" s="5"/>
      <c r="AR197" s="5"/>
      <c r="AS197" s="5"/>
      <c r="AT197" s="5"/>
      <c r="AU197" s="5"/>
      <c r="AV197" s="5"/>
      <c r="AW197" s="5"/>
      <c r="AX197" s="5"/>
      <c r="AY197" s="5"/>
      <c r="AZ197" s="5"/>
      <c r="BA197" s="5"/>
      <c r="BB197" s="5"/>
      <c r="BC197" s="5"/>
      <c r="BD197" s="5"/>
      <c r="BE197" s="373"/>
      <c r="BF197" s="5" t="s">
        <v>968</v>
      </c>
      <c r="BG197" s="161" t="s">
        <v>63</v>
      </c>
      <c r="BH197" s="5" t="s">
        <v>969</v>
      </c>
      <c r="BI197" s="5"/>
      <c r="BJ197" s="5"/>
      <c r="BK197" s="5"/>
      <c r="BL197" s="5"/>
      <c r="BM197" s="5"/>
      <c r="BN197" s="5"/>
      <c r="BO197" s="5"/>
      <c r="BP197" s="5"/>
      <c r="BQ197" s="5"/>
      <c r="BR197" s="5"/>
      <c r="BS197" s="5"/>
      <c r="BT197" s="5"/>
      <c r="BU197" s="5"/>
      <c r="BV197" s="5"/>
      <c r="BW197" s="5"/>
      <c r="BX197" s="373"/>
      <c r="BY197" s="5"/>
      <c r="BZ197" s="5"/>
      <c r="CA197" s="5"/>
      <c r="CB197" s="5"/>
      <c r="CC197" s="5"/>
      <c r="CD197" s="5"/>
      <c r="CE197" s="161"/>
      <c r="CF197" s="5"/>
      <c r="CG197" s="5"/>
      <c r="CH197" s="5"/>
      <c r="CI197" s="5"/>
      <c r="CJ197" s="5"/>
      <c r="CK197" s="5"/>
      <c r="CL197" s="5"/>
      <c r="CM197" s="5"/>
      <c r="CN197" s="5"/>
      <c r="CO197" s="5"/>
      <c r="CP197" s="5"/>
      <c r="CQ197" s="5"/>
      <c r="CR197" s="5"/>
      <c r="CS197" s="5"/>
      <c r="CT197" s="5"/>
      <c r="CU197" s="5"/>
      <c r="CV197" s="5"/>
      <c r="CW197" s="372"/>
      <c r="CX197" s="5"/>
      <c r="CY197" s="161"/>
      <c r="CZ197" s="5"/>
      <c r="DA197" s="5"/>
      <c r="DB197" s="5"/>
      <c r="DC197" s="5"/>
      <c r="DD197" s="5"/>
      <c r="DE197" s="5"/>
      <c r="DF197" s="5"/>
      <c r="DG197" s="5"/>
      <c r="DH197" s="5"/>
      <c r="DI197" s="5"/>
      <c r="DJ197" s="5"/>
      <c r="DK197" s="5"/>
      <c r="DL197" s="5"/>
      <c r="DM197" s="5"/>
      <c r="DN197" s="5"/>
      <c r="DO197" s="5"/>
      <c r="DP197" s="5"/>
      <c r="DR197" s="372"/>
      <c r="DS197" s="5"/>
      <c r="DT197" s="161"/>
      <c r="DU197" s="5"/>
      <c r="DV197" s="5"/>
      <c r="DW197" s="5"/>
      <c r="DX197" s="5"/>
      <c r="DY197" s="5"/>
      <c r="DZ197" s="5"/>
      <c r="EA197" s="5"/>
      <c r="EB197" s="5"/>
      <c r="EC197" s="5"/>
      <c r="ED197" s="5"/>
      <c r="EE197" s="5"/>
      <c r="EF197" s="5"/>
      <c r="EG197" s="5"/>
      <c r="EH197" s="5"/>
      <c r="EI197" s="5"/>
      <c r="EJ197" s="5"/>
      <c r="EK197" s="5"/>
    </row>
    <row r="198" spans="1:141">
      <c r="A198" s="5"/>
      <c r="B198" s="161" t="s">
        <v>63</v>
      </c>
      <c r="C198" s="934">
        <f>I196*(C171^1.36)</f>
        <v>4031.1946798227818</v>
      </c>
      <c r="D198" s="934"/>
      <c r="E198" s="5" t="s">
        <v>361</v>
      </c>
      <c r="F198" s="5"/>
      <c r="G198" s="5"/>
      <c r="H198" s="5"/>
      <c r="I198" s="5"/>
      <c r="J198" s="5"/>
      <c r="K198" s="5"/>
      <c r="L198" s="5"/>
      <c r="M198" s="5"/>
      <c r="N198" s="5"/>
      <c r="O198" s="5"/>
      <c r="P198" s="5"/>
      <c r="Q198" s="5"/>
      <c r="R198" s="5"/>
      <c r="S198" s="5"/>
      <c r="T198" s="374"/>
      <c r="U198" s="161"/>
      <c r="V198" s="389"/>
      <c r="W198" s="389"/>
      <c r="X198" s="5"/>
      <c r="Y198" s="5"/>
      <c r="Z198" s="5"/>
      <c r="AA198" s="5"/>
      <c r="AB198" s="5"/>
      <c r="AC198" s="5"/>
      <c r="AD198" s="5"/>
      <c r="AE198" s="5"/>
      <c r="AF198" s="5"/>
      <c r="AG198" s="5"/>
      <c r="AH198" s="5"/>
      <c r="AI198" s="5"/>
      <c r="AJ198" s="5"/>
      <c r="AK198" s="5"/>
      <c r="AL198" s="5"/>
      <c r="AM198" s="5"/>
      <c r="AN198" s="161" t="s">
        <v>63</v>
      </c>
      <c r="AO198" s="934">
        <f>AU196*(AO171^1.36)</f>
        <v>4029.8651126509026</v>
      </c>
      <c r="AP198" s="934"/>
      <c r="AQ198" s="5" t="s">
        <v>361</v>
      </c>
      <c r="AR198" s="5"/>
      <c r="AS198" s="5"/>
      <c r="AT198" s="5"/>
      <c r="AU198" s="5"/>
      <c r="AV198" s="5"/>
      <c r="AW198" s="5"/>
      <c r="AX198" s="5"/>
      <c r="AY198" s="5"/>
      <c r="AZ198" s="5"/>
      <c r="BA198" s="5"/>
      <c r="BB198" s="5"/>
      <c r="BC198" s="5"/>
      <c r="BD198" s="5"/>
      <c r="BE198" s="373"/>
      <c r="BF198" s="5"/>
      <c r="BG198" s="161" t="s">
        <v>63</v>
      </c>
      <c r="BH198" s="934">
        <f>BN196*(BH171^1.36)</f>
        <v>4029.8651126509026</v>
      </c>
      <c r="BI198" s="934"/>
      <c r="BJ198" s="5" t="s">
        <v>361</v>
      </c>
      <c r="BK198" s="5"/>
      <c r="BL198" s="5"/>
      <c r="BM198" s="5"/>
      <c r="BN198" s="5"/>
      <c r="BO198" s="5"/>
      <c r="BP198" s="5"/>
      <c r="BQ198" s="5"/>
      <c r="BR198" s="5"/>
      <c r="BS198" s="5"/>
      <c r="BT198" s="5"/>
      <c r="BU198" s="5"/>
      <c r="BV198" s="5"/>
      <c r="BW198" s="5"/>
      <c r="BX198" s="373"/>
      <c r="BY198" s="5"/>
      <c r="BZ198" s="5"/>
      <c r="CA198" s="5"/>
      <c r="CB198" s="5"/>
      <c r="CC198" s="5"/>
      <c r="CD198" s="5"/>
      <c r="CE198" s="161"/>
      <c r="CF198" s="392"/>
      <c r="CG198" s="392"/>
      <c r="CH198" s="5"/>
      <c r="CI198" s="5"/>
      <c r="CJ198" s="5"/>
      <c r="CK198" s="5"/>
      <c r="CL198" s="5"/>
      <c r="CM198" s="5"/>
      <c r="CN198" s="5"/>
      <c r="CO198" s="5"/>
      <c r="CP198" s="5"/>
      <c r="CQ198" s="5"/>
      <c r="CR198" s="5"/>
      <c r="CS198" s="5"/>
      <c r="CT198" s="5"/>
      <c r="CU198" s="5"/>
      <c r="CV198" s="5"/>
      <c r="CW198" s="372"/>
      <c r="CX198" s="5"/>
      <c r="CY198" s="161"/>
      <c r="CZ198" s="392"/>
      <c r="DA198" s="392"/>
      <c r="DB198" s="5"/>
      <c r="DC198" s="5"/>
      <c r="DD198" s="5"/>
      <c r="DE198" s="5"/>
      <c r="DF198" s="5"/>
      <c r="DG198" s="5"/>
      <c r="DH198" s="5"/>
      <c r="DI198" s="5"/>
      <c r="DJ198" s="5"/>
      <c r="DK198" s="5"/>
      <c r="DL198" s="5"/>
      <c r="DM198" s="5"/>
      <c r="DN198" s="5"/>
      <c r="DO198" s="5"/>
      <c r="DP198" s="5"/>
      <c r="DR198" s="372"/>
      <c r="DS198" s="5"/>
      <c r="DT198" s="161"/>
      <c r="DU198" s="890"/>
      <c r="DV198" s="890"/>
      <c r="DW198" s="5"/>
      <c r="DX198" s="5"/>
      <c r="DY198" s="5"/>
      <c r="DZ198" s="5"/>
      <c r="EA198" s="5"/>
      <c r="EB198" s="5"/>
      <c r="EC198" s="5"/>
      <c r="ED198" s="5"/>
      <c r="EE198" s="5"/>
      <c r="EF198" s="5"/>
      <c r="EG198" s="5"/>
      <c r="EH198" s="5"/>
      <c r="EI198" s="5"/>
      <c r="EJ198" s="5"/>
      <c r="EK198" s="5"/>
    </row>
    <row r="199" spans="1:141">
      <c r="A199" s="5"/>
      <c r="B199" s="5"/>
      <c r="C199" s="5"/>
      <c r="D199" s="5"/>
      <c r="E199" s="5"/>
      <c r="F199" s="5"/>
      <c r="G199" s="5"/>
      <c r="H199" s="5"/>
      <c r="I199" s="5"/>
      <c r="J199" s="5"/>
      <c r="K199" s="5"/>
      <c r="L199" s="5"/>
      <c r="M199" s="5"/>
      <c r="N199" s="5"/>
      <c r="O199" s="5"/>
      <c r="P199" s="5"/>
      <c r="Q199" s="5"/>
      <c r="R199" s="5"/>
      <c r="S199" s="5"/>
      <c r="T199" s="374"/>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373"/>
      <c r="BF199" s="5"/>
      <c r="BG199" s="5"/>
      <c r="BH199" s="5"/>
      <c r="BI199" s="5"/>
      <c r="BJ199" s="5"/>
      <c r="BK199" s="5"/>
      <c r="BL199" s="5"/>
      <c r="BM199" s="5"/>
      <c r="BN199" s="5"/>
      <c r="BO199" s="5"/>
      <c r="BP199" s="5"/>
      <c r="BQ199" s="5"/>
      <c r="BR199" s="5"/>
      <c r="BS199" s="5"/>
      <c r="BT199" s="5"/>
      <c r="BU199" s="5"/>
      <c r="BV199" s="5"/>
      <c r="BW199" s="5"/>
      <c r="BX199" s="373"/>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372"/>
      <c r="CX199" s="5"/>
      <c r="CY199" s="5"/>
      <c r="CZ199" s="5"/>
      <c r="DA199" s="5"/>
      <c r="DB199" s="5"/>
      <c r="DC199" s="5"/>
      <c r="DD199" s="5"/>
      <c r="DE199" s="5"/>
      <c r="DF199" s="5"/>
      <c r="DG199" s="5"/>
      <c r="DH199" s="5"/>
      <c r="DI199" s="5"/>
      <c r="DJ199" s="5"/>
      <c r="DK199" s="5"/>
      <c r="DL199" s="5"/>
      <c r="DM199" s="5"/>
      <c r="DN199" s="5"/>
      <c r="DO199" s="5"/>
      <c r="DP199" s="5"/>
      <c r="DR199" s="372"/>
      <c r="DS199" s="5"/>
      <c r="DT199" s="5"/>
      <c r="DU199" s="5"/>
      <c r="DV199" s="5"/>
      <c r="DW199" s="5"/>
      <c r="DX199" s="5"/>
      <c r="DY199" s="5"/>
      <c r="DZ199" s="5"/>
      <c r="EA199" s="5"/>
      <c r="EB199" s="5"/>
      <c r="EC199" s="5"/>
      <c r="ED199" s="5"/>
      <c r="EE199" s="5"/>
      <c r="EF199" s="5"/>
      <c r="EG199" s="5"/>
      <c r="EH199" s="5"/>
      <c r="EI199" s="5"/>
      <c r="EJ199" s="5"/>
      <c r="EK199" s="5"/>
    </row>
    <row r="200" spans="1:141" ht="15" customHeight="1">
      <c r="A200" s="371" t="s">
        <v>973</v>
      </c>
      <c r="B200" s="371"/>
      <c r="C200" s="371"/>
      <c r="D200" s="371"/>
      <c r="E200" s="371"/>
      <c r="F200" s="371"/>
      <c r="G200" s="371"/>
      <c r="H200" s="371"/>
      <c r="I200" s="371"/>
      <c r="J200" s="371"/>
      <c r="K200" s="371"/>
      <c r="L200" s="371"/>
      <c r="M200" s="371"/>
      <c r="N200" s="371"/>
      <c r="O200" s="371"/>
      <c r="P200" s="371"/>
      <c r="Q200" s="371"/>
      <c r="R200" s="371"/>
      <c r="S200" s="371"/>
      <c r="T200" s="434"/>
      <c r="U200" s="371"/>
      <c r="V200" s="371"/>
      <c r="W200" s="371"/>
      <c r="X200" s="371"/>
      <c r="Y200" s="371"/>
      <c r="Z200" s="371"/>
      <c r="AA200" s="371"/>
      <c r="AB200" s="371"/>
      <c r="AC200" s="371"/>
      <c r="AD200" s="371"/>
      <c r="AE200" s="371"/>
      <c r="AF200" s="371"/>
      <c r="AG200" s="371"/>
      <c r="AH200" s="371"/>
      <c r="AI200" s="371"/>
      <c r="AJ200" s="371"/>
      <c r="AK200" s="371"/>
      <c r="AL200" s="371"/>
      <c r="AM200" s="371" t="s">
        <v>973</v>
      </c>
      <c r="AN200" s="371"/>
      <c r="AO200" s="371"/>
      <c r="AP200" s="371"/>
      <c r="AQ200" s="371"/>
      <c r="AR200" s="371"/>
      <c r="AS200" s="371"/>
      <c r="AT200" s="371"/>
      <c r="AU200" s="371"/>
      <c r="AV200" s="371"/>
      <c r="AW200" s="371"/>
      <c r="AX200" s="371"/>
      <c r="AY200" s="371"/>
      <c r="AZ200" s="371"/>
      <c r="BA200" s="371"/>
      <c r="BB200" s="371"/>
      <c r="BC200" s="371"/>
      <c r="BD200" s="371"/>
      <c r="BE200" s="399"/>
      <c r="BF200" s="371" t="s">
        <v>973</v>
      </c>
      <c r="BG200" s="371"/>
      <c r="BH200" s="371"/>
      <c r="BI200" s="371"/>
      <c r="BJ200" s="371"/>
      <c r="BK200" s="371"/>
      <c r="BL200" s="371"/>
      <c r="BM200" s="371"/>
      <c r="BN200" s="371"/>
      <c r="BO200" s="371"/>
      <c r="BP200" s="371"/>
      <c r="BQ200" s="371"/>
      <c r="BR200" s="371"/>
      <c r="BS200" s="371"/>
      <c r="BT200" s="371"/>
      <c r="BU200" s="371"/>
      <c r="BV200" s="371"/>
      <c r="BW200" s="371"/>
      <c r="BX200" s="399"/>
      <c r="BY200" s="371"/>
      <c r="BZ200" s="371"/>
      <c r="CA200" s="371"/>
      <c r="CB200" s="371"/>
      <c r="CC200" s="371"/>
      <c r="CD200" s="371"/>
      <c r="CE200" s="371"/>
      <c r="CF200" s="371"/>
      <c r="CG200" s="371"/>
      <c r="CH200" s="371"/>
      <c r="CI200" s="371"/>
      <c r="CJ200" s="371"/>
      <c r="CK200" s="371"/>
      <c r="CL200" s="371"/>
      <c r="CM200" s="371"/>
      <c r="CN200" s="371"/>
      <c r="CO200" s="371"/>
      <c r="CP200" s="371"/>
      <c r="CQ200" s="371"/>
      <c r="CR200" s="371"/>
      <c r="CS200" s="371"/>
      <c r="CT200" s="371"/>
      <c r="CU200" s="371"/>
      <c r="CV200" s="371"/>
      <c r="CW200" s="372"/>
      <c r="CX200" s="371"/>
      <c r="CY200" s="371"/>
      <c r="CZ200" s="371"/>
      <c r="DA200" s="371"/>
      <c r="DB200" s="371"/>
      <c r="DC200" s="371"/>
      <c r="DD200" s="371"/>
      <c r="DE200" s="371"/>
      <c r="DF200" s="371"/>
      <c r="DG200" s="371"/>
      <c r="DH200" s="371"/>
      <c r="DI200" s="371"/>
      <c r="DJ200" s="371"/>
      <c r="DK200" s="371"/>
      <c r="DL200" s="371"/>
      <c r="DM200" s="371"/>
      <c r="DN200" s="371"/>
      <c r="DO200" s="371"/>
      <c r="DP200" s="371"/>
      <c r="DR200" s="372"/>
      <c r="DS200" s="371"/>
      <c r="DT200" s="371"/>
      <c r="DU200" s="371"/>
      <c r="DV200" s="371"/>
      <c r="DW200" s="371"/>
      <c r="DX200" s="371"/>
      <c r="DY200" s="371"/>
      <c r="DZ200" s="371"/>
      <c r="EA200" s="371"/>
      <c r="EB200" s="371"/>
      <c r="EC200" s="371"/>
      <c r="ED200" s="371"/>
      <c r="EE200" s="371"/>
      <c r="EF200" s="371"/>
      <c r="EG200" s="371"/>
      <c r="EH200" s="371"/>
      <c r="EI200" s="371"/>
      <c r="EJ200" s="371"/>
      <c r="EK200" s="371"/>
    </row>
    <row r="201" spans="1:141" ht="15" customHeight="1">
      <c r="A201" s="935" t="s">
        <v>974</v>
      </c>
      <c r="B201" s="935"/>
      <c r="C201" s="161" t="s">
        <v>63</v>
      </c>
      <c r="D201" s="5" t="s">
        <v>975</v>
      </c>
      <c r="E201" s="5"/>
      <c r="F201" s="5"/>
      <c r="G201" s="5"/>
      <c r="H201" s="400" t="s">
        <v>715</v>
      </c>
      <c r="I201" s="400"/>
      <c r="J201" s="400"/>
      <c r="K201" s="400"/>
      <c r="L201" s="400"/>
      <c r="M201" s="5"/>
      <c r="N201" s="5"/>
      <c r="O201" s="5"/>
      <c r="P201" s="5"/>
      <c r="Q201" s="5"/>
      <c r="R201" s="5"/>
      <c r="S201" s="5"/>
      <c r="T201" s="404"/>
      <c r="U201" s="395"/>
      <c r="V201" s="161"/>
      <c r="W201" s="5"/>
      <c r="X201" s="5"/>
      <c r="Y201" s="5"/>
      <c r="Z201" s="5"/>
      <c r="AA201" s="400"/>
      <c r="AB201" s="400"/>
      <c r="AC201" s="400"/>
      <c r="AD201" s="400"/>
      <c r="AE201" s="400"/>
      <c r="AF201" s="5"/>
      <c r="AG201" s="5"/>
      <c r="AH201" s="5"/>
      <c r="AI201" s="5"/>
      <c r="AJ201" s="5"/>
      <c r="AK201" s="5"/>
      <c r="AL201" s="5"/>
      <c r="AM201" s="935" t="s">
        <v>974</v>
      </c>
      <c r="AN201" s="935"/>
      <c r="AO201" s="161" t="s">
        <v>63</v>
      </c>
      <c r="AP201" s="5" t="s">
        <v>975</v>
      </c>
      <c r="AQ201" s="5"/>
      <c r="AR201" s="5"/>
      <c r="AS201" s="5"/>
      <c r="AT201" s="400" t="s">
        <v>715</v>
      </c>
      <c r="AU201" s="400"/>
      <c r="AV201" s="400"/>
      <c r="AW201" s="400"/>
      <c r="AX201" s="400"/>
      <c r="AY201" s="5"/>
      <c r="AZ201" s="5"/>
      <c r="BA201" s="5"/>
      <c r="BB201" s="5"/>
      <c r="BC201" s="5"/>
      <c r="BD201" s="5"/>
      <c r="BE201" s="373"/>
      <c r="BF201" s="935" t="s">
        <v>974</v>
      </c>
      <c r="BG201" s="935"/>
      <c r="BH201" s="161" t="s">
        <v>63</v>
      </c>
      <c r="BI201" s="5" t="s">
        <v>975</v>
      </c>
      <c r="BJ201" s="5"/>
      <c r="BK201" s="5"/>
      <c r="BL201" s="5"/>
      <c r="BM201" s="400" t="s">
        <v>715</v>
      </c>
      <c r="BN201" s="400"/>
      <c r="BO201" s="400"/>
      <c r="BP201" s="400"/>
      <c r="BQ201" s="400"/>
      <c r="BR201" s="5"/>
      <c r="BS201" s="5"/>
      <c r="BT201" s="5"/>
      <c r="BU201" s="5"/>
      <c r="BV201" s="5"/>
      <c r="BW201" s="5"/>
      <c r="BX201" s="373"/>
      <c r="BY201" s="5"/>
      <c r="BZ201" s="5"/>
      <c r="CA201" s="5"/>
      <c r="CB201" s="5"/>
      <c r="CC201" s="5"/>
      <c r="CD201" s="395"/>
      <c r="CE201" s="395"/>
      <c r="CF201" s="161"/>
      <c r="CG201" s="5"/>
      <c r="CH201" s="5"/>
      <c r="CI201" s="5"/>
      <c r="CJ201" s="5"/>
      <c r="CK201" s="400"/>
      <c r="CL201" s="400"/>
      <c r="CM201" s="400"/>
      <c r="CN201" s="400"/>
      <c r="CO201" s="400"/>
      <c r="CP201" s="5"/>
      <c r="CQ201" s="5"/>
      <c r="CR201" s="5"/>
      <c r="CS201" s="5"/>
      <c r="CT201" s="5"/>
      <c r="CU201" s="5"/>
      <c r="CV201" s="5"/>
      <c r="CW201" s="372"/>
      <c r="CX201" s="395"/>
      <c r="CY201" s="395"/>
      <c r="CZ201" s="161"/>
      <c r="DA201" s="5"/>
      <c r="DB201" s="5"/>
      <c r="DC201" s="5"/>
      <c r="DD201" s="5"/>
      <c r="DE201" s="400"/>
      <c r="DF201" s="400"/>
      <c r="DG201" s="400"/>
      <c r="DH201" s="400"/>
      <c r="DI201" s="400"/>
      <c r="DJ201" s="5"/>
      <c r="DK201" s="5"/>
      <c r="DL201" s="5"/>
      <c r="DM201" s="5"/>
      <c r="DN201" s="5"/>
      <c r="DO201" s="5"/>
      <c r="DP201" s="5"/>
      <c r="DR201" s="372"/>
      <c r="DS201" s="935"/>
      <c r="DT201" s="935"/>
      <c r="DU201" s="161"/>
      <c r="DV201" s="5"/>
      <c r="DW201" s="5"/>
      <c r="DX201" s="5"/>
      <c r="DY201" s="5"/>
      <c r="DZ201" s="400"/>
      <c r="EA201" s="400"/>
      <c r="EB201" s="400"/>
      <c r="EC201" s="400"/>
      <c r="ED201" s="400"/>
      <c r="EE201" s="5"/>
      <c r="EF201" s="5"/>
      <c r="EG201" s="5"/>
      <c r="EH201" s="5"/>
      <c r="EI201" s="5"/>
      <c r="EJ201" s="5"/>
      <c r="EK201" s="5"/>
    </row>
    <row r="202" spans="1:141">
      <c r="A202" s="5"/>
      <c r="B202" s="5"/>
      <c r="C202" s="161" t="s">
        <v>63</v>
      </c>
      <c r="D202" s="934">
        <f>0.4*G3*G5</f>
        <v>1298.76</v>
      </c>
      <c r="E202" s="934"/>
      <c r="F202" s="5" t="s">
        <v>361</v>
      </c>
      <c r="G202" s="5"/>
      <c r="H202" s="5"/>
      <c r="I202" s="5"/>
      <c r="J202" s="5"/>
      <c r="K202" s="5"/>
      <c r="L202" s="5"/>
      <c r="M202" s="5"/>
      <c r="N202" s="5"/>
      <c r="O202" s="5"/>
      <c r="P202" s="5"/>
      <c r="Q202" s="5"/>
      <c r="R202" s="5"/>
      <c r="S202" s="5"/>
      <c r="T202" s="374"/>
      <c r="U202" s="5"/>
      <c r="V202" s="161"/>
      <c r="W202" s="389"/>
      <c r="X202" s="389"/>
      <c r="Y202" s="5"/>
      <c r="Z202" s="5"/>
      <c r="AA202" s="5"/>
      <c r="AB202" s="5"/>
      <c r="AC202" s="5"/>
      <c r="AD202" s="5"/>
      <c r="AE202" s="5"/>
      <c r="AF202" s="5"/>
      <c r="AG202" s="5"/>
      <c r="AH202" s="5"/>
      <c r="AI202" s="5"/>
      <c r="AJ202" s="5"/>
      <c r="AK202" s="5"/>
      <c r="AL202" s="5"/>
      <c r="AM202" s="5"/>
      <c r="AN202" s="5"/>
      <c r="AO202" s="161" t="s">
        <v>63</v>
      </c>
      <c r="AP202" s="934">
        <f>W202</f>
        <v>0</v>
      </c>
      <c r="AQ202" s="934"/>
      <c r="AR202" s="5" t="s">
        <v>361</v>
      </c>
      <c r="AS202" s="5"/>
      <c r="AT202" s="5"/>
      <c r="AU202" s="5"/>
      <c r="AV202" s="5"/>
      <c r="AW202" s="5"/>
      <c r="AX202" s="5"/>
      <c r="AY202" s="5"/>
      <c r="AZ202" s="5"/>
      <c r="BA202" s="5"/>
      <c r="BB202" s="5"/>
      <c r="BC202" s="5"/>
      <c r="BD202" s="5"/>
      <c r="BE202" s="373"/>
      <c r="BF202" s="5"/>
      <c r="BG202" s="5"/>
      <c r="BH202" s="161" t="s">
        <v>63</v>
      </c>
      <c r="BI202" s="934">
        <f>AP202</f>
        <v>0</v>
      </c>
      <c r="BJ202" s="934"/>
      <c r="BK202" s="5" t="s">
        <v>361</v>
      </c>
      <c r="BL202" s="5"/>
      <c r="BM202" s="5"/>
      <c r="BN202" s="5"/>
      <c r="BO202" s="5"/>
      <c r="BP202" s="5"/>
      <c r="BQ202" s="5"/>
      <c r="BR202" s="5"/>
      <c r="BS202" s="5"/>
      <c r="BT202" s="5"/>
      <c r="BU202" s="5"/>
      <c r="BV202" s="5"/>
      <c r="BW202" s="5"/>
      <c r="BX202" s="373"/>
      <c r="BY202" s="5"/>
      <c r="BZ202" s="5"/>
      <c r="CA202" s="5"/>
      <c r="CB202" s="5"/>
      <c r="CC202" s="5"/>
      <c r="CD202" s="5"/>
      <c r="CE202" s="5"/>
      <c r="CF202" s="161"/>
      <c r="CG202" s="392"/>
      <c r="CH202" s="392"/>
      <c r="CI202" s="5"/>
      <c r="CJ202" s="5"/>
      <c r="CK202" s="5"/>
      <c r="CL202" s="5"/>
      <c r="CM202" s="5"/>
      <c r="CN202" s="5"/>
      <c r="CO202" s="5"/>
      <c r="CP202" s="5"/>
      <c r="CQ202" s="5"/>
      <c r="CR202" s="5"/>
      <c r="CS202" s="5"/>
      <c r="CT202" s="5"/>
      <c r="CU202" s="5"/>
      <c r="CV202" s="5"/>
      <c r="CW202" s="372"/>
      <c r="CX202" s="5"/>
      <c r="CY202" s="5"/>
      <c r="CZ202" s="161"/>
      <c r="DA202" s="392"/>
      <c r="DB202" s="392"/>
      <c r="DC202" s="5"/>
      <c r="DD202" s="5"/>
      <c r="DE202" s="5"/>
      <c r="DF202" s="5"/>
      <c r="DG202" s="5"/>
      <c r="DH202" s="5"/>
      <c r="DI202" s="5"/>
      <c r="DJ202" s="5"/>
      <c r="DK202" s="5"/>
      <c r="DL202" s="5"/>
      <c r="DM202" s="5"/>
      <c r="DN202" s="5"/>
      <c r="DO202" s="5"/>
      <c r="DP202" s="5"/>
      <c r="DR202" s="372"/>
      <c r="DS202" s="5"/>
      <c r="DT202" s="5"/>
      <c r="DU202" s="161"/>
      <c r="DV202" s="890"/>
      <c r="DW202" s="890"/>
      <c r="DX202" s="5"/>
      <c r="DY202" s="5"/>
      <c r="DZ202" s="5"/>
      <c r="EA202" s="5"/>
      <c r="EB202" s="5"/>
      <c r="EC202" s="5"/>
      <c r="ED202" s="5"/>
      <c r="EE202" s="5"/>
      <c r="EF202" s="5"/>
      <c r="EG202" s="5"/>
      <c r="EH202" s="5"/>
      <c r="EI202" s="5"/>
      <c r="EJ202" s="5"/>
      <c r="EK202" s="5"/>
    </row>
    <row r="203" spans="1:141">
      <c r="A203" s="5"/>
      <c r="B203" s="5"/>
      <c r="C203" s="5"/>
      <c r="D203" s="5"/>
      <c r="E203" s="5"/>
      <c r="F203" s="5"/>
      <c r="G203" s="5"/>
      <c r="H203" s="5"/>
      <c r="I203" s="5"/>
      <c r="J203" s="5"/>
      <c r="K203" s="5"/>
      <c r="L203" s="5"/>
      <c r="M203" s="5"/>
      <c r="N203" s="5"/>
      <c r="O203" s="5"/>
      <c r="P203" s="5"/>
      <c r="Q203" s="5"/>
      <c r="R203" s="5"/>
      <c r="S203" s="5"/>
      <c r="T203" s="374"/>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373"/>
      <c r="BF203" s="5"/>
      <c r="BG203" s="5"/>
      <c r="BH203" s="5"/>
      <c r="BI203" s="5"/>
      <c r="BJ203" s="5"/>
      <c r="BK203" s="5"/>
      <c r="BL203" s="5"/>
      <c r="BM203" s="5"/>
      <c r="BN203" s="5"/>
      <c r="BO203" s="5"/>
      <c r="BP203" s="5"/>
      <c r="BQ203" s="5"/>
      <c r="BR203" s="5"/>
      <c r="BS203" s="5"/>
      <c r="BT203" s="5"/>
      <c r="BU203" s="5"/>
      <c r="BV203" s="5"/>
      <c r="BW203" s="5"/>
      <c r="BX203" s="373"/>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372"/>
      <c r="CX203" s="5"/>
      <c r="CY203" s="5"/>
      <c r="CZ203" s="5"/>
      <c r="DA203" s="5"/>
      <c r="DB203" s="5"/>
      <c r="DC203" s="5"/>
      <c r="DD203" s="5"/>
      <c r="DE203" s="5"/>
      <c r="DF203" s="5"/>
      <c r="DG203" s="5"/>
      <c r="DH203" s="5"/>
      <c r="DI203" s="5"/>
      <c r="DJ203" s="5"/>
      <c r="DK203" s="5"/>
      <c r="DL203" s="5"/>
      <c r="DM203" s="5"/>
      <c r="DN203" s="5"/>
      <c r="DO203" s="5"/>
      <c r="DP203" s="5"/>
      <c r="DR203" s="372"/>
      <c r="DS203" s="5"/>
      <c r="DT203" s="5"/>
      <c r="DU203" s="5"/>
      <c r="DV203" s="5"/>
      <c r="DW203" s="5"/>
      <c r="DX203" s="5"/>
      <c r="DY203" s="5"/>
      <c r="DZ203" s="5"/>
      <c r="EA203" s="5"/>
      <c r="EB203" s="5"/>
      <c r="EC203" s="5"/>
      <c r="ED203" s="5"/>
      <c r="EE203" s="5"/>
      <c r="EF203" s="5"/>
      <c r="EG203" s="5"/>
      <c r="EH203" s="5"/>
      <c r="EI203" s="5"/>
      <c r="EJ203" s="5"/>
      <c r="EK203" s="5"/>
    </row>
    <row r="204" spans="1:141">
      <c r="A204" s="371" t="s">
        <v>976</v>
      </c>
      <c r="B204" s="371"/>
      <c r="C204" s="371"/>
      <c r="D204" s="371"/>
      <c r="E204" s="371"/>
      <c r="F204" s="371"/>
      <c r="G204" s="371"/>
      <c r="H204" s="371"/>
      <c r="I204" s="371"/>
      <c r="J204" s="371"/>
      <c r="K204" s="371"/>
      <c r="L204" s="371"/>
      <c r="M204" s="371"/>
      <c r="N204" s="371"/>
      <c r="O204" s="371"/>
      <c r="P204" s="371"/>
      <c r="Q204" s="371"/>
      <c r="R204" s="371"/>
      <c r="S204" s="371"/>
      <c r="T204" s="434"/>
      <c r="U204" s="371"/>
      <c r="V204" s="371"/>
      <c r="W204" s="371"/>
      <c r="X204" s="371"/>
      <c r="Y204" s="371"/>
      <c r="Z204" s="371"/>
      <c r="AA204" s="371"/>
      <c r="AB204" s="371"/>
      <c r="AC204" s="371"/>
      <c r="AD204" s="371"/>
      <c r="AE204" s="371"/>
      <c r="AF204" s="371"/>
      <c r="AG204" s="371"/>
      <c r="AH204" s="371"/>
      <c r="AI204" s="371"/>
      <c r="AJ204" s="371"/>
      <c r="AK204" s="371"/>
      <c r="AL204" s="371"/>
      <c r="AM204" s="371" t="s">
        <v>976</v>
      </c>
      <c r="AN204" s="371"/>
      <c r="AO204" s="371"/>
      <c r="AP204" s="371"/>
      <c r="AQ204" s="371"/>
      <c r="AR204" s="371"/>
      <c r="AS204" s="371"/>
      <c r="AT204" s="371"/>
      <c r="AU204" s="371"/>
      <c r="AV204" s="371"/>
      <c r="AW204" s="371"/>
      <c r="AX204" s="371"/>
      <c r="AY204" s="371"/>
      <c r="AZ204" s="371"/>
      <c r="BA204" s="371"/>
      <c r="BB204" s="371"/>
      <c r="BC204" s="371"/>
      <c r="BD204" s="371"/>
      <c r="BE204" s="399"/>
      <c r="BF204" s="371" t="s">
        <v>976</v>
      </c>
      <c r="BG204" s="371"/>
      <c r="BH204" s="371"/>
      <c r="BI204" s="371"/>
      <c r="BJ204" s="371"/>
      <c r="BK204" s="371"/>
      <c r="BL204" s="371"/>
      <c r="BM204" s="371"/>
      <c r="BN204" s="371"/>
      <c r="BO204" s="371"/>
      <c r="BP204" s="371"/>
      <c r="BQ204" s="371"/>
      <c r="BR204" s="371"/>
      <c r="BS204" s="371"/>
      <c r="BT204" s="371"/>
      <c r="BU204" s="371"/>
      <c r="BV204" s="371"/>
      <c r="BW204" s="371"/>
      <c r="BX204" s="399"/>
      <c r="BY204" s="371"/>
      <c r="BZ204" s="371"/>
      <c r="CA204" s="371"/>
      <c r="CB204" s="371"/>
      <c r="CC204" s="371"/>
      <c r="CD204" s="371"/>
      <c r="CE204" s="371"/>
      <c r="CF204" s="371"/>
      <c r="CG204" s="371"/>
      <c r="CH204" s="371"/>
      <c r="CI204" s="371"/>
      <c r="CJ204" s="371"/>
      <c r="CK204" s="371"/>
      <c r="CL204" s="371"/>
      <c r="CM204" s="371"/>
      <c r="CN204" s="371"/>
      <c r="CO204" s="371"/>
      <c r="CP204" s="371"/>
      <c r="CQ204" s="371"/>
      <c r="CR204" s="371"/>
      <c r="CS204" s="371"/>
      <c r="CT204" s="371"/>
      <c r="CU204" s="371"/>
      <c r="CV204" s="371"/>
      <c r="CW204" s="372"/>
      <c r="CX204" s="371"/>
      <c r="CY204" s="371"/>
      <c r="CZ204" s="371"/>
      <c r="DA204" s="371"/>
      <c r="DB204" s="371"/>
      <c r="DC204" s="371"/>
      <c r="DD204" s="371"/>
      <c r="DE204" s="371"/>
      <c r="DF204" s="371"/>
      <c r="DG204" s="371"/>
      <c r="DH204" s="371"/>
      <c r="DI204" s="371"/>
      <c r="DJ204" s="371"/>
      <c r="DK204" s="371"/>
      <c r="DL204" s="371"/>
      <c r="DM204" s="371"/>
      <c r="DN204" s="371"/>
      <c r="DO204" s="371"/>
      <c r="DP204" s="371"/>
      <c r="DR204" s="372"/>
      <c r="DS204" s="371"/>
      <c r="DT204" s="371"/>
      <c r="DU204" s="371"/>
      <c r="DV204" s="371"/>
      <c r="DW204" s="371"/>
      <c r="DX204" s="371"/>
      <c r="DY204" s="371"/>
      <c r="DZ204" s="371"/>
      <c r="EA204" s="371"/>
      <c r="EB204" s="371"/>
      <c r="EC204" s="371"/>
      <c r="ED204" s="371"/>
      <c r="EE204" s="371"/>
      <c r="EF204" s="371"/>
      <c r="EG204" s="371"/>
      <c r="EH204" s="371"/>
      <c r="EI204" s="371"/>
      <c r="EJ204" s="371"/>
      <c r="EK204" s="371"/>
    </row>
    <row r="205" spans="1:141" ht="16.2">
      <c r="A205" s="374" t="s">
        <v>717</v>
      </c>
      <c r="B205" s="5"/>
      <c r="C205" s="161" t="s">
        <v>63</v>
      </c>
      <c r="D205" s="374" t="s">
        <v>977</v>
      </c>
      <c r="E205" s="5"/>
      <c r="F205" s="5"/>
      <c r="G205" s="5"/>
      <c r="H205" s="5" t="s">
        <v>978</v>
      </c>
      <c r="I205" s="5"/>
      <c r="J205" s="5"/>
      <c r="K205" s="5"/>
      <c r="L205" s="716">
        <v>4480</v>
      </c>
      <c r="M205" s="716"/>
      <c r="N205" s="5" t="s">
        <v>250</v>
      </c>
      <c r="O205" s="5"/>
      <c r="P205" s="5"/>
      <c r="Q205" s="5"/>
      <c r="R205" s="5"/>
      <c r="S205" s="5"/>
      <c r="T205" s="374"/>
      <c r="U205" s="5"/>
      <c r="V205" s="161"/>
      <c r="W205" s="374"/>
      <c r="X205" s="5"/>
      <c r="Y205" s="5"/>
      <c r="Z205" s="5"/>
      <c r="AA205" s="5"/>
      <c r="AB205" s="5"/>
      <c r="AC205" s="5"/>
      <c r="AD205" s="5"/>
      <c r="AE205" s="5"/>
      <c r="AF205" s="5"/>
      <c r="AG205" s="5"/>
      <c r="AH205" s="5"/>
      <c r="AI205" s="5"/>
      <c r="AJ205" s="5"/>
      <c r="AK205" s="5"/>
      <c r="AL205" s="5"/>
      <c r="AM205" s="374" t="s">
        <v>717</v>
      </c>
      <c r="AN205" s="5"/>
      <c r="AO205" s="161" t="s">
        <v>63</v>
      </c>
      <c r="AP205" s="374" t="s">
        <v>977</v>
      </c>
      <c r="AQ205" s="5"/>
      <c r="AR205" s="5"/>
      <c r="AS205" s="5"/>
      <c r="AT205" s="5" t="s">
        <v>978</v>
      </c>
      <c r="AU205" s="5"/>
      <c r="AV205" s="5"/>
      <c r="AW205" s="5"/>
      <c r="AX205" s="716">
        <v>3840</v>
      </c>
      <c r="AY205" s="716"/>
      <c r="AZ205" s="5" t="s">
        <v>250</v>
      </c>
      <c r="BA205" s="5"/>
      <c r="BB205" s="5"/>
      <c r="BC205" s="5"/>
      <c r="BD205" s="5"/>
      <c r="BE205" s="373"/>
      <c r="BF205" s="374" t="s">
        <v>717</v>
      </c>
      <c r="BG205" s="5"/>
      <c r="BH205" s="161" t="s">
        <v>63</v>
      </c>
      <c r="BI205" s="374" t="s">
        <v>977</v>
      </c>
      <c r="BJ205" s="5"/>
      <c r="BK205" s="5"/>
      <c r="BL205" s="5"/>
      <c r="BM205" s="5" t="s">
        <v>978</v>
      </c>
      <c r="BN205" s="5"/>
      <c r="BO205" s="5"/>
      <c r="BP205" s="5"/>
      <c r="BQ205" s="716">
        <v>4060</v>
      </c>
      <c r="BR205" s="716"/>
      <c r="BS205" s="5" t="s">
        <v>250</v>
      </c>
      <c r="BT205" s="5"/>
      <c r="BU205" s="5"/>
      <c r="BV205" s="5"/>
      <c r="BW205" s="5"/>
      <c r="BX205" s="373"/>
      <c r="BY205" s="5"/>
      <c r="BZ205" s="5"/>
      <c r="CA205" s="5"/>
      <c r="CB205" s="5"/>
      <c r="CC205" s="5"/>
      <c r="CD205" s="374"/>
      <c r="CE205" s="5"/>
      <c r="CF205" s="161"/>
      <c r="CG205" s="374"/>
      <c r="CH205" s="5"/>
      <c r="CI205" s="5"/>
      <c r="CJ205" s="5"/>
      <c r="CK205" s="5"/>
      <c r="CL205" s="5"/>
      <c r="CM205" s="5"/>
      <c r="CN205" s="5"/>
      <c r="CO205" s="5"/>
      <c r="CP205" s="5"/>
      <c r="CQ205" s="5"/>
      <c r="CR205" s="5"/>
      <c r="CS205" s="5"/>
      <c r="CT205" s="5"/>
      <c r="CU205" s="5"/>
      <c r="CV205" s="5"/>
      <c r="CW205" s="372"/>
      <c r="CX205" s="374"/>
      <c r="CY205" s="5"/>
      <c r="CZ205" s="161"/>
      <c r="DA205" s="374"/>
      <c r="DB205" s="5"/>
      <c r="DC205" s="5"/>
      <c r="DD205" s="5"/>
      <c r="DE205" s="5"/>
      <c r="DF205" s="5"/>
      <c r="DG205" s="5"/>
      <c r="DH205" s="5"/>
      <c r="DI205" s="5"/>
      <c r="DJ205" s="5"/>
      <c r="DK205" s="5"/>
      <c r="DL205" s="5"/>
      <c r="DM205" s="5"/>
      <c r="DN205" s="5"/>
      <c r="DO205" s="5"/>
      <c r="DP205" s="5"/>
      <c r="DR205" s="372"/>
      <c r="DS205" s="374"/>
      <c r="DT205" s="5"/>
      <c r="DU205" s="161"/>
      <c r="DV205" s="374"/>
      <c r="DW205" s="5"/>
      <c r="DX205" s="5"/>
      <c r="DY205" s="5"/>
      <c r="DZ205" s="5"/>
      <c r="EA205" s="5"/>
      <c r="EB205" s="5"/>
      <c r="EC205" s="5"/>
      <c r="ED205" s="716"/>
      <c r="EE205" s="716"/>
      <c r="EF205" s="5"/>
      <c r="EG205" s="5"/>
      <c r="EH205" s="5"/>
      <c r="EI205" s="5"/>
      <c r="EJ205" s="5"/>
      <c r="EK205" s="5"/>
    </row>
    <row r="206" spans="1:141">
      <c r="A206" s="5"/>
      <c r="B206" s="5"/>
      <c r="C206" s="161" t="s">
        <v>63</v>
      </c>
      <c r="D206" s="931">
        <f>0.72*(L205^0.78)</f>
        <v>507.37533065027958</v>
      </c>
      <c r="E206" s="931"/>
      <c r="F206" s="5" t="s">
        <v>361</v>
      </c>
      <c r="G206" s="5"/>
      <c r="H206" s="5"/>
      <c r="I206" s="5"/>
      <c r="J206" s="5"/>
      <c r="K206" s="5"/>
      <c r="L206" s="5"/>
      <c r="M206" s="5"/>
      <c r="N206" s="5"/>
      <c r="O206" s="5"/>
      <c r="P206" s="5"/>
      <c r="Q206" s="5"/>
      <c r="R206" s="5"/>
      <c r="S206" s="5"/>
      <c r="T206" s="374"/>
      <c r="U206" s="5"/>
      <c r="V206" s="161"/>
      <c r="W206" s="426"/>
      <c r="X206" s="426"/>
      <c r="Y206" s="5"/>
      <c r="Z206" s="5"/>
      <c r="AA206" s="5"/>
      <c r="AB206" s="5"/>
      <c r="AC206" s="5"/>
      <c r="AD206" s="5"/>
      <c r="AE206" s="5"/>
      <c r="AF206" s="5"/>
      <c r="AG206" s="5"/>
      <c r="AH206" s="5"/>
      <c r="AI206" s="5"/>
      <c r="AJ206" s="5"/>
      <c r="AK206" s="5"/>
      <c r="AL206" s="5"/>
      <c r="AM206" s="5"/>
      <c r="AN206" s="5"/>
      <c r="AO206" s="161" t="s">
        <v>63</v>
      </c>
      <c r="AP206" s="931">
        <f>0.72*(AX205^0.78)</f>
        <v>449.89467354603596</v>
      </c>
      <c r="AQ206" s="931"/>
      <c r="AR206" s="5" t="s">
        <v>361</v>
      </c>
      <c r="AS206" s="5"/>
      <c r="AT206" s="5"/>
      <c r="AU206" s="5"/>
      <c r="AV206" s="5"/>
      <c r="AW206" s="5"/>
      <c r="AX206" s="5"/>
      <c r="AY206" s="5"/>
      <c r="AZ206" s="5"/>
      <c r="BA206" s="5"/>
      <c r="BB206" s="5"/>
      <c r="BC206" s="5"/>
      <c r="BD206" s="5"/>
      <c r="BE206" s="373"/>
      <c r="BF206" s="5"/>
      <c r="BG206" s="5"/>
      <c r="BH206" s="161" t="s">
        <v>63</v>
      </c>
      <c r="BI206" s="931">
        <f>0.72*(BQ205^0.78)</f>
        <v>469.87550190586188</v>
      </c>
      <c r="BJ206" s="931"/>
      <c r="BK206" s="5" t="s">
        <v>361</v>
      </c>
      <c r="BL206" s="5"/>
      <c r="BM206" s="5"/>
      <c r="BN206" s="5"/>
      <c r="BO206" s="5"/>
      <c r="BP206" s="5"/>
      <c r="BQ206" s="5"/>
      <c r="BR206" s="5"/>
      <c r="BS206" s="5"/>
      <c r="BT206" s="5"/>
      <c r="BU206" s="5"/>
      <c r="BV206" s="5"/>
      <c r="BW206" s="5"/>
      <c r="BX206" s="373"/>
      <c r="BY206" s="5"/>
      <c r="BZ206" s="5"/>
      <c r="CA206" s="5"/>
      <c r="CB206" s="5"/>
      <c r="CC206" s="5"/>
      <c r="CD206" s="5"/>
      <c r="CE206" s="5"/>
      <c r="CF206" s="161"/>
      <c r="CG206" s="377"/>
      <c r="CH206" s="377"/>
      <c r="CI206" s="5"/>
      <c r="CJ206" s="5"/>
      <c r="CK206" s="5"/>
      <c r="CL206" s="5"/>
      <c r="CM206" s="5"/>
      <c r="CN206" s="5"/>
      <c r="CO206" s="5"/>
      <c r="CP206" s="5"/>
      <c r="CQ206" s="5"/>
      <c r="CR206" s="5"/>
      <c r="CS206" s="5"/>
      <c r="CT206" s="5"/>
      <c r="CU206" s="5"/>
      <c r="CV206" s="5"/>
      <c r="CW206" s="372"/>
      <c r="CX206" s="5"/>
      <c r="CY206" s="5"/>
      <c r="CZ206" s="161"/>
      <c r="DA206" s="377"/>
      <c r="DB206" s="377"/>
      <c r="DC206" s="5"/>
      <c r="DD206" s="5"/>
      <c r="DE206" s="5"/>
      <c r="DF206" s="5"/>
      <c r="DG206" s="5"/>
      <c r="DH206" s="5"/>
      <c r="DI206" s="5"/>
      <c r="DJ206" s="5"/>
      <c r="DK206" s="5"/>
      <c r="DL206" s="5"/>
      <c r="DM206" s="5"/>
      <c r="DN206" s="5"/>
      <c r="DO206" s="5"/>
      <c r="DP206" s="5"/>
      <c r="DR206" s="372"/>
      <c r="DS206" s="5"/>
      <c r="DT206" s="5"/>
      <c r="DU206" s="161"/>
      <c r="DV206" s="910"/>
      <c r="DW206" s="910"/>
      <c r="DX206" s="5"/>
      <c r="DY206" s="5"/>
      <c r="DZ206" s="5"/>
      <c r="EA206" s="5"/>
      <c r="EB206" s="5"/>
      <c r="EC206" s="5"/>
      <c r="ED206" s="5"/>
      <c r="EE206" s="5"/>
      <c r="EF206" s="5"/>
      <c r="EG206" s="5"/>
      <c r="EH206" s="5"/>
      <c r="EI206" s="5"/>
      <c r="EJ206" s="5"/>
      <c r="EK206" s="5"/>
    </row>
    <row r="207" spans="1:141" ht="15" customHeight="1">
      <c r="A207" s="371" t="s">
        <v>979</v>
      </c>
      <c r="B207" s="371"/>
      <c r="C207" s="371"/>
      <c r="D207" s="371"/>
      <c r="E207" s="371"/>
      <c r="F207" s="371"/>
      <c r="G207" s="371"/>
      <c r="H207" s="371"/>
      <c r="I207" s="371"/>
      <c r="J207" s="371"/>
      <c r="K207" s="371"/>
      <c r="L207" s="371"/>
      <c r="M207" s="371"/>
      <c r="N207" s="371"/>
      <c r="O207" s="371"/>
      <c r="P207" s="371"/>
      <c r="Q207" s="371"/>
      <c r="R207" s="371"/>
      <c r="S207" s="371"/>
      <c r="T207" s="434"/>
      <c r="U207" s="371"/>
      <c r="V207" s="371"/>
      <c r="W207" s="371"/>
      <c r="X207" s="371"/>
      <c r="Y207" s="371"/>
      <c r="Z207" s="371"/>
      <c r="AA207" s="371"/>
      <c r="AB207" s="371"/>
      <c r="AC207" s="371"/>
      <c r="AD207" s="371"/>
      <c r="AE207" s="371"/>
      <c r="AF207" s="371"/>
      <c r="AG207" s="371"/>
      <c r="AH207" s="371"/>
      <c r="AI207" s="371"/>
      <c r="AJ207" s="371"/>
      <c r="AK207" s="371"/>
      <c r="AL207" s="371"/>
      <c r="AM207" s="371" t="s">
        <v>979</v>
      </c>
      <c r="AN207" s="371"/>
      <c r="AO207" s="371"/>
      <c r="AP207" s="371"/>
      <c r="AQ207" s="371"/>
      <c r="AR207" s="371"/>
      <c r="AS207" s="371"/>
      <c r="AT207" s="371"/>
      <c r="AU207" s="371"/>
      <c r="AV207" s="371"/>
      <c r="AW207" s="371"/>
      <c r="AX207" s="371"/>
      <c r="AY207" s="371"/>
      <c r="AZ207" s="371"/>
      <c r="BA207" s="371"/>
      <c r="BB207" s="371"/>
      <c r="BC207" s="371"/>
      <c r="BD207" s="371"/>
      <c r="BE207" s="399"/>
      <c r="BF207" s="371" t="s">
        <v>979</v>
      </c>
      <c r="BG207" s="371"/>
      <c r="BH207" s="371"/>
      <c r="BI207" s="371"/>
      <c r="BJ207" s="371"/>
      <c r="BK207" s="371"/>
      <c r="BL207" s="371"/>
      <c r="BM207" s="371"/>
      <c r="BN207" s="371"/>
      <c r="BO207" s="371"/>
      <c r="BP207" s="371"/>
      <c r="BQ207" s="371"/>
      <c r="BR207" s="371"/>
      <c r="BS207" s="371"/>
      <c r="BT207" s="371"/>
      <c r="BU207" s="371"/>
      <c r="BV207" s="371"/>
      <c r="BW207" s="371"/>
      <c r="BX207" s="399"/>
      <c r="BY207" s="371"/>
      <c r="BZ207" s="371"/>
      <c r="CA207" s="371"/>
      <c r="CB207" s="371"/>
      <c r="CC207" s="371"/>
      <c r="CD207" s="371"/>
      <c r="CE207" s="371"/>
      <c r="CF207" s="371"/>
      <c r="CG207" s="371"/>
      <c r="CH207" s="371"/>
      <c r="CI207" s="371"/>
      <c r="CJ207" s="371"/>
      <c r="CK207" s="371"/>
      <c r="CL207" s="371"/>
      <c r="CM207" s="371"/>
      <c r="CN207" s="371"/>
      <c r="CO207" s="371"/>
      <c r="CP207" s="371"/>
      <c r="CQ207" s="371"/>
      <c r="CR207" s="371"/>
      <c r="CS207" s="371"/>
      <c r="CT207" s="371"/>
      <c r="CU207" s="371"/>
      <c r="CV207" s="371"/>
      <c r="CW207" s="372"/>
      <c r="CX207" s="371"/>
      <c r="CY207" s="371"/>
      <c r="CZ207" s="371"/>
      <c r="DA207" s="371"/>
      <c r="DB207" s="371"/>
      <c r="DC207" s="371"/>
      <c r="DD207" s="371"/>
      <c r="DE207" s="371"/>
      <c r="DF207" s="371"/>
      <c r="DG207" s="371"/>
      <c r="DH207" s="371"/>
      <c r="DI207" s="371"/>
      <c r="DJ207" s="371"/>
      <c r="DK207" s="371"/>
      <c r="DL207" s="371"/>
      <c r="DM207" s="371"/>
      <c r="DN207" s="371"/>
      <c r="DO207" s="371"/>
      <c r="DP207" s="371"/>
      <c r="DR207" s="372"/>
      <c r="DS207" s="371"/>
      <c r="DT207" s="371"/>
      <c r="DU207" s="371"/>
      <c r="DV207" s="371"/>
      <c r="DW207" s="371"/>
      <c r="DX207" s="371"/>
      <c r="DY207" s="371"/>
      <c r="DZ207" s="371"/>
      <c r="EA207" s="371"/>
      <c r="EB207" s="371"/>
      <c r="EC207" s="371"/>
      <c r="ED207" s="371"/>
      <c r="EE207" s="371"/>
      <c r="EF207" s="371"/>
      <c r="EG207" s="371"/>
      <c r="EH207" s="371"/>
      <c r="EI207" s="371"/>
      <c r="EJ207" s="371"/>
      <c r="EK207" s="371"/>
    </row>
    <row r="208" spans="1:141" ht="15" customHeight="1">
      <c r="A208" s="936" t="s">
        <v>980</v>
      </c>
      <c r="B208" s="936"/>
      <c r="C208" s="936"/>
      <c r="D208" s="936"/>
      <c r="E208" s="936"/>
      <c r="F208" s="936"/>
      <c r="G208" s="936"/>
      <c r="H208" s="936"/>
      <c r="I208" s="936"/>
      <c r="J208" s="936"/>
      <c r="K208" s="936"/>
      <c r="L208" s="936"/>
      <c r="M208" s="936"/>
      <c r="N208" s="936"/>
      <c r="O208" s="936"/>
      <c r="P208" s="936"/>
      <c r="Q208" s="936"/>
      <c r="R208" s="936"/>
      <c r="S208" s="936"/>
      <c r="T208" s="401"/>
      <c r="U208" s="402"/>
      <c r="V208" s="402"/>
      <c r="W208" s="402"/>
      <c r="X208" s="402"/>
      <c r="Y208" s="402"/>
      <c r="Z208" s="402"/>
      <c r="AA208" s="402"/>
      <c r="AB208" s="402"/>
      <c r="AC208" s="402"/>
      <c r="AD208" s="402"/>
      <c r="AE208" s="402"/>
      <c r="AF208" s="402"/>
      <c r="AG208" s="402"/>
      <c r="AH208" s="402"/>
      <c r="AI208" s="402"/>
      <c r="AJ208" s="402"/>
      <c r="AK208" s="402"/>
      <c r="AL208" s="402"/>
      <c r="AM208" s="936" t="s">
        <v>980</v>
      </c>
      <c r="AN208" s="936"/>
      <c r="AO208" s="936"/>
      <c r="AP208" s="936"/>
      <c r="AQ208" s="936"/>
      <c r="AR208" s="936"/>
      <c r="AS208" s="936"/>
      <c r="AT208" s="936"/>
      <c r="AU208" s="936"/>
      <c r="AV208" s="936"/>
      <c r="AW208" s="936"/>
      <c r="AX208" s="936"/>
      <c r="AY208" s="936"/>
      <c r="AZ208" s="936"/>
      <c r="BA208" s="936"/>
      <c r="BB208" s="936"/>
      <c r="BC208" s="936"/>
      <c r="BD208" s="936"/>
      <c r="BE208" s="936"/>
      <c r="BF208" s="936" t="s">
        <v>980</v>
      </c>
      <c r="BG208" s="936"/>
      <c r="BH208" s="936"/>
      <c r="BI208" s="936"/>
      <c r="BJ208" s="936"/>
      <c r="BK208" s="936"/>
      <c r="BL208" s="936"/>
      <c r="BM208" s="936"/>
      <c r="BN208" s="936"/>
      <c r="BO208" s="936"/>
      <c r="BP208" s="936"/>
      <c r="BQ208" s="936"/>
      <c r="BR208" s="936"/>
      <c r="BS208" s="936"/>
      <c r="BT208" s="936"/>
      <c r="BU208" s="936"/>
      <c r="BV208" s="936"/>
      <c r="BW208" s="936"/>
      <c r="BX208" s="936"/>
      <c r="BY208" s="401"/>
      <c r="BZ208" s="401"/>
      <c r="CA208" s="401"/>
      <c r="CB208" s="401"/>
      <c r="CC208" s="401"/>
      <c r="CD208" s="402"/>
      <c r="CE208" s="402"/>
      <c r="CF208" s="402"/>
      <c r="CG208" s="402"/>
      <c r="CH208" s="402"/>
      <c r="CI208" s="402"/>
      <c r="CJ208" s="402"/>
      <c r="CK208" s="402"/>
      <c r="CL208" s="402"/>
      <c r="CM208" s="402"/>
      <c r="CN208" s="402"/>
      <c r="CO208" s="402"/>
      <c r="CP208" s="402"/>
      <c r="CQ208" s="402"/>
      <c r="CR208" s="402"/>
      <c r="CS208" s="402"/>
      <c r="CT208" s="402"/>
      <c r="CU208" s="402"/>
      <c r="CV208" s="402"/>
      <c r="CW208" s="372"/>
      <c r="CX208" s="402"/>
      <c r="CY208" s="402"/>
      <c r="CZ208" s="402"/>
      <c r="DA208" s="402"/>
      <c r="DB208" s="402"/>
      <c r="DC208" s="402"/>
      <c r="DD208" s="402"/>
      <c r="DE208" s="402"/>
      <c r="DF208" s="402"/>
      <c r="DG208" s="402"/>
      <c r="DH208" s="402"/>
      <c r="DI208" s="402"/>
      <c r="DJ208" s="402"/>
      <c r="DK208" s="402"/>
      <c r="DL208" s="402"/>
      <c r="DM208" s="402"/>
      <c r="DN208" s="402"/>
      <c r="DO208" s="402"/>
      <c r="DP208" s="402"/>
      <c r="DR208" s="372"/>
      <c r="DS208" s="936"/>
      <c r="DT208" s="936"/>
      <c r="DU208" s="936"/>
      <c r="DV208" s="936"/>
      <c r="DW208" s="936"/>
      <c r="DX208" s="936"/>
      <c r="DY208" s="936"/>
      <c r="DZ208" s="936"/>
      <c r="EA208" s="936"/>
      <c r="EB208" s="936"/>
      <c r="EC208" s="936"/>
      <c r="ED208" s="936"/>
      <c r="EE208" s="936"/>
      <c r="EF208" s="936"/>
      <c r="EG208" s="936"/>
      <c r="EH208" s="936"/>
      <c r="EI208" s="936"/>
      <c r="EJ208" s="936"/>
      <c r="EK208" s="936"/>
    </row>
    <row r="209" spans="1:141">
      <c r="A209" s="936"/>
      <c r="B209" s="936"/>
      <c r="C209" s="936"/>
      <c r="D209" s="936"/>
      <c r="E209" s="936"/>
      <c r="F209" s="936"/>
      <c r="G209" s="936"/>
      <c r="H209" s="936"/>
      <c r="I209" s="936"/>
      <c r="J209" s="936"/>
      <c r="K209" s="936"/>
      <c r="L209" s="936"/>
      <c r="M209" s="936"/>
      <c r="N209" s="936"/>
      <c r="O209" s="936"/>
      <c r="P209" s="936"/>
      <c r="Q209" s="936"/>
      <c r="R209" s="936"/>
      <c r="S209" s="936"/>
      <c r="T209" s="401"/>
      <c r="U209" s="402"/>
      <c r="V209" s="402"/>
      <c r="W209" s="402"/>
      <c r="X209" s="402"/>
      <c r="Y209" s="402"/>
      <c r="Z209" s="402"/>
      <c r="AA209" s="402"/>
      <c r="AB209" s="402"/>
      <c r="AC209" s="402"/>
      <c r="AD209" s="402"/>
      <c r="AE209" s="402"/>
      <c r="AF209" s="402"/>
      <c r="AG209" s="402"/>
      <c r="AH209" s="402"/>
      <c r="AI209" s="402"/>
      <c r="AJ209" s="402"/>
      <c r="AK209" s="402"/>
      <c r="AL209" s="402"/>
      <c r="AM209" s="936"/>
      <c r="AN209" s="936"/>
      <c r="AO209" s="936"/>
      <c r="AP209" s="936"/>
      <c r="AQ209" s="936"/>
      <c r="AR209" s="936"/>
      <c r="AS209" s="936"/>
      <c r="AT209" s="936"/>
      <c r="AU209" s="936"/>
      <c r="AV209" s="936"/>
      <c r="AW209" s="936"/>
      <c r="AX209" s="936"/>
      <c r="AY209" s="936"/>
      <c r="AZ209" s="936"/>
      <c r="BA209" s="936"/>
      <c r="BB209" s="936"/>
      <c r="BC209" s="936"/>
      <c r="BD209" s="936"/>
      <c r="BE209" s="936"/>
      <c r="BF209" s="936"/>
      <c r="BG209" s="936"/>
      <c r="BH209" s="936"/>
      <c r="BI209" s="936"/>
      <c r="BJ209" s="936"/>
      <c r="BK209" s="936"/>
      <c r="BL209" s="936"/>
      <c r="BM209" s="936"/>
      <c r="BN209" s="936"/>
      <c r="BO209" s="936"/>
      <c r="BP209" s="936"/>
      <c r="BQ209" s="936"/>
      <c r="BR209" s="936"/>
      <c r="BS209" s="936"/>
      <c r="BT209" s="936"/>
      <c r="BU209" s="936"/>
      <c r="BV209" s="936"/>
      <c r="BW209" s="936"/>
      <c r="BX209" s="936"/>
      <c r="BY209" s="401"/>
      <c r="BZ209" s="401"/>
      <c r="CA209" s="401"/>
      <c r="CB209" s="401"/>
      <c r="CC209" s="401"/>
      <c r="CD209" s="402"/>
      <c r="CE209" s="402"/>
      <c r="CF209" s="402"/>
      <c r="CG209" s="402"/>
      <c r="CH209" s="402"/>
      <c r="CI209" s="402"/>
      <c r="CJ209" s="402"/>
      <c r="CK209" s="402"/>
      <c r="CL209" s="402"/>
      <c r="CM209" s="402"/>
      <c r="CN209" s="402"/>
      <c r="CO209" s="402"/>
      <c r="CP209" s="402"/>
      <c r="CQ209" s="402"/>
      <c r="CR209" s="402"/>
      <c r="CS209" s="402"/>
      <c r="CT209" s="402"/>
      <c r="CU209" s="402"/>
      <c r="CV209" s="402"/>
      <c r="CW209" s="372"/>
      <c r="CX209" s="402"/>
      <c r="CY209" s="402"/>
      <c r="CZ209" s="402"/>
      <c r="DA209" s="402"/>
      <c r="DB209" s="402"/>
      <c r="DC209" s="402"/>
      <c r="DD209" s="402"/>
      <c r="DE209" s="402"/>
      <c r="DF209" s="402"/>
      <c r="DG209" s="402"/>
      <c r="DH209" s="402"/>
      <c r="DI209" s="402"/>
      <c r="DJ209" s="402"/>
      <c r="DK209" s="402"/>
      <c r="DL209" s="402"/>
      <c r="DM209" s="402"/>
      <c r="DN209" s="402"/>
      <c r="DO209" s="402"/>
      <c r="DP209" s="402"/>
      <c r="DR209" s="372"/>
      <c r="DS209" s="936"/>
      <c r="DT209" s="936"/>
      <c r="DU209" s="936"/>
      <c r="DV209" s="936"/>
      <c r="DW209" s="936"/>
      <c r="DX209" s="936"/>
      <c r="DY209" s="936"/>
      <c r="DZ209" s="936"/>
      <c r="EA209" s="936"/>
      <c r="EB209" s="936"/>
      <c r="EC209" s="936"/>
      <c r="ED209" s="936"/>
      <c r="EE209" s="936"/>
      <c r="EF209" s="936"/>
      <c r="EG209" s="936"/>
      <c r="EH209" s="936"/>
      <c r="EI209" s="936"/>
      <c r="EJ209" s="936"/>
      <c r="EK209" s="936"/>
    </row>
    <row r="210" spans="1:141">
      <c r="A210" s="936"/>
      <c r="B210" s="936"/>
      <c r="C210" s="936"/>
      <c r="D210" s="936"/>
      <c r="E210" s="936"/>
      <c r="F210" s="936"/>
      <c r="G210" s="936"/>
      <c r="H210" s="936"/>
      <c r="I210" s="936"/>
      <c r="J210" s="936"/>
      <c r="K210" s="936"/>
      <c r="L210" s="936"/>
      <c r="M210" s="936"/>
      <c r="N210" s="936"/>
      <c r="O210" s="936"/>
      <c r="P210" s="936"/>
      <c r="Q210" s="936"/>
      <c r="R210" s="936"/>
      <c r="S210" s="936"/>
      <c r="T210" s="401"/>
      <c r="U210" s="402"/>
      <c r="V210" s="402"/>
      <c r="W210" s="402"/>
      <c r="X210" s="402"/>
      <c r="Y210" s="402"/>
      <c r="Z210" s="402"/>
      <c r="AA210" s="402"/>
      <c r="AB210" s="402"/>
      <c r="AC210" s="402"/>
      <c r="AD210" s="402"/>
      <c r="AE210" s="402"/>
      <c r="AF210" s="402"/>
      <c r="AG210" s="402"/>
      <c r="AH210" s="402"/>
      <c r="AI210" s="402"/>
      <c r="AJ210" s="402"/>
      <c r="AK210" s="402"/>
      <c r="AL210" s="402"/>
      <c r="AM210" s="936"/>
      <c r="AN210" s="936"/>
      <c r="AO210" s="936"/>
      <c r="AP210" s="936"/>
      <c r="AQ210" s="936"/>
      <c r="AR210" s="936"/>
      <c r="AS210" s="936"/>
      <c r="AT210" s="936"/>
      <c r="AU210" s="936"/>
      <c r="AV210" s="936"/>
      <c r="AW210" s="936"/>
      <c r="AX210" s="936"/>
      <c r="AY210" s="936"/>
      <c r="AZ210" s="936"/>
      <c r="BA210" s="936"/>
      <c r="BB210" s="936"/>
      <c r="BC210" s="936"/>
      <c r="BD210" s="936"/>
      <c r="BE210" s="936"/>
      <c r="BF210" s="936"/>
      <c r="BG210" s="936"/>
      <c r="BH210" s="936"/>
      <c r="BI210" s="936"/>
      <c r="BJ210" s="936"/>
      <c r="BK210" s="936"/>
      <c r="BL210" s="936"/>
      <c r="BM210" s="936"/>
      <c r="BN210" s="936"/>
      <c r="BO210" s="936"/>
      <c r="BP210" s="936"/>
      <c r="BQ210" s="936"/>
      <c r="BR210" s="936"/>
      <c r="BS210" s="936"/>
      <c r="BT210" s="936"/>
      <c r="BU210" s="936"/>
      <c r="BV210" s="936"/>
      <c r="BW210" s="936"/>
      <c r="BX210" s="936"/>
      <c r="BY210" s="401"/>
      <c r="BZ210" s="401"/>
      <c r="CA210" s="401"/>
      <c r="CB210" s="401"/>
      <c r="CC210" s="401"/>
      <c r="CD210" s="402"/>
      <c r="CE210" s="402"/>
      <c r="CF210" s="402"/>
      <c r="CG210" s="402"/>
      <c r="CH210" s="402"/>
      <c r="CI210" s="402"/>
      <c r="CJ210" s="402"/>
      <c r="CK210" s="402"/>
      <c r="CL210" s="402"/>
      <c r="CM210" s="402"/>
      <c r="CN210" s="402"/>
      <c r="CO210" s="402"/>
      <c r="CP210" s="402"/>
      <c r="CQ210" s="402"/>
      <c r="CR210" s="402"/>
      <c r="CS210" s="402"/>
      <c r="CT210" s="402"/>
      <c r="CU210" s="402"/>
      <c r="CV210" s="402"/>
      <c r="CW210" s="372"/>
      <c r="CX210" s="402"/>
      <c r="CY210" s="402"/>
      <c r="CZ210" s="402"/>
      <c r="DA210" s="402"/>
      <c r="DB210" s="402"/>
      <c r="DC210" s="402"/>
      <c r="DD210" s="402"/>
      <c r="DE210" s="402"/>
      <c r="DF210" s="402"/>
      <c r="DG210" s="402"/>
      <c r="DH210" s="402"/>
      <c r="DI210" s="402"/>
      <c r="DJ210" s="402"/>
      <c r="DK210" s="402"/>
      <c r="DL210" s="402"/>
      <c r="DM210" s="402"/>
      <c r="DN210" s="402"/>
      <c r="DO210" s="402"/>
      <c r="DP210" s="402"/>
      <c r="DR210" s="372"/>
      <c r="DS210" s="936"/>
      <c r="DT210" s="936"/>
      <c r="DU210" s="936"/>
      <c r="DV210" s="936"/>
      <c r="DW210" s="936"/>
      <c r="DX210" s="936"/>
      <c r="DY210" s="936"/>
      <c r="DZ210" s="936"/>
      <c r="EA210" s="936"/>
      <c r="EB210" s="936"/>
      <c r="EC210" s="936"/>
      <c r="ED210" s="936"/>
      <c r="EE210" s="936"/>
      <c r="EF210" s="936"/>
      <c r="EG210" s="936"/>
      <c r="EH210" s="936"/>
      <c r="EI210" s="936"/>
      <c r="EJ210" s="936"/>
      <c r="EK210" s="936"/>
    </row>
    <row r="211" spans="1:141">
      <c r="A211" s="936"/>
      <c r="B211" s="936"/>
      <c r="C211" s="936"/>
      <c r="D211" s="936"/>
      <c r="E211" s="936"/>
      <c r="F211" s="936"/>
      <c r="G211" s="936"/>
      <c r="H211" s="936"/>
      <c r="I211" s="936"/>
      <c r="J211" s="936"/>
      <c r="K211" s="936"/>
      <c r="L211" s="936"/>
      <c r="M211" s="936"/>
      <c r="N211" s="936"/>
      <c r="O211" s="936"/>
      <c r="P211" s="936"/>
      <c r="Q211" s="936"/>
      <c r="R211" s="936"/>
      <c r="S211" s="936"/>
      <c r="T211" s="401"/>
      <c r="U211" s="402"/>
      <c r="V211" s="402"/>
      <c r="W211" s="402"/>
      <c r="X211" s="402"/>
      <c r="Y211" s="402"/>
      <c r="Z211" s="402"/>
      <c r="AA211" s="402"/>
      <c r="AB211" s="402"/>
      <c r="AC211" s="402"/>
      <c r="AD211" s="402"/>
      <c r="AE211" s="402"/>
      <c r="AF211" s="402"/>
      <c r="AG211" s="402"/>
      <c r="AH211" s="402"/>
      <c r="AI211" s="402"/>
      <c r="AJ211" s="402"/>
      <c r="AK211" s="402"/>
      <c r="AL211" s="402"/>
      <c r="AM211" s="936"/>
      <c r="AN211" s="936"/>
      <c r="AO211" s="936"/>
      <c r="AP211" s="936"/>
      <c r="AQ211" s="936"/>
      <c r="AR211" s="936"/>
      <c r="AS211" s="936"/>
      <c r="AT211" s="936"/>
      <c r="AU211" s="936"/>
      <c r="AV211" s="936"/>
      <c r="AW211" s="936"/>
      <c r="AX211" s="936"/>
      <c r="AY211" s="936"/>
      <c r="AZ211" s="936"/>
      <c r="BA211" s="936"/>
      <c r="BB211" s="936"/>
      <c r="BC211" s="936"/>
      <c r="BD211" s="936"/>
      <c r="BE211" s="936"/>
      <c r="BF211" s="936"/>
      <c r="BG211" s="936"/>
      <c r="BH211" s="936"/>
      <c r="BI211" s="936"/>
      <c r="BJ211" s="936"/>
      <c r="BK211" s="936"/>
      <c r="BL211" s="936"/>
      <c r="BM211" s="936"/>
      <c r="BN211" s="936"/>
      <c r="BO211" s="936"/>
      <c r="BP211" s="936"/>
      <c r="BQ211" s="936"/>
      <c r="BR211" s="936"/>
      <c r="BS211" s="936"/>
      <c r="BT211" s="936"/>
      <c r="BU211" s="936"/>
      <c r="BV211" s="936"/>
      <c r="BW211" s="936"/>
      <c r="BX211" s="936"/>
      <c r="BY211" s="401"/>
      <c r="BZ211" s="401"/>
      <c r="CA211" s="401"/>
      <c r="CB211" s="401"/>
      <c r="CC211" s="401"/>
      <c r="CD211" s="402"/>
      <c r="CE211" s="402"/>
      <c r="CF211" s="402"/>
      <c r="CG211" s="402"/>
      <c r="CH211" s="402"/>
      <c r="CI211" s="402"/>
      <c r="CJ211" s="402"/>
      <c r="CK211" s="402"/>
      <c r="CL211" s="402"/>
      <c r="CM211" s="402"/>
      <c r="CN211" s="402"/>
      <c r="CO211" s="402"/>
      <c r="CP211" s="402"/>
      <c r="CQ211" s="402"/>
      <c r="CR211" s="402"/>
      <c r="CS211" s="402"/>
      <c r="CT211" s="402"/>
      <c r="CU211" s="402"/>
      <c r="CV211" s="402"/>
      <c r="CW211" s="372"/>
      <c r="CX211" s="402"/>
      <c r="CY211" s="402"/>
      <c r="CZ211" s="402"/>
      <c r="DA211" s="402"/>
      <c r="DB211" s="402"/>
      <c r="DC211" s="402"/>
      <c r="DD211" s="402"/>
      <c r="DE211" s="402"/>
      <c r="DF211" s="402"/>
      <c r="DG211" s="402"/>
      <c r="DH211" s="402"/>
      <c r="DI211" s="402"/>
      <c r="DJ211" s="402"/>
      <c r="DK211" s="402"/>
      <c r="DL211" s="402"/>
      <c r="DM211" s="402"/>
      <c r="DN211" s="402"/>
      <c r="DO211" s="402"/>
      <c r="DP211" s="402"/>
      <c r="DR211" s="372"/>
      <c r="DS211" s="936"/>
      <c r="DT211" s="936"/>
      <c r="DU211" s="936"/>
      <c r="DV211" s="936"/>
      <c r="DW211" s="936"/>
      <c r="DX211" s="936"/>
      <c r="DY211" s="936"/>
      <c r="DZ211" s="936"/>
      <c r="EA211" s="936"/>
      <c r="EB211" s="936"/>
      <c r="EC211" s="936"/>
      <c r="ED211" s="936"/>
      <c r="EE211" s="936"/>
      <c r="EF211" s="936"/>
      <c r="EG211" s="936"/>
      <c r="EH211" s="936"/>
      <c r="EI211" s="936"/>
      <c r="EJ211" s="936"/>
      <c r="EK211" s="936"/>
    </row>
    <row r="212" spans="1:141">
      <c r="A212" s="398" t="s">
        <v>981</v>
      </c>
      <c r="B212" s="5"/>
      <c r="C212" s="161" t="s">
        <v>63</v>
      </c>
      <c r="D212" s="403" t="s">
        <v>982</v>
      </c>
      <c r="E212" s="5"/>
      <c r="F212" s="5"/>
      <c r="G212" s="5"/>
      <c r="H212" s="5"/>
      <c r="I212" s="5"/>
      <c r="J212" s="5"/>
      <c r="K212" s="5"/>
      <c r="L212" s="5"/>
      <c r="M212" s="5"/>
      <c r="N212" s="5"/>
      <c r="O212" s="5"/>
      <c r="P212" s="5"/>
      <c r="Q212" s="5"/>
      <c r="R212" s="5"/>
      <c r="S212" s="5"/>
      <c r="T212" s="398"/>
      <c r="U212" s="5"/>
      <c r="V212" s="161"/>
      <c r="W212" s="403"/>
      <c r="X212" s="5"/>
      <c r="Y212" s="5"/>
      <c r="Z212" s="5"/>
      <c r="AA212" s="5"/>
      <c r="AB212" s="5"/>
      <c r="AC212" s="5"/>
      <c r="AD212" s="5"/>
      <c r="AE212" s="5"/>
      <c r="AF212" s="5"/>
      <c r="AG212" s="5"/>
      <c r="AH212" s="5"/>
      <c r="AI212" s="5"/>
      <c r="AJ212" s="5"/>
      <c r="AK212" s="5"/>
      <c r="AL212" s="5"/>
      <c r="AM212" s="398" t="s">
        <v>981</v>
      </c>
      <c r="AN212" s="5"/>
      <c r="AO212" s="161" t="s">
        <v>63</v>
      </c>
      <c r="AP212" s="403" t="s">
        <v>982</v>
      </c>
      <c r="AQ212" s="5"/>
      <c r="AR212" s="5"/>
      <c r="AS212" s="5"/>
      <c r="AT212" s="5"/>
      <c r="AU212" s="5"/>
      <c r="AV212" s="5"/>
      <c r="AW212" s="5"/>
      <c r="AX212" s="5"/>
      <c r="AY212" s="5"/>
      <c r="AZ212" s="5"/>
      <c r="BA212" s="5"/>
      <c r="BB212" s="5"/>
      <c r="BC212" s="5"/>
      <c r="BD212" s="5"/>
      <c r="BE212" s="373"/>
      <c r="BF212" s="398" t="s">
        <v>981</v>
      </c>
      <c r="BG212" s="5"/>
      <c r="BH212" s="161" t="s">
        <v>63</v>
      </c>
      <c r="BI212" s="403" t="s">
        <v>982</v>
      </c>
      <c r="BJ212" s="5"/>
      <c r="BK212" s="5"/>
      <c r="BL212" s="5"/>
      <c r="BM212" s="5"/>
      <c r="BN212" s="5"/>
      <c r="BO212" s="5"/>
      <c r="BP212" s="5"/>
      <c r="BQ212" s="5"/>
      <c r="BR212" s="5"/>
      <c r="BS212" s="5"/>
      <c r="BT212" s="5"/>
      <c r="BU212" s="5"/>
      <c r="BV212" s="5"/>
      <c r="BW212" s="5"/>
      <c r="BX212" s="373"/>
      <c r="BY212" s="5"/>
      <c r="BZ212" s="5"/>
      <c r="CA212" s="5"/>
      <c r="CB212" s="5"/>
      <c r="CC212" s="5"/>
      <c r="CD212" s="398"/>
      <c r="CE212" s="5"/>
      <c r="CF212" s="161"/>
      <c r="CG212" s="403"/>
      <c r="CH212" s="5"/>
      <c r="CI212" s="5"/>
      <c r="CJ212" s="5"/>
      <c r="CK212" s="5"/>
      <c r="CL212" s="5"/>
      <c r="CM212" s="5"/>
      <c r="CN212" s="5"/>
      <c r="CO212" s="5"/>
      <c r="CP212" s="5"/>
      <c r="CQ212" s="5"/>
      <c r="CR212" s="5"/>
      <c r="CS212" s="5"/>
      <c r="CT212" s="5"/>
      <c r="CU212" s="5"/>
      <c r="CV212" s="5"/>
      <c r="CW212" s="372"/>
      <c r="CX212" s="398"/>
      <c r="CY212" s="5"/>
      <c r="CZ212" s="161"/>
      <c r="DA212" s="403"/>
      <c r="DB212" s="5"/>
      <c r="DC212" s="5"/>
      <c r="DD212" s="5"/>
      <c r="DE212" s="5"/>
      <c r="DF212" s="5"/>
      <c r="DG212" s="5"/>
      <c r="DH212" s="5"/>
      <c r="DI212" s="5"/>
      <c r="DJ212" s="5"/>
      <c r="DK212" s="5"/>
      <c r="DL212" s="5"/>
      <c r="DM212" s="5"/>
      <c r="DN212" s="5"/>
      <c r="DO212" s="5"/>
      <c r="DP212" s="5"/>
      <c r="DR212" s="372"/>
      <c r="DS212" s="398"/>
      <c r="DT212" s="5"/>
      <c r="DU212" s="161"/>
      <c r="DV212" s="403"/>
      <c r="DW212" s="5"/>
      <c r="DX212" s="5"/>
      <c r="DY212" s="5"/>
      <c r="DZ212" s="5"/>
      <c r="EA212" s="5"/>
      <c r="EB212" s="5"/>
      <c r="EC212" s="5"/>
      <c r="ED212" s="5"/>
      <c r="EE212" s="5"/>
      <c r="EF212" s="5"/>
      <c r="EG212" s="5"/>
      <c r="EH212" s="5"/>
      <c r="EI212" s="5"/>
      <c r="EJ212" s="5"/>
      <c r="EK212" s="5"/>
    </row>
    <row r="213" spans="1:141">
      <c r="A213" s="5"/>
      <c r="B213" s="5"/>
      <c r="C213" s="161" t="s">
        <v>63</v>
      </c>
      <c r="D213" s="931">
        <f>4%*(C198+D202+D206)</f>
        <v>233.49320041892247</v>
      </c>
      <c r="E213" s="931"/>
      <c r="F213" s="5" t="s">
        <v>361</v>
      </c>
      <c r="G213" s="5"/>
      <c r="H213" s="5"/>
      <c r="I213" s="5"/>
      <c r="J213" s="5"/>
      <c r="K213" s="5"/>
      <c r="L213" s="5"/>
      <c r="M213" s="5"/>
      <c r="N213" s="5"/>
      <c r="O213" s="5"/>
      <c r="P213" s="5"/>
      <c r="Q213" s="5"/>
      <c r="R213" s="5"/>
      <c r="S213" s="5"/>
      <c r="T213" s="374"/>
      <c r="U213" s="5"/>
      <c r="V213" s="161"/>
      <c r="W213" s="426"/>
      <c r="X213" s="426"/>
      <c r="Y213" s="5"/>
      <c r="Z213" s="5"/>
      <c r="AA213" s="5"/>
      <c r="AB213" s="5"/>
      <c r="AC213" s="5"/>
      <c r="AD213" s="5"/>
      <c r="AE213" s="5"/>
      <c r="AF213" s="5"/>
      <c r="AG213" s="5"/>
      <c r="AH213" s="5"/>
      <c r="AI213" s="5"/>
      <c r="AJ213" s="5"/>
      <c r="AK213" s="5"/>
      <c r="AL213" s="5"/>
      <c r="AM213" s="5"/>
      <c r="AN213" s="5"/>
      <c r="AO213" s="161" t="s">
        <v>63</v>
      </c>
      <c r="AP213" s="931">
        <f>W213</f>
        <v>0</v>
      </c>
      <c r="AQ213" s="931"/>
      <c r="AR213" s="5" t="s">
        <v>361</v>
      </c>
      <c r="AS213" s="5"/>
      <c r="AT213" s="5"/>
      <c r="AU213" s="5"/>
      <c r="AV213" s="5"/>
      <c r="AW213" s="5"/>
      <c r="AX213" s="5"/>
      <c r="AY213" s="5"/>
      <c r="AZ213" s="5"/>
      <c r="BA213" s="5"/>
      <c r="BB213" s="5"/>
      <c r="BC213" s="5"/>
      <c r="BD213" s="5"/>
      <c r="BE213" s="373"/>
      <c r="BF213" s="5"/>
      <c r="BG213" s="5"/>
      <c r="BH213" s="161" t="s">
        <v>63</v>
      </c>
      <c r="BI213" s="931">
        <f>3%*(BH198+BI202+BI206)</f>
        <v>134.99221843670293</v>
      </c>
      <c r="BJ213" s="931"/>
      <c r="BK213" s="5" t="s">
        <v>361</v>
      </c>
      <c r="BL213" s="5"/>
      <c r="BM213" s="5"/>
      <c r="BN213" s="5"/>
      <c r="BO213" s="5"/>
      <c r="BP213" s="5"/>
      <c r="BQ213" s="5"/>
      <c r="BR213" s="5"/>
      <c r="BS213" s="5"/>
      <c r="BT213" s="5"/>
      <c r="BU213" s="5"/>
      <c r="BV213" s="5"/>
      <c r="BW213" s="5"/>
      <c r="BX213" s="373"/>
      <c r="BY213" s="5"/>
      <c r="BZ213" s="5"/>
      <c r="CA213" s="5"/>
      <c r="CB213" s="5"/>
      <c r="CC213" s="5"/>
      <c r="CD213" s="5"/>
      <c r="CE213" s="5"/>
      <c r="CF213" s="161"/>
      <c r="CG213" s="377"/>
      <c r="CH213" s="377"/>
      <c r="CI213" s="5"/>
      <c r="CJ213" s="5"/>
      <c r="CK213" s="5"/>
      <c r="CL213" s="5"/>
      <c r="CM213" s="5"/>
      <c r="CN213" s="5"/>
      <c r="CO213" s="5"/>
      <c r="CP213" s="5"/>
      <c r="CQ213" s="5"/>
      <c r="CR213" s="5"/>
      <c r="CS213" s="5"/>
      <c r="CT213" s="5"/>
      <c r="CU213" s="5"/>
      <c r="CV213" s="5"/>
      <c r="CW213" s="372"/>
      <c r="CX213" s="5"/>
      <c r="CY213" s="5"/>
      <c r="CZ213" s="161"/>
      <c r="DA213" s="377"/>
      <c r="DB213" s="377"/>
      <c r="DC213" s="5"/>
      <c r="DD213" s="5"/>
      <c r="DE213" s="5"/>
      <c r="DF213" s="5"/>
      <c r="DG213" s="5"/>
      <c r="DH213" s="5"/>
      <c r="DI213" s="5"/>
      <c r="DJ213" s="5"/>
      <c r="DK213" s="5"/>
      <c r="DL213" s="5"/>
      <c r="DM213" s="5"/>
      <c r="DN213" s="5"/>
      <c r="DO213" s="5"/>
      <c r="DP213" s="5"/>
      <c r="DR213" s="372"/>
      <c r="DS213" s="5"/>
      <c r="DT213" s="5"/>
      <c r="DU213" s="161"/>
      <c r="DV213" s="910"/>
      <c r="DW213" s="910"/>
      <c r="DX213" s="5"/>
      <c r="DY213" s="5"/>
      <c r="DZ213" s="5"/>
      <c r="EA213" s="5"/>
      <c r="EB213" s="5"/>
      <c r="EC213" s="5"/>
      <c r="ED213" s="5"/>
      <c r="EE213" s="5"/>
      <c r="EF213" s="5"/>
      <c r="EG213" s="5"/>
      <c r="EH213" s="5"/>
      <c r="EI213" s="5"/>
      <c r="EJ213" s="5"/>
      <c r="EK213" s="5"/>
    </row>
    <row r="214" spans="1:141">
      <c r="A214" s="5" t="s">
        <v>983</v>
      </c>
      <c r="B214" s="5"/>
      <c r="C214" s="5"/>
      <c r="D214" s="5"/>
      <c r="E214" s="5"/>
      <c r="F214" s="5"/>
      <c r="G214" s="5"/>
      <c r="H214" s="5"/>
      <c r="I214" s="5"/>
      <c r="J214" s="5"/>
      <c r="K214" s="5"/>
      <c r="L214" s="5"/>
      <c r="M214" s="5"/>
      <c r="N214" s="5"/>
      <c r="O214" s="5"/>
      <c r="P214" s="5"/>
      <c r="Q214" s="5"/>
      <c r="R214" s="5"/>
      <c r="S214" s="5"/>
      <c r="T214" s="374"/>
      <c r="U214" s="5"/>
      <c r="V214" s="5"/>
      <c r="W214" s="5"/>
      <c r="X214" s="5"/>
      <c r="Y214" s="5"/>
      <c r="Z214" s="5"/>
      <c r="AA214" s="5"/>
      <c r="AB214" s="5"/>
      <c r="AC214" s="5"/>
      <c r="AD214" s="5"/>
      <c r="AE214" s="5"/>
      <c r="AF214" s="5"/>
      <c r="AG214" s="5"/>
      <c r="AH214" s="5"/>
      <c r="AI214" s="5"/>
      <c r="AJ214" s="5"/>
      <c r="AK214" s="5"/>
      <c r="AL214" s="5"/>
      <c r="AM214" s="5" t="s">
        <v>983</v>
      </c>
      <c r="AN214" s="5"/>
      <c r="AO214" s="5"/>
      <c r="AP214" s="5"/>
      <c r="AQ214" s="5"/>
      <c r="AR214" s="5"/>
      <c r="AS214" s="5"/>
      <c r="AT214" s="5"/>
      <c r="AU214" s="5"/>
      <c r="AV214" s="5"/>
      <c r="AW214" s="5"/>
      <c r="AX214" s="5"/>
      <c r="AY214" s="5"/>
      <c r="AZ214" s="5"/>
      <c r="BA214" s="5"/>
      <c r="BB214" s="5"/>
      <c r="BC214" s="5"/>
      <c r="BD214" s="5"/>
      <c r="BE214" s="373"/>
      <c r="BF214" s="5" t="s">
        <v>983</v>
      </c>
      <c r="BG214" s="5"/>
      <c r="BH214" s="5"/>
      <c r="BI214" s="5"/>
      <c r="BJ214" s="5"/>
      <c r="BK214" s="5"/>
      <c r="BL214" s="5"/>
      <c r="BM214" s="5"/>
      <c r="BN214" s="5"/>
      <c r="BO214" s="5"/>
      <c r="BP214" s="5"/>
      <c r="BQ214" s="5"/>
      <c r="BR214" s="5"/>
      <c r="BS214" s="5"/>
      <c r="BT214" s="5"/>
      <c r="BU214" s="5"/>
      <c r="BV214" s="5"/>
      <c r="BW214" s="5"/>
      <c r="BX214" s="373"/>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372"/>
      <c r="CX214" s="5"/>
      <c r="CY214" s="5"/>
      <c r="CZ214" s="5"/>
      <c r="DA214" s="5"/>
      <c r="DB214" s="5"/>
      <c r="DC214" s="5"/>
      <c r="DD214" s="5"/>
      <c r="DE214" s="5"/>
      <c r="DF214" s="5"/>
      <c r="DG214" s="5"/>
      <c r="DH214" s="5"/>
      <c r="DI214" s="5"/>
      <c r="DJ214" s="5"/>
      <c r="DK214" s="5"/>
      <c r="DL214" s="5"/>
      <c r="DM214" s="5"/>
      <c r="DN214" s="5"/>
      <c r="DO214" s="5"/>
      <c r="DP214" s="5"/>
      <c r="DR214" s="372"/>
      <c r="DS214" s="5"/>
      <c r="DT214" s="5"/>
      <c r="DU214" s="5"/>
      <c r="DV214" s="5"/>
      <c r="DW214" s="5"/>
      <c r="DX214" s="5"/>
      <c r="DY214" s="5"/>
      <c r="DZ214" s="5"/>
      <c r="EA214" s="5"/>
      <c r="EB214" s="5"/>
      <c r="EC214" s="5"/>
      <c r="ED214" s="5"/>
      <c r="EE214" s="5"/>
      <c r="EF214" s="5"/>
      <c r="EG214" s="5"/>
      <c r="EH214" s="5"/>
      <c r="EI214" s="5"/>
      <c r="EJ214" s="5"/>
      <c r="EK214" s="5"/>
    </row>
    <row r="215" spans="1:141">
      <c r="A215" s="5" t="s">
        <v>723</v>
      </c>
      <c r="B215" s="5"/>
      <c r="C215" s="161" t="s">
        <v>63</v>
      </c>
      <c r="D215" s="403" t="s">
        <v>724</v>
      </c>
      <c r="E215" s="5"/>
      <c r="F215" s="5"/>
      <c r="G215" s="5"/>
      <c r="H215" s="5"/>
      <c r="I215" s="5"/>
      <c r="J215" s="5"/>
      <c r="K215" s="5"/>
      <c r="L215" s="5"/>
      <c r="M215" s="5"/>
      <c r="N215" s="5"/>
      <c r="O215" s="5"/>
      <c r="P215" s="5"/>
      <c r="Q215" s="5"/>
      <c r="R215" s="5"/>
      <c r="S215" s="5"/>
      <c r="T215" s="374"/>
      <c r="U215" s="5"/>
      <c r="V215" s="161"/>
      <c r="W215" s="403"/>
      <c r="X215" s="5"/>
      <c r="Y215" s="5"/>
      <c r="Z215" s="5"/>
      <c r="AA215" s="5"/>
      <c r="AB215" s="5"/>
      <c r="AC215" s="5"/>
      <c r="AD215" s="5"/>
      <c r="AE215" s="5"/>
      <c r="AF215" s="5"/>
      <c r="AG215" s="5"/>
      <c r="AH215" s="5"/>
      <c r="AI215" s="5"/>
      <c r="AJ215" s="5"/>
      <c r="AK215" s="5"/>
      <c r="AL215" s="5"/>
      <c r="AM215" s="5" t="s">
        <v>723</v>
      </c>
      <c r="AN215" s="5"/>
      <c r="AO215" s="161" t="s">
        <v>63</v>
      </c>
      <c r="AP215" s="403" t="s">
        <v>724</v>
      </c>
      <c r="AQ215" s="5"/>
      <c r="AR215" s="5"/>
      <c r="AS215" s="5"/>
      <c r="AT215" s="5"/>
      <c r="AU215" s="5"/>
      <c r="AV215" s="5"/>
      <c r="AW215" s="5"/>
      <c r="AX215" s="5"/>
      <c r="AY215" s="5"/>
      <c r="AZ215" s="5"/>
      <c r="BA215" s="5"/>
      <c r="BB215" s="5"/>
      <c r="BC215" s="5"/>
      <c r="BD215" s="5"/>
      <c r="BE215" s="373"/>
      <c r="BF215" s="5" t="s">
        <v>723</v>
      </c>
      <c r="BG215" s="5"/>
      <c r="BH215" s="161" t="s">
        <v>63</v>
      </c>
      <c r="BI215" s="403" t="s">
        <v>724</v>
      </c>
      <c r="BJ215" s="5"/>
      <c r="BK215" s="5"/>
      <c r="BL215" s="5"/>
      <c r="BM215" s="5"/>
      <c r="BN215" s="5"/>
      <c r="BO215" s="5"/>
      <c r="BP215" s="5"/>
      <c r="BQ215" s="5"/>
      <c r="BR215" s="5"/>
      <c r="BS215" s="5"/>
      <c r="BT215" s="5"/>
      <c r="BU215" s="5"/>
      <c r="BV215" s="5"/>
      <c r="BW215" s="5"/>
      <c r="BX215" s="373"/>
      <c r="BY215" s="5"/>
      <c r="BZ215" s="5"/>
      <c r="CA215" s="5"/>
      <c r="CB215" s="5"/>
      <c r="CC215" s="5"/>
      <c r="CD215" s="5"/>
      <c r="CE215" s="5"/>
      <c r="CF215" s="161"/>
      <c r="CG215" s="403"/>
      <c r="CH215" s="5"/>
      <c r="CI215" s="5"/>
      <c r="CJ215" s="5"/>
      <c r="CK215" s="5"/>
      <c r="CL215" s="5"/>
      <c r="CM215" s="5"/>
      <c r="CN215" s="5"/>
      <c r="CO215" s="5"/>
      <c r="CP215" s="5"/>
      <c r="CQ215" s="5"/>
      <c r="CR215" s="5"/>
      <c r="CS215" s="5"/>
      <c r="CT215" s="5"/>
      <c r="CU215" s="5"/>
      <c r="CV215" s="5"/>
      <c r="CW215" s="372"/>
      <c r="CX215" s="5"/>
      <c r="CY215" s="5"/>
      <c r="CZ215" s="161"/>
      <c r="DA215" s="403"/>
      <c r="DB215" s="5"/>
      <c r="DC215" s="5"/>
      <c r="DD215" s="5"/>
      <c r="DE215" s="5"/>
      <c r="DF215" s="5"/>
      <c r="DG215" s="5"/>
      <c r="DH215" s="5"/>
      <c r="DI215" s="5"/>
      <c r="DJ215" s="5"/>
      <c r="DK215" s="5"/>
      <c r="DL215" s="5"/>
      <c r="DM215" s="5"/>
      <c r="DN215" s="5"/>
      <c r="DO215" s="5"/>
      <c r="DP215" s="5"/>
      <c r="DR215" s="372"/>
      <c r="DS215" s="5"/>
      <c r="DT215" s="5"/>
      <c r="DU215" s="161"/>
      <c r="DV215" s="403"/>
      <c r="DW215" s="5"/>
      <c r="DX215" s="5"/>
      <c r="DY215" s="5"/>
      <c r="DZ215" s="5"/>
      <c r="EA215" s="5"/>
      <c r="EB215" s="5"/>
      <c r="EC215" s="5"/>
      <c r="ED215" s="5"/>
      <c r="EE215" s="5"/>
      <c r="EF215" s="5"/>
      <c r="EG215" s="5"/>
      <c r="EH215" s="5"/>
      <c r="EI215" s="5"/>
      <c r="EJ215" s="5"/>
      <c r="EK215" s="5"/>
    </row>
    <row r="216" spans="1:141">
      <c r="A216" s="5"/>
      <c r="B216" s="5"/>
      <c r="C216" s="161" t="s">
        <v>63</v>
      </c>
      <c r="D216" s="931">
        <f>C198+D202+D206+D213</f>
        <v>6070.8232108919838</v>
      </c>
      <c r="E216" s="934"/>
      <c r="F216" s="5" t="s">
        <v>361</v>
      </c>
      <c r="G216" s="5"/>
      <c r="H216" s="5"/>
      <c r="I216" s="5"/>
      <c r="J216" s="5"/>
      <c r="K216" s="5"/>
      <c r="L216" s="5"/>
      <c r="M216" s="5"/>
      <c r="N216" s="5"/>
      <c r="O216" s="5"/>
      <c r="P216" s="5"/>
      <c r="Q216" s="5"/>
      <c r="R216" s="5"/>
      <c r="S216" s="5"/>
      <c r="T216" s="374"/>
      <c r="U216" s="5"/>
      <c r="V216" s="161"/>
      <c r="W216" s="426"/>
      <c r="X216" s="389"/>
      <c r="Y216" s="5"/>
      <c r="Z216" s="5"/>
      <c r="AA216" s="5"/>
      <c r="AB216" s="5"/>
      <c r="AC216" s="5"/>
      <c r="AD216" s="5"/>
      <c r="AE216" s="5"/>
      <c r="AF216" s="5"/>
      <c r="AG216" s="5"/>
      <c r="AH216" s="5"/>
      <c r="AI216" s="5"/>
      <c r="AJ216" s="5"/>
      <c r="AK216" s="5"/>
      <c r="AL216" s="5"/>
      <c r="AM216" s="5"/>
      <c r="AN216" s="5"/>
      <c r="AO216" s="161" t="s">
        <v>63</v>
      </c>
      <c r="AP216" s="931">
        <f>AO198+AP202+AP206+AP213</f>
        <v>4479.7597861969389</v>
      </c>
      <c r="AQ216" s="934"/>
      <c r="AR216" s="5" t="s">
        <v>361</v>
      </c>
      <c r="AS216" s="5"/>
      <c r="AT216" s="5"/>
      <c r="AU216" s="5"/>
      <c r="AV216" s="5"/>
      <c r="AW216" s="5"/>
      <c r="AX216" s="5"/>
      <c r="AY216" s="5"/>
      <c r="AZ216" s="5"/>
      <c r="BA216" s="5"/>
      <c r="BB216" s="5"/>
      <c r="BC216" s="5"/>
      <c r="BD216" s="5"/>
      <c r="BE216" s="373"/>
      <c r="BF216" s="5"/>
      <c r="BG216" s="5"/>
      <c r="BH216" s="161" t="s">
        <v>63</v>
      </c>
      <c r="BI216" s="931">
        <f>BH198+BI202+BI206+BI213</f>
        <v>4634.732832993468</v>
      </c>
      <c r="BJ216" s="934"/>
      <c r="BK216" s="5" t="s">
        <v>361</v>
      </c>
      <c r="BL216" s="5"/>
      <c r="BM216" s="5"/>
      <c r="BN216" s="5"/>
      <c r="BO216" s="5"/>
      <c r="BP216" s="5"/>
      <c r="BQ216" s="5"/>
      <c r="BR216" s="5"/>
      <c r="BS216" s="5"/>
      <c r="BT216" s="5"/>
      <c r="BU216" s="5"/>
      <c r="BV216" s="5"/>
      <c r="BW216" s="5"/>
      <c r="BX216" s="373"/>
      <c r="BY216" s="5"/>
      <c r="BZ216" s="5"/>
      <c r="CA216" s="5"/>
      <c r="CB216" s="5"/>
      <c r="CC216" s="5"/>
      <c r="CD216" s="5"/>
      <c r="CE216" s="5"/>
      <c r="CF216" s="161"/>
      <c r="CG216" s="377"/>
      <c r="CH216" s="392"/>
      <c r="CI216" s="5"/>
      <c r="CJ216" s="5"/>
      <c r="CK216" s="5"/>
      <c r="CL216" s="5"/>
      <c r="CM216" s="5"/>
      <c r="CN216" s="5"/>
      <c r="CO216" s="5"/>
      <c r="CP216" s="5"/>
      <c r="CQ216" s="5"/>
      <c r="CR216" s="5"/>
      <c r="CS216" s="5"/>
      <c r="CT216" s="5"/>
      <c r="CU216" s="5"/>
      <c r="CV216" s="5"/>
      <c r="CW216" s="372"/>
      <c r="CX216" s="5"/>
      <c r="CY216" s="5"/>
      <c r="CZ216" s="161"/>
      <c r="DA216" s="377"/>
      <c r="DB216" s="392"/>
      <c r="DC216" s="5"/>
      <c r="DD216" s="5"/>
      <c r="DE216" s="5"/>
      <c r="DF216" s="5"/>
      <c r="DG216" s="5"/>
      <c r="DH216" s="5"/>
      <c r="DI216" s="5"/>
      <c r="DJ216" s="5"/>
      <c r="DK216" s="5"/>
      <c r="DL216" s="5"/>
      <c r="DM216" s="5"/>
      <c r="DN216" s="5"/>
      <c r="DO216" s="5"/>
      <c r="DP216" s="5"/>
      <c r="DR216" s="372"/>
      <c r="DS216" s="5"/>
      <c r="DT216" s="5"/>
      <c r="DU216" s="161"/>
      <c r="DV216" s="910"/>
      <c r="DW216" s="890"/>
      <c r="DX216" s="5"/>
      <c r="DY216" s="5"/>
      <c r="DZ216" s="5"/>
      <c r="EA216" s="5"/>
      <c r="EB216" s="5"/>
      <c r="EC216" s="5"/>
      <c r="ED216" s="5"/>
      <c r="EE216" s="5"/>
      <c r="EF216" s="5"/>
      <c r="EG216" s="5"/>
      <c r="EH216" s="5"/>
      <c r="EI216" s="5"/>
      <c r="EJ216" s="5"/>
      <c r="EK216" s="5"/>
    </row>
    <row r="217" spans="1:141">
      <c r="A217" s="5"/>
      <c r="B217" s="5"/>
      <c r="C217" s="5"/>
      <c r="D217" s="5"/>
      <c r="E217" s="5"/>
      <c r="F217" s="5"/>
      <c r="G217" s="5"/>
      <c r="H217" s="5"/>
      <c r="I217" s="5"/>
      <c r="J217" s="5"/>
      <c r="K217" s="5"/>
      <c r="L217" s="5"/>
      <c r="M217" s="5"/>
      <c r="N217" s="5"/>
      <c r="O217" s="5"/>
      <c r="P217" s="5"/>
      <c r="Q217" s="5"/>
      <c r="R217" s="5"/>
      <c r="S217" s="5"/>
      <c r="T217" s="374"/>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373"/>
      <c r="BF217" s="5"/>
      <c r="BG217" s="5"/>
      <c r="BH217" s="5"/>
      <c r="BI217" s="5"/>
      <c r="BJ217" s="5"/>
      <c r="BK217" s="5"/>
      <c r="BL217" s="5"/>
      <c r="BM217" s="5"/>
      <c r="BN217" s="5"/>
      <c r="BO217" s="5"/>
      <c r="BP217" s="5"/>
      <c r="BQ217" s="5"/>
      <c r="BR217" s="5"/>
      <c r="BS217" s="5"/>
      <c r="BT217" s="5"/>
      <c r="BU217" s="5"/>
      <c r="BV217" s="5"/>
      <c r="BW217" s="5"/>
      <c r="BX217" s="373"/>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372"/>
      <c r="CX217" s="5"/>
      <c r="CY217" s="5"/>
      <c r="CZ217" s="5"/>
      <c r="DA217" s="5"/>
      <c r="DB217" s="5"/>
      <c r="DC217" s="5"/>
      <c r="DD217" s="5"/>
      <c r="DE217" s="5"/>
      <c r="DF217" s="5"/>
      <c r="DG217" s="5"/>
      <c r="DH217" s="5"/>
      <c r="DI217" s="5"/>
      <c r="DJ217" s="5"/>
      <c r="DK217" s="5"/>
      <c r="DL217" s="5"/>
      <c r="DM217" s="5"/>
      <c r="DN217" s="5"/>
      <c r="DO217" s="5"/>
      <c r="DP217" s="5"/>
      <c r="DR217" s="372"/>
      <c r="DS217" s="5"/>
      <c r="DT217" s="5"/>
      <c r="DU217" s="5"/>
      <c r="DV217" s="5"/>
      <c r="DW217" s="5"/>
      <c r="DX217" s="5"/>
      <c r="DY217" s="5"/>
      <c r="DZ217" s="5"/>
      <c r="EA217" s="5"/>
      <c r="EB217" s="5"/>
      <c r="EC217" s="5"/>
      <c r="ED217" s="5"/>
      <c r="EE217" s="5"/>
      <c r="EF217" s="5"/>
      <c r="EG217" s="5"/>
      <c r="EH217" s="5"/>
      <c r="EI217" s="5"/>
      <c r="EJ217" s="5"/>
      <c r="EK217" s="5"/>
    </row>
    <row r="218" spans="1:141" ht="15" customHeight="1">
      <c r="A218" s="925" t="s">
        <v>984</v>
      </c>
      <c r="B218" s="926"/>
      <c r="C218" s="926"/>
      <c r="D218" s="926"/>
      <c r="E218" s="926"/>
      <c r="F218" s="926"/>
      <c r="G218" s="926"/>
      <c r="H218" s="926"/>
      <c r="I218" s="926"/>
      <c r="J218" s="926"/>
      <c r="K218" s="926"/>
      <c r="L218" s="926"/>
      <c r="M218" s="926"/>
      <c r="N218" s="926"/>
      <c r="O218" s="926"/>
      <c r="P218" s="926"/>
      <c r="Q218" s="926"/>
      <c r="R218" s="926"/>
      <c r="S218" s="926"/>
      <c r="T218" s="434"/>
      <c r="U218" s="371"/>
      <c r="V218" s="371"/>
      <c r="W218" s="371"/>
      <c r="X218" s="371"/>
      <c r="Y218" s="371"/>
      <c r="Z218" s="371"/>
      <c r="AA218" s="371"/>
      <c r="AB218" s="371"/>
      <c r="AC218" s="371"/>
      <c r="AD218" s="371"/>
      <c r="AE218" s="371"/>
      <c r="AF218" s="371"/>
      <c r="AG218" s="371"/>
      <c r="AH218" s="371"/>
      <c r="AI218" s="371"/>
      <c r="AJ218" s="371"/>
      <c r="AK218" s="371"/>
      <c r="AL218" s="371"/>
      <c r="AM218" s="927" t="s">
        <v>984</v>
      </c>
      <c r="AN218" s="927"/>
      <c r="AO218" s="927"/>
      <c r="AP218" s="927"/>
      <c r="AQ218" s="927"/>
      <c r="AR218" s="927"/>
      <c r="AS218" s="927"/>
      <c r="AT218" s="927"/>
      <c r="AU218" s="927"/>
      <c r="AV218" s="927"/>
      <c r="AW218" s="927"/>
      <c r="AX218" s="927"/>
      <c r="AY218" s="927"/>
      <c r="AZ218" s="927"/>
      <c r="BA218" s="927"/>
      <c r="BB218" s="927"/>
      <c r="BC218" s="927"/>
      <c r="BD218" s="927"/>
      <c r="BE218" s="928"/>
      <c r="BF218" s="929" t="s">
        <v>984</v>
      </c>
      <c r="BG218" s="927"/>
      <c r="BH218" s="927"/>
      <c r="BI218" s="927"/>
      <c r="BJ218" s="927"/>
      <c r="BK218" s="927"/>
      <c r="BL218" s="927"/>
      <c r="BM218" s="927"/>
      <c r="BN218" s="927"/>
      <c r="BO218" s="927"/>
      <c r="BP218" s="927"/>
      <c r="BQ218" s="927"/>
      <c r="BR218" s="927"/>
      <c r="BS218" s="927"/>
      <c r="BT218" s="927"/>
      <c r="BU218" s="927"/>
      <c r="BV218" s="927"/>
      <c r="BW218" s="927"/>
      <c r="BX218" s="928"/>
      <c r="BY218" s="391"/>
      <c r="BZ218" s="391"/>
      <c r="CA218" s="391"/>
      <c r="CB218" s="391"/>
      <c r="CC218" s="391"/>
      <c r="CD218" s="371"/>
      <c r="CE218" s="371"/>
      <c r="CF218" s="371"/>
      <c r="CG218" s="371"/>
      <c r="CH218" s="371"/>
      <c r="CI218" s="371"/>
      <c r="CJ218" s="371"/>
      <c r="CK218" s="371"/>
      <c r="CL218" s="371"/>
      <c r="CM218" s="371"/>
      <c r="CN218" s="371"/>
      <c r="CO218" s="371"/>
      <c r="CP218" s="371"/>
      <c r="CQ218" s="371"/>
      <c r="CR218" s="371"/>
      <c r="CS218" s="371"/>
      <c r="CT218" s="371"/>
      <c r="CU218" s="371"/>
      <c r="CV218" s="371"/>
      <c r="CW218" s="372"/>
      <c r="CX218" s="371"/>
      <c r="CY218" s="371"/>
      <c r="CZ218" s="371"/>
      <c r="DA218" s="371"/>
      <c r="DB218" s="371"/>
      <c r="DC218" s="371"/>
      <c r="DD218" s="371"/>
      <c r="DE218" s="371"/>
      <c r="DF218" s="371"/>
      <c r="DG218" s="371"/>
      <c r="DH218" s="371"/>
      <c r="DI218" s="371"/>
      <c r="DJ218" s="371"/>
      <c r="DK218" s="371"/>
      <c r="DL218" s="371"/>
      <c r="DM218" s="371"/>
      <c r="DN218" s="371"/>
      <c r="DO218" s="371"/>
      <c r="DP218" s="371"/>
      <c r="DR218" s="372"/>
      <c r="DS218" s="888"/>
      <c r="DT218" s="888"/>
      <c r="DU218" s="888"/>
      <c r="DV218" s="888"/>
      <c r="DW218" s="888"/>
      <c r="DX218" s="888"/>
      <c r="DY218" s="888"/>
      <c r="DZ218" s="888"/>
      <c r="EA218" s="888"/>
      <c r="EB218" s="888"/>
      <c r="EC218" s="888"/>
      <c r="ED218" s="888"/>
      <c r="EE218" s="888"/>
      <c r="EF218" s="888"/>
      <c r="EG218" s="888"/>
      <c r="EH218" s="888"/>
      <c r="EI218" s="888"/>
      <c r="EJ218" s="888"/>
      <c r="EK218" s="888"/>
    </row>
    <row r="219" spans="1:141" ht="15" customHeight="1">
      <c r="A219" s="935" t="s">
        <v>985</v>
      </c>
      <c r="B219" s="935"/>
      <c r="C219" s="935"/>
      <c r="D219" s="935"/>
      <c r="E219" s="935"/>
      <c r="F219" s="935"/>
      <c r="G219" s="935"/>
      <c r="H219" s="935"/>
      <c r="I219" s="935"/>
      <c r="J219" s="935"/>
      <c r="K219" s="935"/>
      <c r="L219" s="935"/>
      <c r="M219" s="935"/>
      <c r="N219" s="935"/>
      <c r="O219" s="935"/>
      <c r="P219" s="935"/>
      <c r="Q219" s="935"/>
      <c r="R219" s="935"/>
      <c r="S219" s="935"/>
      <c r="T219" s="404"/>
      <c r="U219" s="395"/>
      <c r="V219" s="395"/>
      <c r="W219" s="395"/>
      <c r="X219" s="395"/>
      <c r="Y219" s="395"/>
      <c r="Z219" s="395"/>
      <c r="AA219" s="395"/>
      <c r="AB219" s="395"/>
      <c r="AC219" s="395"/>
      <c r="AD219" s="395"/>
      <c r="AE219" s="395"/>
      <c r="AF219" s="395"/>
      <c r="AG219" s="395"/>
      <c r="AH219" s="395"/>
      <c r="AI219" s="395"/>
      <c r="AJ219" s="395"/>
      <c r="AK219" s="395"/>
      <c r="AL219" s="395"/>
      <c r="AM219" s="935" t="s">
        <v>985</v>
      </c>
      <c r="AN219" s="935"/>
      <c r="AO219" s="935"/>
      <c r="AP219" s="935"/>
      <c r="AQ219" s="935"/>
      <c r="AR219" s="935"/>
      <c r="AS219" s="935"/>
      <c r="AT219" s="935"/>
      <c r="AU219" s="935"/>
      <c r="AV219" s="935"/>
      <c r="AW219" s="935"/>
      <c r="AX219" s="935"/>
      <c r="AY219" s="935"/>
      <c r="AZ219" s="935"/>
      <c r="BA219" s="935"/>
      <c r="BB219" s="935"/>
      <c r="BC219" s="935"/>
      <c r="BD219" s="935"/>
      <c r="BE219" s="935"/>
      <c r="BF219" s="935" t="s">
        <v>985</v>
      </c>
      <c r="BG219" s="935"/>
      <c r="BH219" s="935"/>
      <c r="BI219" s="935"/>
      <c r="BJ219" s="935"/>
      <c r="BK219" s="935"/>
      <c r="BL219" s="935"/>
      <c r="BM219" s="935"/>
      <c r="BN219" s="935"/>
      <c r="BO219" s="935"/>
      <c r="BP219" s="935"/>
      <c r="BQ219" s="935"/>
      <c r="BR219" s="935"/>
      <c r="BS219" s="935"/>
      <c r="BT219" s="935"/>
      <c r="BU219" s="935"/>
      <c r="BV219" s="935"/>
      <c r="BW219" s="935"/>
      <c r="BX219" s="935"/>
      <c r="BY219" s="404"/>
      <c r="BZ219" s="404"/>
      <c r="CA219" s="404"/>
      <c r="CB219" s="404"/>
      <c r="CC219" s="404"/>
      <c r="CD219" s="395"/>
      <c r="CE219" s="395"/>
      <c r="CF219" s="395"/>
      <c r="CG219" s="395"/>
      <c r="CH219" s="395"/>
      <c r="CI219" s="395"/>
      <c r="CJ219" s="395"/>
      <c r="CK219" s="395"/>
      <c r="CL219" s="395"/>
      <c r="CM219" s="395"/>
      <c r="CN219" s="395"/>
      <c r="CO219" s="395"/>
      <c r="CP219" s="395"/>
      <c r="CQ219" s="395"/>
      <c r="CR219" s="395"/>
      <c r="CS219" s="395"/>
      <c r="CT219" s="395"/>
      <c r="CU219" s="395"/>
      <c r="CV219" s="395"/>
      <c r="CW219" s="372"/>
      <c r="CX219" s="395"/>
      <c r="CY219" s="395"/>
      <c r="CZ219" s="395"/>
      <c r="DA219" s="395"/>
      <c r="DB219" s="395"/>
      <c r="DC219" s="395"/>
      <c r="DD219" s="395"/>
      <c r="DE219" s="395"/>
      <c r="DF219" s="395"/>
      <c r="DG219" s="395"/>
      <c r="DH219" s="395"/>
      <c r="DI219" s="395"/>
      <c r="DJ219" s="395"/>
      <c r="DK219" s="395"/>
      <c r="DL219" s="395"/>
      <c r="DM219" s="395"/>
      <c r="DN219" s="395"/>
      <c r="DO219" s="395"/>
      <c r="DP219" s="395"/>
      <c r="DR219" s="372"/>
      <c r="DS219" s="935"/>
      <c r="DT219" s="935"/>
      <c r="DU219" s="935"/>
      <c r="DV219" s="935"/>
      <c r="DW219" s="935"/>
      <c r="DX219" s="935"/>
      <c r="DY219" s="935"/>
      <c r="DZ219" s="935"/>
      <c r="EA219" s="935"/>
      <c r="EB219" s="935"/>
      <c r="EC219" s="935"/>
      <c r="ED219" s="935"/>
      <c r="EE219" s="935"/>
      <c r="EF219" s="935"/>
      <c r="EG219" s="935"/>
      <c r="EH219" s="935"/>
      <c r="EI219" s="935"/>
      <c r="EJ219" s="935"/>
      <c r="EK219" s="935"/>
    </row>
    <row r="220" spans="1:141">
      <c r="A220" s="935"/>
      <c r="B220" s="935"/>
      <c r="C220" s="935"/>
      <c r="D220" s="935"/>
      <c r="E220" s="935"/>
      <c r="F220" s="935"/>
      <c r="G220" s="935"/>
      <c r="H220" s="935"/>
      <c r="I220" s="935"/>
      <c r="J220" s="935"/>
      <c r="K220" s="935"/>
      <c r="L220" s="935"/>
      <c r="M220" s="935"/>
      <c r="N220" s="935"/>
      <c r="O220" s="935"/>
      <c r="P220" s="935"/>
      <c r="Q220" s="935"/>
      <c r="R220" s="935"/>
      <c r="S220" s="935"/>
      <c r="T220" s="404"/>
      <c r="U220" s="395"/>
      <c r="V220" s="395"/>
      <c r="W220" s="395"/>
      <c r="X220" s="395"/>
      <c r="Y220" s="395"/>
      <c r="Z220" s="395"/>
      <c r="AA220" s="395"/>
      <c r="AB220" s="395"/>
      <c r="AC220" s="395"/>
      <c r="AD220" s="395"/>
      <c r="AE220" s="395"/>
      <c r="AF220" s="395"/>
      <c r="AG220" s="395"/>
      <c r="AH220" s="395"/>
      <c r="AI220" s="395"/>
      <c r="AJ220" s="395"/>
      <c r="AK220" s="395"/>
      <c r="AL220" s="395"/>
      <c r="AM220" s="935"/>
      <c r="AN220" s="935"/>
      <c r="AO220" s="935"/>
      <c r="AP220" s="935"/>
      <c r="AQ220" s="935"/>
      <c r="AR220" s="935"/>
      <c r="AS220" s="935"/>
      <c r="AT220" s="935"/>
      <c r="AU220" s="935"/>
      <c r="AV220" s="935"/>
      <c r="AW220" s="935"/>
      <c r="AX220" s="935"/>
      <c r="AY220" s="935"/>
      <c r="AZ220" s="935"/>
      <c r="BA220" s="935"/>
      <c r="BB220" s="935"/>
      <c r="BC220" s="935"/>
      <c r="BD220" s="935"/>
      <c r="BE220" s="935"/>
      <c r="BF220" s="935"/>
      <c r="BG220" s="935"/>
      <c r="BH220" s="935"/>
      <c r="BI220" s="935"/>
      <c r="BJ220" s="935"/>
      <c r="BK220" s="935"/>
      <c r="BL220" s="935"/>
      <c r="BM220" s="935"/>
      <c r="BN220" s="935"/>
      <c r="BO220" s="935"/>
      <c r="BP220" s="935"/>
      <c r="BQ220" s="935"/>
      <c r="BR220" s="935"/>
      <c r="BS220" s="935"/>
      <c r="BT220" s="935"/>
      <c r="BU220" s="935"/>
      <c r="BV220" s="935"/>
      <c r="BW220" s="935"/>
      <c r="BX220" s="935"/>
      <c r="BY220" s="404"/>
      <c r="BZ220" s="404"/>
      <c r="CA220" s="404"/>
      <c r="CB220" s="404"/>
      <c r="CC220" s="404"/>
      <c r="CD220" s="395"/>
      <c r="CE220" s="395"/>
      <c r="CF220" s="395"/>
      <c r="CG220" s="395"/>
      <c r="CH220" s="395"/>
      <c r="CI220" s="395"/>
      <c r="CJ220" s="395"/>
      <c r="CK220" s="395"/>
      <c r="CL220" s="395"/>
      <c r="CM220" s="395"/>
      <c r="CN220" s="395"/>
      <c r="CO220" s="395"/>
      <c r="CP220" s="395"/>
      <c r="CQ220" s="395"/>
      <c r="CR220" s="395"/>
      <c r="CS220" s="395"/>
      <c r="CT220" s="395"/>
      <c r="CU220" s="395"/>
      <c r="CV220" s="395"/>
      <c r="CW220" s="372"/>
      <c r="CX220" s="395"/>
      <c r="CY220" s="395"/>
      <c r="CZ220" s="395"/>
      <c r="DA220" s="395"/>
      <c r="DB220" s="395"/>
      <c r="DC220" s="395"/>
      <c r="DD220" s="395"/>
      <c r="DE220" s="395"/>
      <c r="DF220" s="395"/>
      <c r="DG220" s="395"/>
      <c r="DH220" s="395"/>
      <c r="DI220" s="395"/>
      <c r="DJ220" s="395"/>
      <c r="DK220" s="395"/>
      <c r="DL220" s="395"/>
      <c r="DM220" s="395"/>
      <c r="DN220" s="395"/>
      <c r="DO220" s="395"/>
      <c r="DP220" s="395"/>
      <c r="DR220" s="372"/>
      <c r="DS220" s="935"/>
      <c r="DT220" s="935"/>
      <c r="DU220" s="935"/>
      <c r="DV220" s="935"/>
      <c r="DW220" s="935"/>
      <c r="DX220" s="935"/>
      <c r="DY220" s="935"/>
      <c r="DZ220" s="935"/>
      <c r="EA220" s="935"/>
      <c r="EB220" s="935"/>
      <c r="EC220" s="935"/>
      <c r="ED220" s="935"/>
      <c r="EE220" s="935"/>
      <c r="EF220" s="935"/>
      <c r="EG220" s="935"/>
      <c r="EH220" s="935"/>
      <c r="EI220" s="935"/>
      <c r="EJ220" s="935"/>
      <c r="EK220" s="935"/>
    </row>
    <row r="221" spans="1:141">
      <c r="A221" s="161" t="s">
        <v>986</v>
      </c>
      <c r="B221" s="161" t="s">
        <v>63</v>
      </c>
      <c r="C221" s="933">
        <v>24173.1118834888</v>
      </c>
      <c r="D221" s="933"/>
      <c r="E221" s="5" t="s">
        <v>361</v>
      </c>
      <c r="F221" s="5"/>
      <c r="G221" s="5"/>
      <c r="H221" s="5"/>
      <c r="I221" s="5"/>
      <c r="J221" s="5"/>
      <c r="K221" s="5"/>
      <c r="L221" s="5"/>
      <c r="M221" s="5"/>
      <c r="N221" s="5"/>
      <c r="O221" s="5"/>
      <c r="P221" s="5"/>
      <c r="Q221" s="5"/>
      <c r="R221" s="5"/>
      <c r="S221" s="5"/>
      <c r="T221" s="374"/>
      <c r="U221" s="161"/>
      <c r="V221" s="5"/>
      <c r="W221" s="5"/>
      <c r="X221" s="5"/>
      <c r="Y221" s="5"/>
      <c r="Z221" s="5"/>
      <c r="AA221" s="5"/>
      <c r="AB221" s="5"/>
      <c r="AC221" s="5"/>
      <c r="AD221" s="5"/>
      <c r="AE221" s="5"/>
      <c r="AF221" s="5"/>
      <c r="AG221" s="5"/>
      <c r="AH221" s="5"/>
      <c r="AI221" s="5"/>
      <c r="AJ221" s="5"/>
      <c r="AK221" s="5"/>
      <c r="AL221" s="5"/>
      <c r="AM221" s="161" t="s">
        <v>986</v>
      </c>
      <c r="AN221" s="161" t="s">
        <v>63</v>
      </c>
      <c r="AO221" s="716">
        <v>24173.111883488789</v>
      </c>
      <c r="AP221" s="716"/>
      <c r="AQ221" s="5" t="s">
        <v>361</v>
      </c>
      <c r="AR221" s="5"/>
      <c r="AS221" s="5"/>
      <c r="AT221" s="5"/>
      <c r="AU221" s="5"/>
      <c r="AV221" s="5"/>
      <c r="AW221" s="5"/>
      <c r="AX221" s="5"/>
      <c r="AY221" s="5"/>
      <c r="AZ221" s="5"/>
      <c r="BA221" s="5"/>
      <c r="BB221" s="5"/>
      <c r="BC221" s="5"/>
      <c r="BD221" s="5"/>
      <c r="BE221" s="373"/>
      <c r="BF221" s="161" t="s">
        <v>986</v>
      </c>
      <c r="BG221" s="161" t="s">
        <v>63</v>
      </c>
      <c r="BH221" s="716">
        <v>24173.111883488789</v>
      </c>
      <c r="BI221" s="716"/>
      <c r="BJ221" s="5" t="s">
        <v>361</v>
      </c>
      <c r="BK221" s="5"/>
      <c r="BL221" s="5"/>
      <c r="BM221" s="5"/>
      <c r="BN221" s="5"/>
      <c r="BO221" s="5"/>
      <c r="BP221" s="5"/>
      <c r="BQ221" s="5"/>
      <c r="BR221" s="5"/>
      <c r="BS221" s="5"/>
      <c r="BT221" s="5"/>
      <c r="BU221" s="5"/>
      <c r="BV221" s="5"/>
      <c r="BW221" s="5"/>
      <c r="BX221" s="373"/>
      <c r="BY221" s="5"/>
      <c r="BZ221" s="5"/>
      <c r="CA221" s="5"/>
      <c r="CB221" s="5"/>
      <c r="CC221" s="5"/>
      <c r="CD221" s="161"/>
      <c r="CE221" s="161"/>
      <c r="CF221" s="5"/>
      <c r="CG221" s="5"/>
      <c r="CH221" s="5"/>
      <c r="CI221" s="5"/>
      <c r="CJ221" s="5"/>
      <c r="CK221" s="5"/>
      <c r="CL221" s="5"/>
      <c r="CM221" s="5"/>
      <c r="CN221" s="5"/>
      <c r="CO221" s="5"/>
      <c r="CP221" s="5"/>
      <c r="CQ221" s="5"/>
      <c r="CR221" s="5"/>
      <c r="CS221" s="5"/>
      <c r="CT221" s="5"/>
      <c r="CU221" s="5"/>
      <c r="CV221" s="5"/>
      <c r="CW221" s="372"/>
      <c r="CX221" s="161"/>
      <c r="CY221" s="161"/>
      <c r="CZ221" s="5"/>
      <c r="DA221" s="5"/>
      <c r="DB221" s="5"/>
      <c r="DC221" s="5"/>
      <c r="DD221" s="5"/>
      <c r="DE221" s="5"/>
      <c r="DF221" s="5"/>
      <c r="DG221" s="5"/>
      <c r="DH221" s="5"/>
      <c r="DI221" s="5"/>
      <c r="DJ221" s="5"/>
      <c r="DK221" s="5"/>
      <c r="DL221" s="5"/>
      <c r="DM221" s="5"/>
      <c r="DN221" s="5"/>
      <c r="DO221" s="5"/>
      <c r="DP221" s="5"/>
      <c r="DR221" s="372"/>
      <c r="DS221" s="161"/>
      <c r="DT221" s="161"/>
      <c r="DU221" s="716"/>
      <c r="DV221" s="716"/>
      <c r="DW221" s="5"/>
      <c r="DX221" s="5"/>
      <c r="DY221" s="5"/>
      <c r="DZ221" s="5"/>
      <c r="EA221" s="5"/>
      <c r="EB221" s="5"/>
      <c r="EC221" s="5"/>
      <c r="ED221" s="5"/>
      <c r="EE221" s="5"/>
      <c r="EF221" s="5"/>
      <c r="EG221" s="5"/>
      <c r="EH221" s="5"/>
      <c r="EI221" s="5"/>
      <c r="EJ221" s="5"/>
      <c r="EK221" s="5"/>
    </row>
    <row r="222" spans="1:141">
      <c r="A222" s="5"/>
      <c r="B222" s="5"/>
      <c r="C222" s="5"/>
      <c r="D222" s="5"/>
      <c r="E222" s="5"/>
      <c r="F222" s="5"/>
      <c r="G222" s="5"/>
      <c r="H222" s="5"/>
      <c r="I222" s="5"/>
      <c r="J222" s="5"/>
      <c r="K222" s="5"/>
      <c r="L222" s="5"/>
      <c r="M222" s="5"/>
      <c r="N222" s="5"/>
      <c r="O222" s="5"/>
      <c r="P222" s="5"/>
      <c r="Q222" s="5"/>
      <c r="R222" s="5"/>
      <c r="S222" s="5"/>
      <c r="T222" s="374"/>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373"/>
      <c r="BF222" s="5"/>
      <c r="BG222" s="5"/>
      <c r="BH222" s="5"/>
      <c r="BI222" s="5"/>
      <c r="BJ222" s="5"/>
      <c r="BK222" s="5"/>
      <c r="BL222" s="5"/>
      <c r="BM222" s="5"/>
      <c r="BN222" s="5"/>
      <c r="BO222" s="5"/>
      <c r="BP222" s="5"/>
      <c r="BQ222" s="5"/>
      <c r="BR222" s="5"/>
      <c r="BS222" s="5"/>
      <c r="BT222" s="5"/>
      <c r="BU222" s="5"/>
      <c r="BV222" s="5"/>
      <c r="BW222" s="5"/>
      <c r="BX222" s="373"/>
      <c r="BY222" s="5"/>
      <c r="BZ222" s="5"/>
      <c r="CA222" s="5"/>
      <c r="CB222" s="5"/>
      <c r="CC222" s="5"/>
      <c r="CD222" s="395"/>
      <c r="CE222" s="5"/>
      <c r="CF222" s="5"/>
      <c r="CG222" s="5"/>
      <c r="CH222" s="5"/>
      <c r="CI222" s="5"/>
      <c r="CJ222" s="5"/>
      <c r="CK222" s="5"/>
      <c r="CL222" s="5"/>
      <c r="CM222" s="5"/>
      <c r="CN222" s="5"/>
      <c r="CO222" s="5"/>
      <c r="CP222" s="5"/>
      <c r="CQ222" s="5"/>
      <c r="CR222" s="5"/>
      <c r="CS222" s="5"/>
      <c r="CT222" s="5"/>
      <c r="CU222" s="5"/>
      <c r="CV222" s="5"/>
      <c r="CW222" s="372"/>
      <c r="CX222" s="395"/>
      <c r="CY222" s="5"/>
      <c r="CZ222" s="5"/>
      <c r="DA222" s="5"/>
      <c r="DB222" s="5"/>
      <c r="DC222" s="5"/>
      <c r="DD222" s="5"/>
      <c r="DE222" s="5"/>
      <c r="DF222" s="5"/>
      <c r="DG222" s="5"/>
      <c r="DH222" s="5"/>
      <c r="DI222" s="5"/>
      <c r="DJ222" s="5"/>
      <c r="DK222" s="5"/>
      <c r="DL222" s="5"/>
      <c r="DM222" s="5"/>
      <c r="DN222" s="5"/>
      <c r="DO222" s="5"/>
      <c r="DP222" s="5"/>
      <c r="DR222" s="372"/>
      <c r="DS222" s="395"/>
      <c r="DT222" s="5"/>
      <c r="DU222" s="5"/>
      <c r="DV222" s="5"/>
      <c r="DW222" s="5"/>
      <c r="DX222" s="5"/>
      <c r="DY222" s="5"/>
      <c r="DZ222" s="5"/>
      <c r="EA222" s="5"/>
      <c r="EB222" s="5"/>
      <c r="EC222" s="5"/>
      <c r="ED222" s="5"/>
      <c r="EE222" s="5"/>
      <c r="EF222" s="5"/>
      <c r="EG222" s="5"/>
      <c r="EH222" s="5"/>
      <c r="EI222" s="5"/>
      <c r="EJ222" s="5"/>
      <c r="EK222" s="5"/>
    </row>
    <row r="223" spans="1:141">
      <c r="A223" s="369" t="s">
        <v>987</v>
      </c>
      <c r="B223" s="5"/>
      <c r="C223" s="161" t="s">
        <v>63</v>
      </c>
      <c r="D223" s="369" t="s">
        <v>988</v>
      </c>
      <c r="E223" s="5"/>
      <c r="F223" s="5"/>
      <c r="G223" s="5"/>
      <c r="H223" s="5"/>
      <c r="I223" s="5"/>
      <c r="J223" s="5"/>
      <c r="K223" s="5"/>
      <c r="L223" s="5"/>
      <c r="M223" s="5"/>
      <c r="N223" s="5"/>
      <c r="O223" s="5"/>
      <c r="P223" s="5"/>
      <c r="Q223" s="5"/>
      <c r="R223" s="5"/>
      <c r="S223" s="5"/>
      <c r="U223" s="5"/>
      <c r="V223" s="161"/>
      <c r="X223" s="5"/>
      <c r="Y223" s="5"/>
      <c r="Z223" s="5"/>
      <c r="AA223" s="5"/>
      <c r="AB223" s="5"/>
      <c r="AC223" s="5"/>
      <c r="AD223" s="5"/>
      <c r="AE223" s="5"/>
      <c r="AF223" s="5"/>
      <c r="AG223" s="5"/>
      <c r="AH223" s="5"/>
      <c r="AI223" s="5"/>
      <c r="AJ223" s="5"/>
      <c r="AK223" s="5"/>
      <c r="AL223" s="5"/>
      <c r="AM223" s="369" t="s">
        <v>987</v>
      </c>
      <c r="AN223" s="5"/>
      <c r="AO223" s="161" t="s">
        <v>63</v>
      </c>
      <c r="AP223" s="369" t="s">
        <v>988</v>
      </c>
      <c r="AQ223" s="5"/>
      <c r="AR223" s="5"/>
      <c r="AS223" s="5"/>
      <c r="AT223" s="5"/>
      <c r="AU223" s="5"/>
      <c r="AV223" s="5"/>
      <c r="AW223" s="5"/>
      <c r="AX223" s="5"/>
      <c r="AY223" s="5"/>
      <c r="AZ223" s="5"/>
      <c r="BA223" s="5"/>
      <c r="BB223" s="5"/>
      <c r="BC223" s="5"/>
      <c r="BD223" s="5"/>
      <c r="BE223" s="373"/>
      <c r="BF223" s="369" t="s">
        <v>987</v>
      </c>
      <c r="BG223" s="5"/>
      <c r="BH223" s="161" t="s">
        <v>63</v>
      </c>
      <c r="BI223" s="369" t="s">
        <v>988</v>
      </c>
      <c r="BJ223" s="5"/>
      <c r="BK223" s="5"/>
      <c r="BL223" s="5"/>
      <c r="BM223" s="5"/>
      <c r="BN223" s="5"/>
      <c r="BO223" s="5"/>
      <c r="BP223" s="5"/>
      <c r="BQ223" s="5"/>
      <c r="BR223" s="5"/>
      <c r="BS223" s="5"/>
      <c r="BT223" s="5"/>
      <c r="BU223" s="5"/>
      <c r="BV223" s="5"/>
      <c r="BW223" s="5"/>
      <c r="BX223" s="373"/>
      <c r="BY223" s="5"/>
      <c r="BZ223" s="5"/>
      <c r="CA223" s="5"/>
      <c r="CB223" s="5"/>
      <c r="CC223" s="5"/>
      <c r="CE223" s="5"/>
      <c r="CF223" s="161"/>
      <c r="CH223" s="5"/>
      <c r="CI223" s="5"/>
      <c r="CJ223" s="5"/>
      <c r="CK223" s="5"/>
      <c r="CL223" s="5"/>
      <c r="CM223" s="5"/>
      <c r="CN223" s="5"/>
      <c r="CO223" s="5"/>
      <c r="CP223" s="5"/>
      <c r="CQ223" s="5"/>
      <c r="CR223" s="5"/>
      <c r="CS223" s="5"/>
      <c r="CT223" s="5"/>
      <c r="CU223" s="5"/>
      <c r="CV223" s="5"/>
      <c r="CW223" s="372"/>
      <c r="CY223" s="5"/>
      <c r="CZ223" s="161"/>
      <c r="DB223" s="5"/>
      <c r="DC223" s="5"/>
      <c r="DD223" s="5"/>
      <c r="DE223" s="5"/>
      <c r="DF223" s="5"/>
      <c r="DG223" s="5"/>
      <c r="DH223" s="5"/>
      <c r="DI223" s="5"/>
      <c r="DJ223" s="5"/>
      <c r="DK223" s="5"/>
      <c r="DL223" s="5"/>
      <c r="DM223" s="5"/>
      <c r="DN223" s="5"/>
      <c r="DO223" s="5"/>
      <c r="DP223" s="5"/>
      <c r="DR223" s="372"/>
      <c r="DT223" s="5"/>
      <c r="DU223" s="161"/>
      <c r="DW223" s="5"/>
      <c r="DX223" s="5"/>
      <c r="DY223" s="5"/>
      <c r="DZ223" s="5"/>
      <c r="EA223" s="5"/>
      <c r="EB223" s="5"/>
      <c r="EC223" s="5"/>
      <c r="ED223" s="5"/>
      <c r="EE223" s="5"/>
      <c r="EF223" s="5"/>
      <c r="EG223" s="5"/>
      <c r="EH223" s="5"/>
      <c r="EI223" s="5"/>
      <c r="EJ223" s="5"/>
      <c r="EK223" s="5"/>
    </row>
    <row r="224" spans="1:141">
      <c r="A224" s="5"/>
      <c r="B224" s="5"/>
      <c r="C224" s="161" t="s">
        <v>63</v>
      </c>
      <c r="D224" s="932">
        <f>20%*C221</f>
        <v>4834.62237669776</v>
      </c>
      <c r="E224" s="932"/>
      <c r="F224" s="5" t="s">
        <v>361</v>
      </c>
      <c r="G224" s="5"/>
      <c r="H224" s="397"/>
      <c r="I224" s="5"/>
      <c r="J224" s="397"/>
      <c r="K224" s="5"/>
      <c r="L224" s="5"/>
      <c r="M224" s="5"/>
      <c r="N224" s="5"/>
      <c r="O224" s="5"/>
      <c r="P224" s="5"/>
      <c r="Q224" s="5"/>
      <c r="R224" s="5"/>
      <c r="S224" s="5"/>
      <c r="T224" s="374"/>
      <c r="U224" s="5"/>
      <c r="V224" s="161"/>
      <c r="W224" s="426"/>
      <c r="X224" s="426"/>
      <c r="Y224" s="5"/>
      <c r="Z224" s="5"/>
      <c r="AA224" s="397"/>
      <c r="AB224" s="5"/>
      <c r="AC224" s="397"/>
      <c r="AD224" s="5"/>
      <c r="AE224" s="5"/>
      <c r="AF224" s="5"/>
      <c r="AG224" s="5"/>
      <c r="AH224" s="5"/>
      <c r="AI224" s="5"/>
      <c r="AJ224" s="5"/>
      <c r="AK224" s="5"/>
      <c r="AL224" s="5"/>
      <c r="AM224" s="5"/>
      <c r="AN224" s="5"/>
      <c r="AO224" s="161" t="s">
        <v>63</v>
      </c>
      <c r="AP224" s="931">
        <f>20%*AO221</f>
        <v>4834.6223766977582</v>
      </c>
      <c r="AQ224" s="931"/>
      <c r="AR224" s="5" t="s">
        <v>361</v>
      </c>
      <c r="AS224" s="5"/>
      <c r="AT224" s="397"/>
      <c r="AU224" s="5"/>
      <c r="AV224" s="397"/>
      <c r="AW224" s="5"/>
      <c r="AX224" s="5"/>
      <c r="AY224" s="5"/>
      <c r="AZ224" s="5"/>
      <c r="BA224" s="5"/>
      <c r="BB224" s="5"/>
      <c r="BC224" s="5"/>
      <c r="BD224" s="5"/>
      <c r="BE224" s="373"/>
      <c r="BF224" s="5"/>
      <c r="BG224" s="5"/>
      <c r="BH224" s="161" t="s">
        <v>63</v>
      </c>
      <c r="BI224" s="931">
        <f>20%*BH221</f>
        <v>4834.6223766977582</v>
      </c>
      <c r="BJ224" s="931"/>
      <c r="BK224" s="5" t="s">
        <v>361</v>
      </c>
      <c r="BL224" s="5"/>
      <c r="BM224" s="397"/>
      <c r="BN224" s="5"/>
      <c r="BO224" s="397"/>
      <c r="BP224" s="5"/>
      <c r="BQ224" s="5"/>
      <c r="BR224" s="5"/>
      <c r="BS224" s="5"/>
      <c r="BT224" s="5"/>
      <c r="BU224" s="5"/>
      <c r="BV224" s="5"/>
      <c r="BW224" s="5"/>
      <c r="BX224" s="373"/>
      <c r="BY224" s="5"/>
      <c r="BZ224" s="5"/>
      <c r="CA224" s="5"/>
      <c r="CB224" s="5"/>
      <c r="CC224" s="5"/>
      <c r="CD224" s="5"/>
      <c r="CE224" s="5"/>
      <c r="CF224" s="161"/>
      <c r="CG224" s="377"/>
      <c r="CH224" s="377"/>
      <c r="CI224" s="5"/>
      <c r="CJ224" s="5"/>
      <c r="CK224" s="5"/>
      <c r="CL224" s="5"/>
      <c r="CM224" s="5"/>
      <c r="CN224" s="5"/>
      <c r="CO224" s="5"/>
      <c r="CP224" s="5"/>
      <c r="CQ224" s="5"/>
      <c r="CR224" s="5"/>
      <c r="CS224" s="5"/>
      <c r="CT224" s="5"/>
      <c r="CU224" s="5"/>
      <c r="CV224" s="5"/>
      <c r="CW224" s="372"/>
      <c r="CX224" s="5"/>
      <c r="CY224" s="5"/>
      <c r="CZ224" s="161"/>
      <c r="DA224" s="377"/>
      <c r="DB224" s="377"/>
      <c r="DC224" s="5"/>
      <c r="DD224" s="5"/>
      <c r="DE224" s="5"/>
      <c r="DF224" s="5"/>
      <c r="DG224" s="5"/>
      <c r="DH224" s="5"/>
      <c r="DI224" s="5"/>
      <c r="DJ224" s="5"/>
      <c r="DK224" s="5"/>
      <c r="DL224" s="5"/>
      <c r="DM224" s="5"/>
      <c r="DN224" s="5"/>
      <c r="DO224" s="5"/>
      <c r="DP224" s="5"/>
      <c r="DR224" s="372"/>
      <c r="DS224" s="5"/>
      <c r="DT224" s="5"/>
      <c r="DU224" s="161"/>
      <c r="DV224" s="910"/>
      <c r="DW224" s="910"/>
      <c r="DX224" s="5"/>
      <c r="DY224" s="5"/>
      <c r="DZ224" s="5"/>
      <c r="EA224" s="5"/>
      <c r="EB224" s="5"/>
      <c r="EC224" s="5"/>
      <c r="ED224" s="5"/>
      <c r="EE224" s="5"/>
      <c r="EF224" s="5"/>
      <c r="EG224" s="5"/>
      <c r="EH224" s="5"/>
      <c r="EI224" s="5"/>
      <c r="EJ224" s="5"/>
      <c r="EK224" s="5"/>
    </row>
    <row r="225" spans="1:141">
      <c r="A225" s="5"/>
      <c r="B225" s="5"/>
      <c r="C225" s="5"/>
      <c r="D225" s="5"/>
      <c r="E225" s="5"/>
      <c r="F225" s="5"/>
      <c r="G225" s="5"/>
      <c r="H225" s="5"/>
      <c r="I225" s="5"/>
      <c r="J225" s="5"/>
      <c r="K225" s="5"/>
      <c r="L225" s="5"/>
      <c r="M225" s="5"/>
      <c r="N225" s="5"/>
      <c r="O225" s="5"/>
      <c r="P225" s="5"/>
      <c r="Q225" s="5"/>
      <c r="R225" s="5"/>
      <c r="S225" s="5"/>
      <c r="T225" s="374"/>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373"/>
      <c r="BF225" s="5"/>
      <c r="BG225" s="5"/>
      <c r="BH225" s="5"/>
      <c r="BI225" s="5"/>
      <c r="BJ225" s="5"/>
      <c r="BK225" s="5"/>
      <c r="BL225" s="5"/>
      <c r="BM225" s="5"/>
      <c r="BN225" s="5"/>
      <c r="BO225" s="5"/>
      <c r="BP225" s="5"/>
      <c r="BQ225" s="5"/>
      <c r="BR225" s="5"/>
      <c r="BS225" s="5"/>
      <c r="BT225" s="5"/>
      <c r="BU225" s="5"/>
      <c r="BV225" s="5"/>
      <c r="BW225" s="5"/>
      <c r="BX225" s="373"/>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372"/>
      <c r="CX225" s="5"/>
      <c r="CY225" s="5"/>
      <c r="CZ225" s="5"/>
      <c r="DA225" s="5"/>
      <c r="DB225" s="5"/>
      <c r="DC225" s="5"/>
      <c r="DD225" s="5"/>
      <c r="DE225" s="5"/>
      <c r="DF225" s="5"/>
      <c r="DG225" s="5"/>
      <c r="DH225" s="5"/>
      <c r="DI225" s="5"/>
      <c r="DJ225" s="5"/>
      <c r="DK225" s="5"/>
      <c r="DL225" s="5"/>
      <c r="DM225" s="5"/>
      <c r="DN225" s="5"/>
      <c r="DO225" s="5"/>
      <c r="DP225" s="5"/>
      <c r="DR225" s="372"/>
      <c r="DS225" s="5"/>
      <c r="DT225" s="5"/>
      <c r="DU225" s="5"/>
      <c r="DV225" s="5"/>
      <c r="DW225" s="5"/>
      <c r="DX225" s="5"/>
      <c r="DY225" s="5"/>
      <c r="DZ225" s="5"/>
      <c r="EA225" s="5"/>
      <c r="EB225" s="5"/>
      <c r="EC225" s="5"/>
      <c r="ED225" s="5"/>
      <c r="EE225" s="5"/>
      <c r="EF225" s="5"/>
      <c r="EG225" s="5"/>
      <c r="EH225" s="5"/>
      <c r="EI225" s="5"/>
      <c r="EJ225" s="5"/>
      <c r="EK225" s="5"/>
    </row>
    <row r="226" spans="1:141">
      <c r="A226" s="5"/>
      <c r="B226" s="5"/>
      <c r="C226" s="5"/>
      <c r="D226" s="5"/>
      <c r="E226" s="5"/>
      <c r="F226" s="5"/>
      <c r="G226" s="5"/>
      <c r="H226" s="5"/>
      <c r="I226" s="5"/>
      <c r="J226" s="5"/>
      <c r="K226" s="5"/>
      <c r="L226" s="5"/>
      <c r="M226" s="5"/>
      <c r="N226" s="5"/>
      <c r="O226" s="5"/>
      <c r="P226" s="5"/>
      <c r="Q226" s="5"/>
      <c r="R226" s="5"/>
      <c r="S226" s="5"/>
      <c r="T226" s="374"/>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373"/>
      <c r="BF226" s="5"/>
      <c r="BG226" s="5"/>
      <c r="BH226" s="5"/>
      <c r="BI226" s="5"/>
      <c r="BJ226" s="5"/>
      <c r="BK226" s="5"/>
      <c r="BL226" s="5"/>
      <c r="BM226" s="5"/>
      <c r="BN226" s="5"/>
      <c r="BO226" s="5"/>
      <c r="BP226" s="5"/>
      <c r="BQ226" s="5"/>
      <c r="BR226" s="5"/>
      <c r="BS226" s="5"/>
      <c r="BT226" s="5"/>
      <c r="BU226" s="5"/>
      <c r="BV226" s="5"/>
      <c r="BW226" s="5"/>
      <c r="BX226" s="373"/>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372"/>
      <c r="CX226" s="5"/>
      <c r="CY226" s="5"/>
      <c r="CZ226" s="5"/>
      <c r="DA226" s="5"/>
      <c r="DB226" s="5"/>
      <c r="DC226" s="5"/>
      <c r="DD226" s="5"/>
      <c r="DE226" s="5"/>
      <c r="DF226" s="5"/>
      <c r="DG226" s="5"/>
      <c r="DH226" s="5"/>
      <c r="DI226" s="5"/>
      <c r="DJ226" s="5"/>
      <c r="DK226" s="5"/>
      <c r="DL226" s="5"/>
      <c r="DM226" s="5"/>
      <c r="DN226" s="5"/>
      <c r="DO226" s="5"/>
      <c r="DP226" s="5"/>
      <c r="DR226" s="372"/>
      <c r="DS226" s="5"/>
      <c r="DT226" s="5"/>
      <c r="DU226" s="5"/>
      <c r="DV226" s="5"/>
      <c r="DW226" s="5"/>
      <c r="DX226" s="5"/>
      <c r="DY226" s="5"/>
      <c r="DZ226" s="5"/>
      <c r="EA226" s="5"/>
      <c r="EB226" s="5"/>
      <c r="EC226" s="5"/>
      <c r="ED226" s="5"/>
      <c r="EE226" s="5"/>
      <c r="EF226" s="5"/>
      <c r="EG226" s="5"/>
      <c r="EH226" s="5"/>
      <c r="EI226" s="5"/>
      <c r="EJ226" s="5"/>
      <c r="EK226" s="5"/>
    </row>
    <row r="227" spans="1:141" ht="16.2">
      <c r="A227" s="369" t="s">
        <v>989</v>
      </c>
      <c r="B227" s="5"/>
      <c r="C227" s="5"/>
      <c r="D227" s="161" t="s">
        <v>63</v>
      </c>
      <c r="E227" s="369" t="s">
        <v>990</v>
      </c>
      <c r="F227" s="5"/>
      <c r="G227" s="5"/>
      <c r="H227" s="5"/>
      <c r="I227" s="5"/>
      <c r="J227" s="5"/>
      <c r="K227" s="369" t="s">
        <v>991</v>
      </c>
      <c r="L227" s="5"/>
      <c r="M227" s="161" t="s">
        <v>63</v>
      </c>
      <c r="N227" s="903">
        <v>1.0249999999999999</v>
      </c>
      <c r="O227" s="903"/>
      <c r="P227" s="5" t="s">
        <v>36</v>
      </c>
      <c r="Q227" s="5"/>
      <c r="R227" s="5"/>
      <c r="S227" s="5"/>
      <c r="U227" s="5"/>
      <c r="V227" s="5"/>
      <c r="W227" s="161"/>
      <c r="Y227" s="5"/>
      <c r="Z227" s="5"/>
      <c r="AA227" s="5"/>
      <c r="AB227" s="5"/>
      <c r="AC227" s="5"/>
      <c r="AE227" s="5"/>
      <c r="AF227" s="161"/>
      <c r="AI227" s="5"/>
      <c r="AJ227" s="5"/>
      <c r="AK227" s="5"/>
      <c r="AL227" s="5"/>
      <c r="AM227" s="369" t="s">
        <v>989</v>
      </c>
      <c r="AN227" s="5"/>
      <c r="AO227" s="5"/>
      <c r="AP227" s="161" t="s">
        <v>63</v>
      </c>
      <c r="AQ227" s="369" t="s">
        <v>990</v>
      </c>
      <c r="AR227" s="5"/>
      <c r="AS227" s="5"/>
      <c r="AT227" s="5"/>
      <c r="AU227" s="5"/>
      <c r="AV227" s="5"/>
      <c r="AW227" s="369" t="s">
        <v>991</v>
      </c>
      <c r="AX227" s="5"/>
      <c r="AY227" s="161" t="s">
        <v>63</v>
      </c>
      <c r="AZ227" s="903">
        <v>1.0249999999999999</v>
      </c>
      <c r="BA227" s="903"/>
      <c r="BB227" s="5" t="s">
        <v>36</v>
      </c>
      <c r="BC227" s="5"/>
      <c r="BD227" s="5"/>
      <c r="BE227" s="373"/>
      <c r="BF227" s="369" t="s">
        <v>989</v>
      </c>
      <c r="BG227" s="5"/>
      <c r="BH227" s="5"/>
      <c r="BI227" s="161" t="s">
        <v>63</v>
      </c>
      <c r="BJ227" s="369" t="s">
        <v>990</v>
      </c>
      <c r="BK227" s="5"/>
      <c r="BL227" s="5"/>
      <c r="BM227" s="5"/>
      <c r="BN227" s="5"/>
      <c r="BO227" s="5"/>
      <c r="BP227" s="369" t="s">
        <v>991</v>
      </c>
      <c r="BQ227" s="5"/>
      <c r="BR227" s="161" t="s">
        <v>63</v>
      </c>
      <c r="BS227" s="903">
        <v>1.0249999999999999</v>
      </c>
      <c r="BT227" s="903"/>
      <c r="BU227" s="5" t="s">
        <v>36</v>
      </c>
      <c r="BV227" s="5"/>
      <c r="BW227" s="5"/>
      <c r="BX227" s="373"/>
      <c r="BY227" s="5"/>
      <c r="BZ227" s="5"/>
      <c r="CA227" s="5"/>
      <c r="CB227" s="5"/>
      <c r="CC227" s="5"/>
      <c r="CE227" s="5"/>
      <c r="CF227" s="5"/>
      <c r="CG227" s="161"/>
      <c r="CI227" s="5"/>
      <c r="CJ227" s="5"/>
      <c r="CK227" s="5"/>
      <c r="CL227" s="5"/>
      <c r="CM227" s="5"/>
      <c r="CO227" s="5"/>
      <c r="CP227" s="161"/>
      <c r="CS227" s="5"/>
      <c r="CT227" s="5"/>
      <c r="CU227" s="5"/>
      <c r="CV227" s="5"/>
      <c r="CW227" s="372"/>
      <c r="CY227" s="5"/>
      <c r="CZ227" s="5"/>
      <c r="DA227" s="161"/>
      <c r="DC227" s="5"/>
      <c r="DD227" s="5"/>
      <c r="DE227" s="5"/>
      <c r="DF227" s="5"/>
      <c r="DG227" s="5"/>
      <c r="DI227" s="5"/>
      <c r="DJ227" s="161"/>
      <c r="DM227" s="5"/>
      <c r="DN227" s="5"/>
      <c r="DO227" s="5"/>
      <c r="DP227" s="5"/>
      <c r="DR227" s="372"/>
      <c r="DT227" s="5"/>
      <c r="DU227" s="5"/>
      <c r="DV227" s="161"/>
      <c r="DX227" s="5"/>
      <c r="DY227" s="5"/>
      <c r="DZ227" s="5"/>
      <c r="EA227" s="5"/>
      <c r="EB227" s="5"/>
      <c r="ED227" s="5"/>
      <c r="EE227" s="161"/>
      <c r="EF227" s="903"/>
      <c r="EG227" s="903"/>
      <c r="EH227" s="5"/>
      <c r="EI227" s="5"/>
      <c r="EJ227" s="5"/>
      <c r="EK227" s="5"/>
    </row>
    <row r="228" spans="1:141" ht="16.2">
      <c r="A228" s="5"/>
      <c r="B228" s="5"/>
      <c r="C228" s="5"/>
      <c r="D228" s="161" t="s">
        <v>63</v>
      </c>
      <c r="E228" s="892">
        <f>D224/N227</f>
        <v>4716.7047577539124</v>
      </c>
      <c r="F228" s="892"/>
      <c r="G228" s="5" t="s">
        <v>16</v>
      </c>
      <c r="H228" s="5"/>
      <c r="I228" s="5"/>
      <c r="J228" s="5"/>
      <c r="K228" s="5"/>
      <c r="L228" s="5"/>
      <c r="M228" s="5"/>
      <c r="N228" s="5"/>
      <c r="O228" s="5"/>
      <c r="P228" s="5"/>
      <c r="Q228" s="5"/>
      <c r="R228" s="5"/>
      <c r="S228" s="5"/>
      <c r="T228" s="374"/>
      <c r="U228" s="5"/>
      <c r="V228" s="5"/>
      <c r="W228" s="161"/>
      <c r="X228" s="397"/>
      <c r="Y228" s="397"/>
      <c r="Z228" s="5"/>
      <c r="AA228" s="5"/>
      <c r="AB228" s="5"/>
      <c r="AC228" s="5"/>
      <c r="AD228" s="5"/>
      <c r="AE228" s="5"/>
      <c r="AF228" s="5"/>
      <c r="AG228" s="5"/>
      <c r="AH228" s="5"/>
      <c r="AI228" s="5"/>
      <c r="AJ228" s="5"/>
      <c r="AK228" s="5"/>
      <c r="AL228" s="5"/>
      <c r="AM228" s="5"/>
      <c r="AN228" s="5"/>
      <c r="AO228" s="5"/>
      <c r="AP228" s="161" t="s">
        <v>63</v>
      </c>
      <c r="AQ228" s="892">
        <f>AP224/AZ227</f>
        <v>4716.7047577539106</v>
      </c>
      <c r="AR228" s="892"/>
      <c r="AS228" s="5" t="s">
        <v>16</v>
      </c>
      <c r="AT228" s="5"/>
      <c r="AU228" s="5"/>
      <c r="AV228" s="5"/>
      <c r="AW228" s="5"/>
      <c r="AX228" s="5"/>
      <c r="AY228" s="5"/>
      <c r="AZ228" s="5"/>
      <c r="BA228" s="5"/>
      <c r="BB228" s="5"/>
      <c r="BC228" s="5"/>
      <c r="BD228" s="5"/>
      <c r="BE228" s="373"/>
      <c r="BF228" s="5"/>
      <c r="BG228" s="5"/>
      <c r="BH228" s="5"/>
      <c r="BI228" s="161" t="s">
        <v>63</v>
      </c>
      <c r="BJ228" s="892">
        <f>BI224/BS227</f>
        <v>4716.7047577539106</v>
      </c>
      <c r="BK228" s="892"/>
      <c r="BL228" s="5" t="s">
        <v>16</v>
      </c>
      <c r="BM228" s="5"/>
      <c r="BN228" s="5"/>
      <c r="BO228" s="5"/>
      <c r="BP228" s="5"/>
      <c r="BQ228" s="5"/>
      <c r="BR228" s="5"/>
      <c r="BS228" s="5"/>
      <c r="BT228" s="5"/>
      <c r="BU228" s="5"/>
      <c r="BV228" s="5"/>
      <c r="BW228" s="5"/>
      <c r="BX228" s="373"/>
      <c r="BY228" s="5"/>
      <c r="BZ228" s="5"/>
      <c r="CA228" s="5"/>
      <c r="CB228" s="5"/>
      <c r="CC228" s="5"/>
      <c r="CD228" s="5"/>
      <c r="CE228" s="5"/>
      <c r="CF228" s="5"/>
      <c r="CG228" s="161"/>
      <c r="CH228" s="397"/>
      <c r="CI228" s="397"/>
      <c r="CJ228" s="5"/>
      <c r="CK228" s="5"/>
      <c r="CL228" s="5"/>
      <c r="CM228" s="5"/>
      <c r="CN228" s="5"/>
      <c r="CO228" s="5"/>
      <c r="CP228" s="5"/>
      <c r="CQ228" s="5"/>
      <c r="CR228" s="5"/>
      <c r="CS228" s="5"/>
      <c r="CT228" s="5"/>
      <c r="CU228" s="5"/>
      <c r="CV228" s="5"/>
      <c r="CW228" s="372"/>
      <c r="CX228" s="5"/>
      <c r="CY228" s="5"/>
      <c r="CZ228" s="5"/>
      <c r="DA228" s="161"/>
      <c r="DB228" s="397"/>
      <c r="DC228" s="397"/>
      <c r="DD228" s="5"/>
      <c r="DE228" s="5"/>
      <c r="DF228" s="5"/>
      <c r="DG228" s="5"/>
      <c r="DH228" s="5"/>
      <c r="DI228" s="5"/>
      <c r="DJ228" s="5"/>
      <c r="DK228" s="5"/>
      <c r="DL228" s="5"/>
      <c r="DM228" s="5"/>
      <c r="DN228" s="5"/>
      <c r="DO228" s="5"/>
      <c r="DP228" s="5"/>
      <c r="DR228" s="372"/>
      <c r="DS228" s="5"/>
      <c r="DT228" s="5"/>
      <c r="DU228" s="5"/>
      <c r="DV228" s="161"/>
      <c r="DW228" s="892"/>
      <c r="DX228" s="892"/>
      <c r="DY228" s="5"/>
      <c r="DZ228" s="5"/>
      <c r="EA228" s="5"/>
      <c r="EB228" s="5"/>
      <c r="EC228" s="5"/>
      <c r="ED228" s="5"/>
      <c r="EE228" s="5"/>
      <c r="EF228" s="5"/>
      <c r="EG228" s="5"/>
      <c r="EH228" s="5"/>
      <c r="EI228" s="5"/>
      <c r="EJ228" s="5"/>
      <c r="EK228" s="5"/>
    </row>
    <row r="229" spans="1:141" ht="15" customHeight="1">
      <c r="A229" s="5"/>
      <c r="B229" s="5"/>
      <c r="C229" s="5"/>
      <c r="D229" s="5"/>
      <c r="E229" s="5"/>
      <c r="F229" s="5"/>
      <c r="G229" s="5"/>
      <c r="H229" s="5"/>
      <c r="I229" s="5"/>
      <c r="J229" s="5"/>
      <c r="K229" s="5"/>
      <c r="L229" s="5"/>
      <c r="M229" s="5"/>
      <c r="N229" s="5"/>
      <c r="O229" s="5"/>
      <c r="P229" s="5"/>
      <c r="Q229" s="5"/>
      <c r="R229" s="5"/>
      <c r="S229" s="5"/>
      <c r="T229" s="374"/>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373"/>
      <c r="BF229" s="5"/>
      <c r="BG229" s="5"/>
      <c r="BH229" s="5"/>
      <c r="BI229" s="5"/>
      <c r="BJ229" s="5"/>
      <c r="BK229" s="5"/>
      <c r="BL229" s="5"/>
      <c r="BM229" s="5"/>
      <c r="BN229" s="5"/>
      <c r="BO229" s="5"/>
      <c r="BP229" s="5"/>
      <c r="BQ229" s="5"/>
      <c r="BR229" s="5"/>
      <c r="BS229" s="5"/>
      <c r="BT229" s="5"/>
      <c r="BU229" s="5"/>
      <c r="BV229" s="5"/>
      <c r="BW229" s="5"/>
      <c r="BX229" s="373"/>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372"/>
      <c r="CX229" s="5"/>
      <c r="CY229" s="5"/>
      <c r="CZ229" s="5"/>
      <c r="DA229" s="5"/>
      <c r="DB229" s="5"/>
      <c r="DC229" s="5"/>
      <c r="DD229" s="5"/>
      <c r="DE229" s="5"/>
      <c r="DF229" s="5"/>
      <c r="DG229" s="5"/>
      <c r="DH229" s="5"/>
      <c r="DI229" s="5"/>
      <c r="DJ229" s="5"/>
      <c r="DK229" s="5"/>
      <c r="DL229" s="5"/>
      <c r="DM229" s="5"/>
      <c r="DN229" s="5"/>
      <c r="DO229" s="5"/>
      <c r="DP229" s="5"/>
      <c r="DR229" s="372"/>
      <c r="DS229" s="5"/>
      <c r="DT229" s="5"/>
      <c r="DU229" s="5"/>
      <c r="DV229" s="5"/>
      <c r="DW229" s="5"/>
      <c r="DX229" s="5"/>
      <c r="DY229" s="5"/>
      <c r="DZ229" s="5"/>
      <c r="EA229" s="5"/>
      <c r="EB229" s="5"/>
      <c r="EC229" s="5"/>
      <c r="ED229" s="5"/>
      <c r="EE229" s="5"/>
      <c r="EF229" s="5"/>
      <c r="EG229" s="5"/>
      <c r="EH229" s="5"/>
      <c r="EI229" s="5"/>
      <c r="EJ229" s="5"/>
      <c r="EK229" s="5"/>
    </row>
    <row r="230" spans="1:141" ht="15" customHeight="1">
      <c r="A230" s="935" t="s">
        <v>992</v>
      </c>
      <c r="B230" s="935"/>
      <c r="C230" s="935"/>
      <c r="D230" s="935"/>
      <c r="E230" s="935"/>
      <c r="F230" s="935"/>
      <c r="G230" s="935"/>
      <c r="H230" s="935"/>
      <c r="I230" s="935"/>
      <c r="J230" s="935"/>
      <c r="K230" s="935"/>
      <c r="L230" s="935"/>
      <c r="M230" s="935"/>
      <c r="N230" s="935"/>
      <c r="O230" s="935"/>
      <c r="P230" s="935"/>
      <c r="Q230" s="935"/>
      <c r="R230" s="935"/>
      <c r="S230" s="935"/>
      <c r="T230" s="404"/>
      <c r="U230" s="395"/>
      <c r="V230" s="395"/>
      <c r="W230" s="395"/>
      <c r="X230" s="395"/>
      <c r="Y230" s="395"/>
      <c r="Z230" s="395"/>
      <c r="AA230" s="395"/>
      <c r="AB230" s="395"/>
      <c r="AC230" s="395"/>
      <c r="AD230" s="395"/>
      <c r="AE230" s="395"/>
      <c r="AF230" s="395"/>
      <c r="AG230" s="395"/>
      <c r="AH230" s="395"/>
      <c r="AI230" s="395"/>
      <c r="AJ230" s="395"/>
      <c r="AK230" s="395"/>
      <c r="AL230" s="395"/>
      <c r="AM230" s="935" t="s">
        <v>992</v>
      </c>
      <c r="AN230" s="935"/>
      <c r="AO230" s="935"/>
      <c r="AP230" s="935"/>
      <c r="AQ230" s="935"/>
      <c r="AR230" s="935"/>
      <c r="AS230" s="935"/>
      <c r="AT230" s="935"/>
      <c r="AU230" s="935"/>
      <c r="AV230" s="935"/>
      <c r="AW230" s="935"/>
      <c r="AX230" s="935"/>
      <c r="AY230" s="935"/>
      <c r="AZ230" s="935"/>
      <c r="BA230" s="935"/>
      <c r="BB230" s="935"/>
      <c r="BC230" s="935"/>
      <c r="BD230" s="935"/>
      <c r="BE230" s="935"/>
      <c r="BF230" s="935" t="s">
        <v>992</v>
      </c>
      <c r="BG230" s="935"/>
      <c r="BH230" s="935"/>
      <c r="BI230" s="935"/>
      <c r="BJ230" s="935"/>
      <c r="BK230" s="935"/>
      <c r="BL230" s="935"/>
      <c r="BM230" s="935"/>
      <c r="BN230" s="935"/>
      <c r="BO230" s="935"/>
      <c r="BP230" s="935"/>
      <c r="BQ230" s="935"/>
      <c r="BR230" s="935"/>
      <c r="BS230" s="935"/>
      <c r="BT230" s="935"/>
      <c r="BU230" s="935"/>
      <c r="BV230" s="935"/>
      <c r="BW230" s="935"/>
      <c r="BX230" s="935"/>
      <c r="BY230" s="404"/>
      <c r="BZ230" s="404"/>
      <c r="CA230" s="404"/>
      <c r="CB230" s="404"/>
      <c r="CC230" s="404"/>
      <c r="CD230" s="395"/>
      <c r="CE230" s="395"/>
      <c r="CF230" s="395"/>
      <c r="CG230" s="395"/>
      <c r="CH230" s="395"/>
      <c r="CI230" s="395"/>
      <c r="CJ230" s="395"/>
      <c r="CK230" s="395"/>
      <c r="CL230" s="395"/>
      <c r="CM230" s="395"/>
      <c r="CN230" s="395"/>
      <c r="CO230" s="395"/>
      <c r="CP230" s="395"/>
      <c r="CQ230" s="395"/>
      <c r="CR230" s="395"/>
      <c r="CS230" s="395"/>
      <c r="CT230" s="395"/>
      <c r="CU230" s="395"/>
      <c r="CV230" s="395"/>
      <c r="CW230" s="372"/>
      <c r="CX230" s="395"/>
      <c r="CY230" s="395"/>
      <c r="CZ230" s="395"/>
      <c r="DA230" s="395"/>
      <c r="DB230" s="395"/>
      <c r="DC230" s="395"/>
      <c r="DD230" s="395"/>
      <c r="DE230" s="395"/>
      <c r="DF230" s="395"/>
      <c r="DG230" s="395"/>
      <c r="DH230" s="395"/>
      <c r="DI230" s="395"/>
      <c r="DJ230" s="395"/>
      <c r="DK230" s="395"/>
      <c r="DL230" s="395"/>
      <c r="DM230" s="395"/>
      <c r="DN230" s="395"/>
      <c r="DO230" s="395"/>
      <c r="DP230" s="395"/>
      <c r="DR230" s="372"/>
      <c r="DS230" s="935"/>
      <c r="DT230" s="935"/>
      <c r="DU230" s="935"/>
      <c r="DV230" s="935"/>
      <c r="DW230" s="935"/>
      <c r="DX230" s="935"/>
      <c r="DY230" s="935"/>
      <c r="DZ230" s="935"/>
      <c r="EA230" s="935"/>
      <c r="EB230" s="935"/>
      <c r="EC230" s="935"/>
      <c r="ED230" s="935"/>
      <c r="EE230" s="935"/>
      <c r="EF230" s="935"/>
      <c r="EG230" s="935"/>
      <c r="EH230" s="935"/>
      <c r="EI230" s="935"/>
      <c r="EJ230" s="935"/>
      <c r="EK230" s="935"/>
    </row>
    <row r="231" spans="1:141">
      <c r="A231" s="935"/>
      <c r="B231" s="935"/>
      <c r="C231" s="935"/>
      <c r="D231" s="935"/>
      <c r="E231" s="935"/>
      <c r="F231" s="935"/>
      <c r="G231" s="935"/>
      <c r="H231" s="935"/>
      <c r="I231" s="935"/>
      <c r="J231" s="935"/>
      <c r="K231" s="935"/>
      <c r="L231" s="935"/>
      <c r="M231" s="935"/>
      <c r="N231" s="935"/>
      <c r="O231" s="935"/>
      <c r="P231" s="935"/>
      <c r="Q231" s="935"/>
      <c r="R231" s="935"/>
      <c r="S231" s="935"/>
      <c r="T231" s="404"/>
      <c r="U231" s="395"/>
      <c r="V231" s="395"/>
      <c r="W231" s="395"/>
      <c r="X231" s="395"/>
      <c r="Y231" s="395"/>
      <c r="Z231" s="395"/>
      <c r="AA231" s="395"/>
      <c r="AB231" s="395"/>
      <c r="AC231" s="395"/>
      <c r="AD231" s="395"/>
      <c r="AE231" s="395"/>
      <c r="AF231" s="395"/>
      <c r="AG231" s="395"/>
      <c r="AH231" s="395"/>
      <c r="AI231" s="395"/>
      <c r="AJ231" s="395"/>
      <c r="AK231" s="395"/>
      <c r="AL231" s="395"/>
      <c r="AM231" s="935"/>
      <c r="AN231" s="935"/>
      <c r="AO231" s="935"/>
      <c r="AP231" s="935"/>
      <c r="AQ231" s="935"/>
      <c r="AR231" s="935"/>
      <c r="AS231" s="935"/>
      <c r="AT231" s="935"/>
      <c r="AU231" s="935"/>
      <c r="AV231" s="935"/>
      <c r="AW231" s="935"/>
      <c r="AX231" s="935"/>
      <c r="AY231" s="935"/>
      <c r="AZ231" s="935"/>
      <c r="BA231" s="935"/>
      <c r="BB231" s="935"/>
      <c r="BC231" s="935"/>
      <c r="BD231" s="935"/>
      <c r="BE231" s="935"/>
      <c r="BF231" s="935"/>
      <c r="BG231" s="935"/>
      <c r="BH231" s="935"/>
      <c r="BI231" s="935"/>
      <c r="BJ231" s="935"/>
      <c r="BK231" s="935"/>
      <c r="BL231" s="935"/>
      <c r="BM231" s="935"/>
      <c r="BN231" s="935"/>
      <c r="BO231" s="935"/>
      <c r="BP231" s="935"/>
      <c r="BQ231" s="935"/>
      <c r="BR231" s="935"/>
      <c r="BS231" s="935"/>
      <c r="BT231" s="935"/>
      <c r="BU231" s="935"/>
      <c r="BV231" s="935"/>
      <c r="BW231" s="935"/>
      <c r="BX231" s="935"/>
      <c r="BY231" s="404"/>
      <c r="BZ231" s="404"/>
      <c r="CA231" s="404"/>
      <c r="CB231" s="404"/>
      <c r="CC231" s="404"/>
      <c r="CD231" s="395"/>
      <c r="CE231" s="395"/>
      <c r="CF231" s="395"/>
      <c r="CG231" s="395"/>
      <c r="CH231" s="395"/>
      <c r="CI231" s="395"/>
      <c r="CJ231" s="395"/>
      <c r="CK231" s="395"/>
      <c r="CL231" s="395"/>
      <c r="CM231" s="395"/>
      <c r="CN231" s="395"/>
      <c r="CO231" s="395"/>
      <c r="CP231" s="395"/>
      <c r="CQ231" s="395"/>
      <c r="CR231" s="395"/>
      <c r="CS231" s="395"/>
      <c r="CT231" s="395"/>
      <c r="CU231" s="395"/>
      <c r="CV231" s="395"/>
      <c r="CW231" s="372"/>
      <c r="CX231" s="395"/>
      <c r="CY231" s="395"/>
      <c r="CZ231" s="395"/>
      <c r="DA231" s="395"/>
      <c r="DB231" s="395"/>
      <c r="DC231" s="395"/>
      <c r="DD231" s="395"/>
      <c r="DE231" s="395"/>
      <c r="DF231" s="395"/>
      <c r="DG231" s="395"/>
      <c r="DH231" s="395"/>
      <c r="DI231" s="395"/>
      <c r="DJ231" s="395"/>
      <c r="DK231" s="395"/>
      <c r="DL231" s="395"/>
      <c r="DM231" s="395"/>
      <c r="DN231" s="395"/>
      <c r="DO231" s="395"/>
      <c r="DP231" s="395"/>
      <c r="DR231" s="372"/>
      <c r="DS231" s="935"/>
      <c r="DT231" s="935"/>
      <c r="DU231" s="935"/>
      <c r="DV231" s="935"/>
      <c r="DW231" s="935"/>
      <c r="DX231" s="935"/>
      <c r="DY231" s="935"/>
      <c r="DZ231" s="935"/>
      <c r="EA231" s="935"/>
      <c r="EB231" s="935"/>
      <c r="EC231" s="935"/>
      <c r="ED231" s="935"/>
      <c r="EE231" s="935"/>
      <c r="EF231" s="935"/>
      <c r="EG231" s="935"/>
      <c r="EH231" s="935"/>
      <c r="EI231" s="935"/>
      <c r="EJ231" s="935"/>
      <c r="EK231" s="935"/>
    </row>
    <row r="232" spans="1:141">
      <c r="A232" s="369" t="s">
        <v>989</v>
      </c>
      <c r="B232" s="5"/>
      <c r="C232" s="5"/>
      <c r="D232" s="161" t="s">
        <v>63</v>
      </c>
      <c r="E232" s="369" t="s">
        <v>993</v>
      </c>
      <c r="F232" s="5"/>
      <c r="G232" s="5"/>
      <c r="H232" s="5"/>
      <c r="I232" s="5"/>
      <c r="J232" s="5"/>
      <c r="K232" s="5"/>
      <c r="L232" s="5"/>
      <c r="M232" s="5"/>
      <c r="N232" s="5"/>
      <c r="O232" s="5"/>
      <c r="P232" s="5"/>
      <c r="Q232" s="5"/>
      <c r="R232" s="5"/>
      <c r="S232" s="5"/>
      <c r="U232" s="5"/>
      <c r="V232" s="5"/>
      <c r="W232" s="161"/>
      <c r="Y232" s="5"/>
      <c r="Z232" s="5"/>
      <c r="AA232" s="5"/>
      <c r="AB232" s="5"/>
      <c r="AC232" s="5"/>
      <c r="AD232" s="5"/>
      <c r="AE232" s="5"/>
      <c r="AF232" s="5"/>
      <c r="AG232" s="5"/>
      <c r="AH232" s="5"/>
      <c r="AI232" s="5"/>
      <c r="AJ232" s="5"/>
      <c r="AK232" s="5"/>
      <c r="AL232" s="5"/>
      <c r="AM232" s="369" t="s">
        <v>989</v>
      </c>
      <c r="AN232" s="5"/>
      <c r="AO232" s="5"/>
      <c r="AP232" s="161" t="s">
        <v>63</v>
      </c>
      <c r="AQ232" s="369" t="s">
        <v>993</v>
      </c>
      <c r="AR232" s="5"/>
      <c r="AS232" s="5"/>
      <c r="AT232" s="5"/>
      <c r="AU232" s="5"/>
      <c r="AV232" s="5"/>
      <c r="AW232" s="5"/>
      <c r="AX232" s="5"/>
      <c r="AY232" s="5"/>
      <c r="AZ232" s="5"/>
      <c r="BA232" s="5"/>
      <c r="BB232" s="5"/>
      <c r="BC232" s="5"/>
      <c r="BD232" s="5"/>
      <c r="BE232" s="373"/>
      <c r="BF232" s="369" t="s">
        <v>989</v>
      </c>
      <c r="BG232" s="5"/>
      <c r="BH232" s="5"/>
      <c r="BI232" s="161" t="s">
        <v>63</v>
      </c>
      <c r="BJ232" s="369" t="s">
        <v>993</v>
      </c>
      <c r="BK232" s="5"/>
      <c r="BL232" s="5"/>
      <c r="BM232" s="5"/>
      <c r="BN232" s="5"/>
      <c r="BO232" s="5"/>
      <c r="BP232" s="5"/>
      <c r="BQ232" s="5"/>
      <c r="BR232" s="5"/>
      <c r="BS232" s="5"/>
      <c r="BT232" s="5"/>
      <c r="BU232" s="5"/>
      <c r="BV232" s="5"/>
      <c r="BW232" s="5"/>
      <c r="BX232" s="373"/>
      <c r="BY232" s="5"/>
      <c r="BZ232" s="5"/>
      <c r="CA232" s="5"/>
      <c r="CB232" s="5"/>
      <c r="CC232" s="5"/>
      <c r="CE232" s="5"/>
      <c r="CF232" s="5"/>
      <c r="CG232" s="161"/>
      <c r="CI232" s="5"/>
      <c r="CJ232" s="5"/>
      <c r="CK232" s="5"/>
      <c r="CL232" s="5"/>
      <c r="CM232" s="5"/>
      <c r="CN232" s="5"/>
      <c r="CO232" s="5"/>
      <c r="CP232" s="5"/>
      <c r="CQ232" s="5"/>
      <c r="CR232" s="5"/>
      <c r="CS232" s="5"/>
      <c r="CT232" s="5"/>
      <c r="CU232" s="5"/>
      <c r="CV232" s="5"/>
      <c r="CW232" s="372"/>
      <c r="CY232" s="5"/>
      <c r="CZ232" s="5"/>
      <c r="DA232" s="161"/>
      <c r="DC232" s="5"/>
      <c r="DD232" s="5"/>
      <c r="DE232" s="5"/>
      <c r="DF232" s="5"/>
      <c r="DG232" s="5"/>
      <c r="DH232" s="5"/>
      <c r="DI232" s="5"/>
      <c r="DJ232" s="5"/>
      <c r="DK232" s="5"/>
      <c r="DL232" s="5"/>
      <c r="DM232" s="5"/>
      <c r="DN232" s="5"/>
      <c r="DO232" s="5"/>
      <c r="DP232" s="5"/>
      <c r="DR232" s="372"/>
      <c r="DT232" s="5"/>
      <c r="DU232" s="5"/>
      <c r="DV232" s="161"/>
      <c r="DX232" s="5"/>
      <c r="DY232" s="5"/>
      <c r="DZ232" s="5"/>
      <c r="EA232" s="5"/>
      <c r="EB232" s="5"/>
      <c r="EC232" s="5"/>
      <c r="ED232" s="5"/>
      <c r="EE232" s="5"/>
      <c r="EF232" s="5"/>
      <c r="EG232" s="5"/>
      <c r="EH232" s="5"/>
      <c r="EI232" s="5"/>
      <c r="EJ232" s="5"/>
      <c r="EK232" s="5"/>
    </row>
    <row r="233" spans="1:141" ht="16.2">
      <c r="A233" s="5"/>
      <c r="B233" s="5"/>
      <c r="C233" s="5"/>
      <c r="D233" s="161" t="s">
        <v>63</v>
      </c>
      <c r="E233" s="716">
        <f>E228+(4%*E228)</f>
        <v>4905.3729480640686</v>
      </c>
      <c r="F233" s="716"/>
      <c r="G233" s="5" t="s">
        <v>16</v>
      </c>
      <c r="H233" s="5" t="s">
        <v>430</v>
      </c>
      <c r="I233" s="373">
        <f>E233*N227</f>
        <v>5028.0072717656703</v>
      </c>
      <c r="J233" s="5" t="s">
        <v>26</v>
      </c>
      <c r="K233" s="5"/>
      <c r="L233" s="5"/>
      <c r="M233" s="5"/>
      <c r="N233" s="5"/>
      <c r="O233" s="5"/>
      <c r="P233" s="5"/>
      <c r="Q233" s="5"/>
      <c r="R233" s="5"/>
      <c r="S233" s="5"/>
      <c r="T233" s="374"/>
      <c r="U233" s="5"/>
      <c r="V233" s="5"/>
      <c r="W233" s="161"/>
      <c r="X233" s="5"/>
      <c r="Y233" s="5"/>
      <c r="Z233" s="5"/>
      <c r="AA233" s="5"/>
      <c r="AB233" s="5"/>
      <c r="AC233" s="5"/>
      <c r="AD233" s="5"/>
      <c r="AE233" s="5"/>
      <c r="AF233" s="5"/>
      <c r="AG233" s="5"/>
      <c r="AH233" s="5"/>
      <c r="AI233" s="5"/>
      <c r="AJ233" s="5"/>
      <c r="AK233" s="5"/>
      <c r="AL233" s="5"/>
      <c r="AM233" s="5"/>
      <c r="AN233" s="5"/>
      <c r="AO233" s="5"/>
      <c r="AP233" s="161" t="s">
        <v>63</v>
      </c>
      <c r="AQ233" s="716">
        <f>AQ228+(4%*AQ228)</f>
        <v>4905.3729480640668</v>
      </c>
      <c r="AR233" s="716"/>
      <c r="AS233" s="5" t="s">
        <v>16</v>
      </c>
      <c r="AT233" s="5" t="s">
        <v>430</v>
      </c>
      <c r="AU233" s="5">
        <f>AQ233*AZ227</f>
        <v>5028.0072717656676</v>
      </c>
      <c r="AV233" s="5" t="s">
        <v>26</v>
      </c>
      <c r="AW233" s="5"/>
      <c r="AX233" s="5"/>
      <c r="AY233" s="5"/>
      <c r="AZ233" s="5"/>
      <c r="BA233" s="5"/>
      <c r="BB233" s="5"/>
      <c r="BC233" s="5"/>
      <c r="BD233" s="5"/>
      <c r="BE233" s="373"/>
      <c r="BF233" s="5"/>
      <c r="BG233" s="5"/>
      <c r="BH233" s="5"/>
      <c r="BI233" s="161" t="s">
        <v>63</v>
      </c>
      <c r="BJ233" s="716">
        <f>BJ228+(4%*BJ228)</f>
        <v>4905.3729480640668</v>
      </c>
      <c r="BK233" s="716"/>
      <c r="BL233" s="5" t="s">
        <v>16</v>
      </c>
      <c r="BM233" s="5" t="s">
        <v>430</v>
      </c>
      <c r="BN233" s="5">
        <f>BJ233*BS227</f>
        <v>5028.0072717656676</v>
      </c>
      <c r="BO233" s="5" t="s">
        <v>26</v>
      </c>
      <c r="BP233" s="5"/>
      <c r="BQ233" s="5"/>
      <c r="BR233" s="5"/>
      <c r="BS233" s="5"/>
      <c r="BT233" s="5"/>
      <c r="BU233" s="5"/>
      <c r="BV233" s="5"/>
      <c r="BW233" s="5"/>
      <c r="BX233" s="373"/>
      <c r="BY233" s="5"/>
      <c r="BZ233" s="5"/>
      <c r="CA233" s="5"/>
      <c r="CB233" s="5"/>
      <c r="CC233" s="5"/>
      <c r="CD233" s="5"/>
      <c r="CE233" s="5"/>
      <c r="CF233" s="5"/>
      <c r="CG233" s="161"/>
      <c r="CH233" s="5"/>
      <c r="CI233" s="5"/>
      <c r="CJ233" s="5"/>
      <c r="CK233" s="5"/>
      <c r="CL233" s="5"/>
      <c r="CM233" s="5"/>
      <c r="CN233" s="5"/>
      <c r="CO233" s="5"/>
      <c r="CP233" s="5"/>
      <c r="CQ233" s="5"/>
      <c r="CR233" s="5"/>
      <c r="CS233" s="5"/>
      <c r="CT233" s="5"/>
      <c r="CU233" s="5"/>
      <c r="CV233" s="5"/>
      <c r="CW233" s="372"/>
      <c r="CX233" s="5"/>
      <c r="CY233" s="5"/>
      <c r="CZ233" s="5"/>
      <c r="DA233" s="161"/>
      <c r="DB233" s="5"/>
      <c r="DC233" s="5"/>
      <c r="DD233" s="5"/>
      <c r="DE233" s="5"/>
      <c r="DF233" s="5"/>
      <c r="DG233" s="5"/>
      <c r="DH233" s="5"/>
      <c r="DI233" s="5"/>
      <c r="DJ233" s="5"/>
      <c r="DK233" s="5"/>
      <c r="DL233" s="5"/>
      <c r="DM233" s="5"/>
      <c r="DN233" s="5"/>
      <c r="DO233" s="5"/>
      <c r="DP233" s="5"/>
      <c r="DR233" s="372"/>
      <c r="DS233" s="5"/>
      <c r="DT233" s="5"/>
      <c r="DU233" s="5"/>
      <c r="DV233" s="161"/>
      <c r="DW233" s="716"/>
      <c r="DX233" s="716"/>
      <c r="DY233" s="5"/>
      <c r="DZ233" s="5"/>
      <c r="EA233" s="5"/>
      <c r="EB233" s="5"/>
      <c r="EC233" s="5"/>
      <c r="ED233" s="5"/>
      <c r="EE233" s="5"/>
      <c r="EF233" s="5"/>
      <c r="EG233" s="5"/>
      <c r="EH233" s="5"/>
      <c r="EI233" s="5"/>
      <c r="EJ233" s="5"/>
      <c r="EK233" s="5"/>
    </row>
    <row r="234" spans="1:141">
      <c r="A234" s="925" t="s">
        <v>994</v>
      </c>
      <c r="B234" s="926"/>
      <c r="C234" s="926"/>
      <c r="D234" s="926"/>
      <c r="E234" s="926"/>
      <c r="F234" s="926"/>
      <c r="G234" s="926"/>
      <c r="H234" s="926"/>
      <c r="I234" s="926"/>
      <c r="J234" s="926"/>
      <c r="K234" s="926"/>
      <c r="L234" s="926"/>
      <c r="M234" s="926"/>
      <c r="N234" s="926"/>
      <c r="O234" s="926"/>
      <c r="P234" s="926"/>
      <c r="Q234" s="926"/>
      <c r="R234" s="926"/>
      <c r="S234" s="926"/>
      <c r="T234" s="434"/>
      <c r="U234" s="371"/>
      <c r="V234" s="371"/>
      <c r="W234" s="371"/>
      <c r="X234" s="371"/>
      <c r="Y234" s="371"/>
      <c r="Z234" s="371"/>
      <c r="AA234" s="371"/>
      <c r="AB234" s="371"/>
      <c r="AC234" s="371"/>
      <c r="AD234" s="371"/>
      <c r="AE234" s="371"/>
      <c r="AF234" s="371"/>
      <c r="AG234" s="371"/>
      <c r="AH234" s="371"/>
      <c r="AI234" s="371"/>
      <c r="AJ234" s="371"/>
      <c r="AK234" s="371"/>
      <c r="AL234" s="371"/>
      <c r="AM234" s="927" t="s">
        <v>994</v>
      </c>
      <c r="AN234" s="927"/>
      <c r="AO234" s="927"/>
      <c r="AP234" s="927"/>
      <c r="AQ234" s="927"/>
      <c r="AR234" s="927"/>
      <c r="AS234" s="927"/>
      <c r="AT234" s="927"/>
      <c r="AU234" s="927"/>
      <c r="AV234" s="927"/>
      <c r="AW234" s="927"/>
      <c r="AX234" s="927"/>
      <c r="AY234" s="927"/>
      <c r="AZ234" s="927"/>
      <c r="BA234" s="927"/>
      <c r="BB234" s="927"/>
      <c r="BC234" s="927"/>
      <c r="BD234" s="927"/>
      <c r="BE234" s="928"/>
      <c r="BF234" s="929" t="s">
        <v>994</v>
      </c>
      <c r="BG234" s="927"/>
      <c r="BH234" s="927"/>
      <c r="BI234" s="927"/>
      <c r="BJ234" s="927"/>
      <c r="BK234" s="927"/>
      <c r="BL234" s="927"/>
      <c r="BM234" s="927"/>
      <c r="BN234" s="927"/>
      <c r="BO234" s="927"/>
      <c r="BP234" s="927"/>
      <c r="BQ234" s="927"/>
      <c r="BR234" s="927"/>
      <c r="BS234" s="927"/>
      <c r="BT234" s="927"/>
      <c r="BU234" s="927"/>
      <c r="BV234" s="927"/>
      <c r="BW234" s="927"/>
      <c r="BX234" s="928"/>
      <c r="BY234" s="391"/>
      <c r="BZ234" s="391"/>
      <c r="CA234" s="391"/>
      <c r="CB234" s="391"/>
      <c r="CC234" s="391"/>
      <c r="CD234" s="371"/>
      <c r="CE234" s="371"/>
      <c r="CF234" s="371"/>
      <c r="CG234" s="371"/>
      <c r="CH234" s="371"/>
      <c r="CI234" s="371"/>
      <c r="CJ234" s="371"/>
      <c r="CK234" s="371"/>
      <c r="CL234" s="371"/>
      <c r="CM234" s="371"/>
      <c r="CN234" s="371"/>
      <c r="CO234" s="371"/>
      <c r="CP234" s="371"/>
      <c r="CQ234" s="371"/>
      <c r="CR234" s="371"/>
      <c r="CS234" s="371"/>
      <c r="CT234" s="371"/>
      <c r="CU234" s="371"/>
      <c r="CV234" s="371"/>
      <c r="CW234" s="372"/>
      <c r="CX234" s="371"/>
      <c r="CY234" s="371"/>
      <c r="CZ234" s="371"/>
      <c r="DA234" s="371"/>
      <c r="DB234" s="371"/>
      <c r="DC234" s="371"/>
      <c r="DD234" s="371"/>
      <c r="DE234" s="371"/>
      <c r="DF234" s="371"/>
      <c r="DG234" s="371"/>
      <c r="DH234" s="371"/>
      <c r="DI234" s="371"/>
      <c r="DJ234" s="371"/>
      <c r="DK234" s="371"/>
      <c r="DL234" s="371"/>
      <c r="DM234" s="371"/>
      <c r="DN234" s="371"/>
      <c r="DO234" s="371"/>
      <c r="DP234" s="371"/>
      <c r="DR234" s="372"/>
      <c r="DS234" s="888"/>
      <c r="DT234" s="888"/>
      <c r="DU234" s="888"/>
      <c r="DV234" s="888"/>
      <c r="DW234" s="888"/>
      <c r="DX234" s="888"/>
      <c r="DY234" s="888"/>
      <c r="DZ234" s="888"/>
      <c r="EA234" s="888"/>
      <c r="EB234" s="888"/>
      <c r="EC234" s="888"/>
      <c r="ED234" s="888"/>
      <c r="EE234" s="888"/>
      <c r="EF234" s="888"/>
      <c r="EG234" s="888"/>
      <c r="EH234" s="888"/>
      <c r="EI234" s="888"/>
      <c r="EJ234" s="888"/>
      <c r="EK234" s="888"/>
    </row>
    <row r="235" spans="1:141">
      <c r="A235" s="5" t="s">
        <v>140</v>
      </c>
      <c r="B235" s="5"/>
      <c r="C235" s="161" t="s">
        <v>63</v>
      </c>
      <c r="D235" s="369" t="s">
        <v>995</v>
      </c>
      <c r="E235" s="5"/>
      <c r="F235" s="5"/>
      <c r="G235" s="5"/>
      <c r="H235" s="5"/>
      <c r="I235" s="5"/>
      <c r="J235" s="5"/>
      <c r="K235" s="5"/>
      <c r="L235" s="5"/>
      <c r="M235" s="5"/>
      <c r="N235" s="5"/>
      <c r="O235" s="5"/>
      <c r="P235" s="5"/>
      <c r="Q235" s="5"/>
      <c r="R235" s="5"/>
      <c r="S235" s="5"/>
      <c r="T235" s="374"/>
      <c r="U235" s="5"/>
      <c r="V235" s="161"/>
      <c r="X235" s="5"/>
      <c r="Y235" s="5"/>
      <c r="Z235" s="5"/>
      <c r="AA235" s="5"/>
      <c r="AB235" s="5"/>
      <c r="AC235" s="5"/>
      <c r="AD235" s="5"/>
      <c r="AE235" s="5"/>
      <c r="AF235" s="5"/>
      <c r="AG235" s="5"/>
      <c r="AH235" s="5"/>
      <c r="AI235" s="5"/>
      <c r="AJ235" s="5"/>
      <c r="AK235" s="5"/>
      <c r="AL235" s="5"/>
      <c r="AM235" s="5" t="s">
        <v>140</v>
      </c>
      <c r="AN235" s="5"/>
      <c r="AO235" s="161" t="s">
        <v>63</v>
      </c>
      <c r="AP235" s="369" t="s">
        <v>995</v>
      </c>
      <c r="AQ235" s="5"/>
      <c r="AR235" s="5"/>
      <c r="AS235" s="5"/>
      <c r="AT235" s="5"/>
      <c r="AU235" s="5"/>
      <c r="AV235" s="5"/>
      <c r="AW235" s="5"/>
      <c r="AX235" s="5"/>
      <c r="AY235" s="5"/>
      <c r="AZ235" s="5"/>
      <c r="BA235" s="5"/>
      <c r="BB235" s="5"/>
      <c r="BC235" s="5"/>
      <c r="BD235" s="5"/>
      <c r="BE235" s="373"/>
      <c r="BF235" s="5" t="s">
        <v>140</v>
      </c>
      <c r="BG235" s="5"/>
      <c r="BH235" s="161" t="s">
        <v>63</v>
      </c>
      <c r="BI235" s="369" t="s">
        <v>995</v>
      </c>
      <c r="BJ235" s="5"/>
      <c r="BK235" s="5"/>
      <c r="BL235" s="5"/>
      <c r="BM235" s="5"/>
      <c r="BN235" s="5"/>
      <c r="BO235" s="5"/>
      <c r="BP235" s="5"/>
      <c r="BQ235" s="5"/>
      <c r="BR235" s="5"/>
      <c r="BS235" s="5"/>
      <c r="BT235" s="5"/>
      <c r="BU235" s="5"/>
      <c r="BV235" s="5"/>
      <c r="BW235" s="5"/>
      <c r="BX235" s="373"/>
      <c r="BY235" s="5"/>
      <c r="BZ235" s="5"/>
      <c r="CA235" s="5"/>
      <c r="CB235" s="5"/>
      <c r="CC235" s="5"/>
      <c r="CD235" s="5"/>
      <c r="CE235" s="5"/>
      <c r="CF235" s="161"/>
      <c r="CH235" s="5"/>
      <c r="CI235" s="5"/>
      <c r="CJ235" s="5"/>
      <c r="CK235" s="5"/>
      <c r="CL235" s="5"/>
      <c r="CM235" s="5"/>
      <c r="CN235" s="5"/>
      <c r="CO235" s="5"/>
      <c r="CP235" s="5"/>
      <c r="CQ235" s="5"/>
      <c r="CR235" s="5"/>
      <c r="CS235" s="5"/>
      <c r="CT235" s="5"/>
      <c r="CU235" s="5"/>
      <c r="CV235" s="5"/>
      <c r="CW235" s="372"/>
      <c r="CX235" s="5"/>
      <c r="CY235" s="5"/>
      <c r="CZ235" s="161"/>
      <c r="DB235" s="5"/>
      <c r="DC235" s="5"/>
      <c r="DD235" s="5"/>
      <c r="DE235" s="5"/>
      <c r="DF235" s="5"/>
      <c r="DG235" s="5"/>
      <c r="DH235" s="5"/>
      <c r="DI235" s="5"/>
      <c r="DJ235" s="5"/>
      <c r="DK235" s="5"/>
      <c r="DL235" s="5"/>
      <c r="DM235" s="5"/>
      <c r="DN235" s="5"/>
      <c r="DO235" s="5"/>
      <c r="DP235" s="5"/>
      <c r="DR235" s="372"/>
      <c r="DS235" s="5"/>
      <c r="DT235" s="5"/>
      <c r="DU235" s="161"/>
      <c r="DW235" s="5"/>
      <c r="DX235" s="5"/>
      <c r="DY235" s="5"/>
      <c r="DZ235" s="5"/>
      <c r="EA235" s="5"/>
      <c r="EB235" s="5"/>
      <c r="EC235" s="5"/>
      <c r="ED235" s="5"/>
      <c r="EE235" s="5"/>
      <c r="EF235" s="5"/>
      <c r="EG235" s="5"/>
      <c r="EH235" s="5"/>
      <c r="EI235" s="5"/>
      <c r="EJ235" s="5"/>
      <c r="EK235" s="5"/>
    </row>
    <row r="236" spans="1:141">
      <c r="A236" s="5"/>
      <c r="B236" s="5"/>
      <c r="C236" s="161" t="s">
        <v>63</v>
      </c>
      <c r="D236" s="932">
        <f>C221-D216</f>
        <v>18102.288672596816</v>
      </c>
      <c r="E236" s="933"/>
      <c r="F236" s="5" t="s">
        <v>361</v>
      </c>
      <c r="G236" s="5"/>
      <c r="H236" s="5"/>
      <c r="I236" s="5"/>
      <c r="J236" s="5"/>
      <c r="K236" s="5"/>
      <c r="L236" s="5"/>
      <c r="M236" s="5"/>
      <c r="N236" s="5"/>
      <c r="O236" s="5"/>
      <c r="P236" s="5"/>
      <c r="Q236" s="5"/>
      <c r="R236" s="5"/>
      <c r="S236" s="5"/>
      <c r="T236" s="374"/>
      <c r="U236" s="5"/>
      <c r="V236" s="161"/>
      <c r="W236" s="426"/>
      <c r="X236" s="389"/>
      <c r="Y236" s="5"/>
      <c r="Z236" s="5"/>
      <c r="AA236" s="5"/>
      <c r="AB236" s="5"/>
      <c r="AC236" s="5"/>
      <c r="AD236" s="5"/>
      <c r="AE236" s="5"/>
      <c r="AF236" s="5"/>
      <c r="AG236" s="5"/>
      <c r="AH236" s="5"/>
      <c r="AI236" s="5"/>
      <c r="AJ236" s="5"/>
      <c r="AK236" s="5"/>
      <c r="AL236" s="5"/>
      <c r="AM236" s="5"/>
      <c r="AN236" s="5"/>
      <c r="AO236" s="161" t="s">
        <v>63</v>
      </c>
      <c r="AP236" s="931">
        <f>AO221-AP216</f>
        <v>19693.352097291849</v>
      </c>
      <c r="AQ236" s="934"/>
      <c r="AR236" s="5" t="s">
        <v>361</v>
      </c>
      <c r="AS236" s="5"/>
      <c r="AT236" s="5"/>
      <c r="AU236" s="5"/>
      <c r="AV236" s="5"/>
      <c r="AW236" s="5"/>
      <c r="AX236" s="5"/>
      <c r="AY236" s="5"/>
      <c r="AZ236" s="5"/>
      <c r="BA236" s="5"/>
      <c r="BB236" s="5"/>
      <c r="BC236" s="5"/>
      <c r="BD236" s="5"/>
      <c r="BE236" s="373"/>
      <c r="BF236" s="5"/>
      <c r="BG236" s="5"/>
      <c r="BH236" s="161" t="s">
        <v>63</v>
      </c>
      <c r="BI236" s="931">
        <f>BH221-BI216</f>
        <v>19538.379050495321</v>
      </c>
      <c r="BJ236" s="934"/>
      <c r="BK236" s="5" t="s">
        <v>361</v>
      </c>
      <c r="BL236" s="5"/>
      <c r="BM236" s="5"/>
      <c r="BN236" s="5"/>
      <c r="BO236" s="5"/>
      <c r="BP236" s="5"/>
      <c r="BQ236" s="5"/>
      <c r="BR236" s="5"/>
      <c r="BS236" s="5"/>
      <c r="BT236" s="5"/>
      <c r="BU236" s="5"/>
      <c r="BV236" s="5"/>
      <c r="BW236" s="5"/>
      <c r="BX236" s="373"/>
      <c r="BY236" s="5"/>
      <c r="BZ236" s="5"/>
      <c r="CA236" s="5"/>
      <c r="CB236" s="5"/>
      <c r="CC236" s="5"/>
      <c r="CD236" s="5"/>
      <c r="CE236" s="5"/>
      <c r="CF236" s="161"/>
      <c r="CG236" s="377"/>
      <c r="CH236" s="392"/>
      <c r="CI236" s="5"/>
      <c r="CJ236" s="5"/>
      <c r="CK236" s="5"/>
      <c r="CL236" s="5"/>
      <c r="CM236" s="5"/>
      <c r="CN236" s="5"/>
      <c r="CO236" s="5"/>
      <c r="CP236" s="5"/>
      <c r="CQ236" s="5"/>
      <c r="CR236" s="5"/>
      <c r="CS236" s="5"/>
      <c r="CT236" s="5"/>
      <c r="CU236" s="5"/>
      <c r="CV236" s="5"/>
      <c r="CW236" s="372"/>
      <c r="CX236" s="5"/>
      <c r="CY236" s="5"/>
      <c r="CZ236" s="161"/>
      <c r="DA236" s="377"/>
      <c r="DB236" s="392"/>
      <c r="DC236" s="5"/>
      <c r="DD236" s="5"/>
      <c r="DE236" s="5"/>
      <c r="DF236" s="5"/>
      <c r="DG236" s="5"/>
      <c r="DH236" s="5"/>
      <c r="DI236" s="5"/>
      <c r="DJ236" s="5"/>
      <c r="DK236" s="5"/>
      <c r="DL236" s="5"/>
      <c r="DM236" s="5"/>
      <c r="DN236" s="5"/>
      <c r="DO236" s="5"/>
      <c r="DP236" s="5"/>
      <c r="DR236" s="372"/>
      <c r="DS236" s="5"/>
      <c r="DT236" s="5"/>
      <c r="DU236" s="161"/>
      <c r="DV236" s="910"/>
      <c r="DW236" s="890"/>
      <c r="DX236" s="5"/>
      <c r="DY236" s="5"/>
      <c r="DZ236" s="5"/>
      <c r="EA236" s="5"/>
      <c r="EB236" s="5"/>
      <c r="EC236" s="5"/>
      <c r="ED236" s="5"/>
      <c r="EE236" s="5"/>
      <c r="EF236" s="5"/>
      <c r="EG236" s="5"/>
      <c r="EH236" s="5"/>
      <c r="EI236" s="5"/>
      <c r="EJ236" s="5"/>
      <c r="EK236" s="5"/>
    </row>
    <row r="237" spans="1:141">
      <c r="A237" s="5"/>
      <c r="B237" s="5"/>
      <c r="C237" s="5"/>
      <c r="D237" s="5"/>
      <c r="E237" s="5"/>
      <c r="F237" s="5"/>
      <c r="G237" s="5"/>
      <c r="H237" s="5"/>
      <c r="I237" s="5"/>
      <c r="J237" s="5"/>
      <c r="K237" s="5"/>
      <c r="L237" s="5"/>
      <c r="M237" s="5"/>
      <c r="N237" s="5"/>
      <c r="O237" s="5"/>
      <c r="P237" s="5"/>
      <c r="Q237" s="5"/>
      <c r="R237" s="5"/>
      <c r="S237" s="5"/>
      <c r="T237" s="374"/>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373"/>
      <c r="BF237" s="5"/>
      <c r="BG237" s="5"/>
      <c r="BH237" s="5"/>
      <c r="BI237" s="5"/>
      <c r="BJ237" s="5"/>
      <c r="BK237" s="5"/>
      <c r="BL237" s="5"/>
      <c r="BM237" s="5"/>
      <c r="BN237" s="5"/>
      <c r="BO237" s="5"/>
      <c r="BP237" s="5"/>
      <c r="BQ237" s="5"/>
      <c r="BR237" s="5"/>
      <c r="BS237" s="5"/>
      <c r="BT237" s="5"/>
      <c r="BU237" s="5"/>
      <c r="BV237" s="5"/>
      <c r="BW237" s="5"/>
      <c r="BX237" s="373"/>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372"/>
      <c r="CX237" s="5"/>
      <c r="CY237" s="5"/>
      <c r="CZ237" s="5"/>
      <c r="DA237" s="5"/>
      <c r="DB237" s="5"/>
      <c r="DC237" s="5"/>
      <c r="DD237" s="5"/>
      <c r="DE237" s="5"/>
      <c r="DF237" s="5"/>
      <c r="DG237" s="5"/>
      <c r="DH237" s="5"/>
      <c r="DI237" s="5"/>
      <c r="DJ237" s="5"/>
      <c r="DK237" s="5"/>
      <c r="DL237" s="5"/>
      <c r="DM237" s="5"/>
      <c r="DN237" s="5"/>
      <c r="DO237" s="5"/>
      <c r="DP237" s="5"/>
      <c r="DR237" s="372"/>
      <c r="DS237" s="5"/>
      <c r="DT237" s="5"/>
      <c r="DU237" s="5"/>
      <c r="DV237" s="5"/>
      <c r="DW237" s="5"/>
      <c r="DX237" s="5"/>
      <c r="DY237" s="5"/>
      <c r="DZ237" s="5"/>
      <c r="EA237" s="5"/>
      <c r="EB237" s="5"/>
      <c r="EC237" s="5"/>
      <c r="ED237" s="5"/>
      <c r="EE237" s="5"/>
      <c r="EF237" s="5"/>
      <c r="EG237" s="5"/>
      <c r="EH237" s="5"/>
      <c r="EI237" s="5"/>
      <c r="EJ237" s="5"/>
      <c r="EK237" s="5"/>
    </row>
    <row r="238" spans="1:141">
      <c r="A238" s="925" t="s">
        <v>996</v>
      </c>
      <c r="B238" s="926"/>
      <c r="C238" s="926"/>
      <c r="D238" s="926"/>
      <c r="E238" s="926"/>
      <c r="F238" s="926"/>
      <c r="G238" s="926"/>
      <c r="H238" s="926"/>
      <c r="I238" s="926"/>
      <c r="J238" s="926"/>
      <c r="K238" s="926"/>
      <c r="L238" s="926"/>
      <c r="M238" s="926"/>
      <c r="N238" s="926"/>
      <c r="O238" s="926"/>
      <c r="P238" s="926"/>
      <c r="Q238" s="926"/>
      <c r="R238" s="926"/>
      <c r="S238" s="926"/>
      <c r="T238" s="434"/>
      <c r="U238" s="371"/>
      <c r="V238" s="371"/>
      <c r="W238" s="371"/>
      <c r="X238" s="371"/>
      <c r="Y238" s="371"/>
      <c r="Z238" s="371"/>
      <c r="AA238" s="371"/>
      <c r="AB238" s="371"/>
      <c r="AC238" s="371"/>
      <c r="AD238" s="371"/>
      <c r="AE238" s="371"/>
      <c r="AF238" s="371"/>
      <c r="AG238" s="371"/>
      <c r="AH238" s="371"/>
      <c r="AI238" s="371"/>
      <c r="AJ238" s="371"/>
      <c r="AK238" s="371"/>
      <c r="AL238" s="371"/>
      <c r="AM238" s="927" t="s">
        <v>996</v>
      </c>
      <c r="AN238" s="927"/>
      <c r="AO238" s="927"/>
      <c r="AP238" s="927"/>
      <c r="AQ238" s="927"/>
      <c r="AR238" s="927"/>
      <c r="AS238" s="927"/>
      <c r="AT238" s="927"/>
      <c r="AU238" s="927"/>
      <c r="AV238" s="927"/>
      <c r="AW238" s="927"/>
      <c r="AX238" s="927"/>
      <c r="AY238" s="927"/>
      <c r="AZ238" s="927"/>
      <c r="BA238" s="927"/>
      <c r="BB238" s="927"/>
      <c r="BC238" s="927"/>
      <c r="BD238" s="927"/>
      <c r="BE238" s="928"/>
      <c r="BF238" s="929" t="s">
        <v>996</v>
      </c>
      <c r="BG238" s="927"/>
      <c r="BH238" s="927"/>
      <c r="BI238" s="927"/>
      <c r="BJ238" s="927"/>
      <c r="BK238" s="927"/>
      <c r="BL238" s="927"/>
      <c r="BM238" s="927"/>
      <c r="BN238" s="927"/>
      <c r="BO238" s="927"/>
      <c r="BP238" s="927"/>
      <c r="BQ238" s="927"/>
      <c r="BR238" s="927"/>
      <c r="BS238" s="927"/>
      <c r="BT238" s="927"/>
      <c r="BU238" s="927"/>
      <c r="BV238" s="927"/>
      <c r="BW238" s="927"/>
      <c r="BX238" s="928"/>
      <c r="BY238" s="391"/>
      <c r="BZ238" s="391"/>
      <c r="CA238" s="391"/>
      <c r="CB238" s="391"/>
      <c r="CC238" s="391"/>
      <c r="CD238" s="371"/>
      <c r="CE238" s="371"/>
      <c r="CF238" s="371"/>
      <c r="CG238" s="371"/>
      <c r="CH238" s="371"/>
      <c r="CI238" s="371"/>
      <c r="CJ238" s="371"/>
      <c r="CK238" s="371"/>
      <c r="CL238" s="371"/>
      <c r="CM238" s="371"/>
      <c r="CN238" s="371"/>
      <c r="CO238" s="371"/>
      <c r="CP238" s="371"/>
      <c r="CQ238" s="371"/>
      <c r="CR238" s="371"/>
      <c r="CS238" s="371"/>
      <c r="CT238" s="371"/>
      <c r="CU238" s="371"/>
      <c r="CV238" s="371"/>
      <c r="CW238" s="372"/>
      <c r="CX238" s="371"/>
      <c r="CY238" s="371"/>
      <c r="CZ238" s="371"/>
      <c r="DA238" s="371"/>
      <c r="DB238" s="371"/>
      <c r="DC238" s="371"/>
      <c r="DD238" s="371"/>
      <c r="DE238" s="371"/>
      <c r="DF238" s="371"/>
      <c r="DG238" s="371"/>
      <c r="DH238" s="371"/>
      <c r="DI238" s="371"/>
      <c r="DJ238" s="371"/>
      <c r="DK238" s="371"/>
      <c r="DL238" s="371"/>
      <c r="DM238" s="371"/>
      <c r="DN238" s="371"/>
      <c r="DO238" s="371"/>
      <c r="DP238" s="371"/>
      <c r="DR238" s="372"/>
      <c r="DS238" s="888"/>
      <c r="DT238" s="888"/>
      <c r="DU238" s="888"/>
      <c r="DV238" s="888"/>
      <c r="DW238" s="888"/>
      <c r="DX238" s="888"/>
      <c r="DY238" s="888"/>
      <c r="DZ238" s="888"/>
      <c r="EA238" s="888"/>
      <c r="EB238" s="888"/>
      <c r="EC238" s="888"/>
      <c r="ED238" s="888"/>
      <c r="EE238" s="888"/>
      <c r="EF238" s="888"/>
      <c r="EG238" s="888"/>
      <c r="EH238" s="888"/>
      <c r="EI238" s="888"/>
      <c r="EJ238" s="888"/>
      <c r="EK238" s="888"/>
    </row>
    <row r="239" spans="1:141">
      <c r="A239" s="5" t="s">
        <v>997</v>
      </c>
      <c r="B239" s="5"/>
      <c r="C239" s="161" t="s">
        <v>63</v>
      </c>
      <c r="D239" s="375" t="s">
        <v>998</v>
      </c>
      <c r="E239" s="5"/>
      <c r="F239" s="5"/>
      <c r="N239" s="5"/>
      <c r="O239" s="5"/>
      <c r="P239" s="5"/>
      <c r="Q239" s="5"/>
      <c r="R239" s="5"/>
      <c r="S239" s="5"/>
      <c r="T239" s="374"/>
      <c r="U239" s="5"/>
      <c r="V239" s="161"/>
      <c r="W239" s="375"/>
      <c r="X239" s="5"/>
      <c r="Y239" s="5"/>
      <c r="AG239" s="5"/>
      <c r="AH239" s="5"/>
      <c r="AI239" s="5"/>
      <c r="AJ239" s="5"/>
      <c r="AK239" s="5"/>
      <c r="AL239" s="5"/>
      <c r="AM239" s="5" t="s">
        <v>997</v>
      </c>
      <c r="AN239" s="5"/>
      <c r="AO239" s="161" t="s">
        <v>63</v>
      </c>
      <c r="AP239" s="375" t="s">
        <v>998</v>
      </c>
      <c r="AQ239" s="5"/>
      <c r="AR239" s="5"/>
      <c r="AZ239" s="5"/>
      <c r="BA239" s="5"/>
      <c r="BB239" s="5"/>
      <c r="BC239" s="5"/>
      <c r="BD239" s="5"/>
      <c r="BE239" s="373"/>
      <c r="BF239" s="5" t="s">
        <v>997</v>
      </c>
      <c r="BG239" s="5"/>
      <c r="BH239" s="161" t="s">
        <v>63</v>
      </c>
      <c r="BI239" s="375" t="s">
        <v>998</v>
      </c>
      <c r="BJ239" s="5"/>
      <c r="BK239" s="5"/>
      <c r="BS239" s="5"/>
      <c r="BT239" s="5"/>
      <c r="BU239" s="5"/>
      <c r="BV239" s="5"/>
      <c r="BW239" s="5"/>
      <c r="BX239" s="373"/>
      <c r="BY239" s="5"/>
      <c r="BZ239" s="5"/>
      <c r="CA239" s="5"/>
      <c r="CB239" s="5"/>
      <c r="CC239" s="5"/>
      <c r="CD239" s="5"/>
      <c r="CE239" s="5"/>
      <c r="CF239" s="161"/>
      <c r="CG239" s="375"/>
      <c r="CH239" s="5"/>
      <c r="CI239" s="5"/>
      <c r="CQ239" s="5"/>
      <c r="CR239" s="5"/>
      <c r="CS239" s="5"/>
      <c r="CT239" s="5"/>
      <c r="CU239" s="5"/>
      <c r="CV239" s="5"/>
      <c r="CW239" s="372"/>
      <c r="CX239" s="5"/>
      <c r="CY239" s="5"/>
      <c r="CZ239" s="161"/>
      <c r="DA239" s="375"/>
      <c r="DB239" s="5"/>
      <c r="DC239" s="5"/>
      <c r="DK239" s="5"/>
      <c r="DL239" s="5"/>
      <c r="DM239" s="5"/>
      <c r="DN239" s="5"/>
      <c r="DO239" s="5"/>
      <c r="DP239" s="5"/>
      <c r="DR239" s="372"/>
      <c r="DS239" s="5"/>
      <c r="DT239" s="5"/>
      <c r="DU239" s="161"/>
      <c r="DV239" s="5"/>
      <c r="DW239" s="5"/>
      <c r="DX239" s="5"/>
      <c r="DY239" s="5"/>
      <c r="DZ239" s="5"/>
      <c r="EA239" s="5"/>
      <c r="EB239" s="5"/>
      <c r="EC239" s="5"/>
      <c r="ED239" s="5"/>
      <c r="EE239" s="5"/>
      <c r="EF239" s="5"/>
      <c r="EG239" s="5"/>
      <c r="EH239" s="5"/>
      <c r="EI239" s="5"/>
      <c r="EJ239" s="5"/>
      <c r="EK239" s="5"/>
    </row>
    <row r="240" spans="1:141">
      <c r="A240" s="5"/>
      <c r="B240" s="5"/>
      <c r="C240" s="161" t="s">
        <v>63</v>
      </c>
      <c r="D240" s="932">
        <f>D236-D156</f>
        <v>17316.422715585511</v>
      </c>
      <c r="E240" s="932"/>
      <c r="F240" s="5" t="s">
        <v>361</v>
      </c>
      <c r="H240" s="369">
        <f>D240/0.95</f>
        <v>18227.813384826855</v>
      </c>
      <c r="N240" s="5"/>
      <c r="O240" s="5"/>
      <c r="P240" s="5"/>
      <c r="Q240" s="5"/>
      <c r="R240" s="5"/>
      <c r="S240" s="5"/>
      <c r="T240" s="374"/>
      <c r="U240" s="5"/>
      <c r="V240" s="161"/>
      <c r="W240" s="426"/>
      <c r="X240" s="426"/>
      <c r="Y240" s="5"/>
      <c r="AG240" s="5"/>
      <c r="AH240" s="5"/>
      <c r="AI240" s="5"/>
      <c r="AJ240" s="5"/>
      <c r="AK240" s="5"/>
      <c r="AL240" s="5"/>
      <c r="AM240" s="5"/>
      <c r="AN240" s="5"/>
      <c r="AO240" s="161" t="s">
        <v>63</v>
      </c>
      <c r="AP240" s="931">
        <f>AP236-AP156</f>
        <v>19356.484873348258</v>
      </c>
      <c r="AQ240" s="931"/>
      <c r="AR240" s="5" t="s">
        <v>361</v>
      </c>
      <c r="AZ240" s="5"/>
      <c r="BA240" s="5"/>
      <c r="BB240" s="5"/>
      <c r="BC240" s="5"/>
      <c r="BD240" s="5"/>
      <c r="BE240" s="373"/>
      <c r="BF240" s="5"/>
      <c r="BG240" s="5"/>
      <c r="BH240" s="161" t="s">
        <v>63</v>
      </c>
      <c r="BI240" s="931">
        <f>BI236-BI156</f>
        <v>19169.708028820962</v>
      </c>
      <c r="BJ240" s="931"/>
      <c r="BK240" s="5" t="s">
        <v>361</v>
      </c>
      <c r="BS240" s="5"/>
      <c r="BT240" s="5"/>
      <c r="BU240" s="5"/>
      <c r="BV240" s="5"/>
      <c r="BW240" s="5"/>
      <c r="BX240" s="373"/>
      <c r="BY240" s="5"/>
      <c r="BZ240" s="5"/>
      <c r="CA240" s="5"/>
      <c r="CB240" s="5"/>
      <c r="CC240" s="5"/>
      <c r="CD240" s="5"/>
      <c r="CE240" s="5"/>
      <c r="CF240" s="161"/>
      <c r="CG240" s="377"/>
      <c r="CH240" s="377"/>
      <c r="CI240" s="5"/>
      <c r="CQ240" s="5"/>
      <c r="CR240" s="5"/>
      <c r="CS240" s="5"/>
      <c r="CT240" s="5"/>
      <c r="CU240" s="5"/>
      <c r="CV240" s="5"/>
      <c r="CW240" s="372"/>
      <c r="CX240" s="5"/>
      <c r="CY240" s="5"/>
      <c r="CZ240" s="161"/>
      <c r="DA240" s="377"/>
      <c r="DB240" s="377"/>
      <c r="DC240" s="5"/>
      <c r="DK240" s="5"/>
      <c r="DL240" s="5"/>
      <c r="DM240" s="5"/>
      <c r="DN240" s="5"/>
      <c r="DO240" s="5"/>
      <c r="DP240" s="5"/>
      <c r="DR240" s="372"/>
      <c r="DS240" s="5"/>
      <c r="DT240" s="5"/>
      <c r="DU240" s="161"/>
      <c r="DV240" s="910"/>
      <c r="DW240" s="890"/>
      <c r="DX240" s="5"/>
      <c r="DY240" s="5"/>
      <c r="DZ240" s="5"/>
      <c r="EA240" s="5"/>
      <c r="EB240" s="5"/>
      <c r="EC240" s="5"/>
      <c r="ED240" s="5"/>
      <c r="EE240" s="5"/>
      <c r="EF240" s="5"/>
      <c r="EG240" s="5"/>
      <c r="EH240" s="5"/>
      <c r="EI240" s="5"/>
      <c r="EJ240" s="5"/>
      <c r="EK240" s="5"/>
    </row>
    <row r="241" spans="1:141">
      <c r="A241" s="5"/>
      <c r="B241" s="5"/>
      <c r="C241" s="5"/>
      <c r="D241" s="5"/>
      <c r="E241" s="5"/>
      <c r="F241" s="5"/>
      <c r="G241" s="5"/>
      <c r="N241" s="5"/>
      <c r="O241" s="5"/>
      <c r="P241" s="5"/>
      <c r="Q241" s="5"/>
      <c r="R241" s="5"/>
      <c r="S241" s="5"/>
      <c r="T241" s="374"/>
      <c r="U241" s="5"/>
      <c r="V241" s="5"/>
      <c r="W241" s="5"/>
      <c r="X241" s="5"/>
      <c r="Y241" s="5"/>
      <c r="Z241" s="5"/>
      <c r="AG241" s="5"/>
      <c r="AH241" s="5"/>
      <c r="AI241" s="5"/>
      <c r="AJ241" s="5"/>
      <c r="AK241" s="5"/>
      <c r="AL241" s="5"/>
      <c r="AM241" s="5"/>
      <c r="AN241" s="5"/>
      <c r="AO241" s="5"/>
      <c r="AP241" s="5"/>
      <c r="AQ241" s="5"/>
      <c r="AR241" s="5"/>
      <c r="AS241" s="5"/>
      <c r="AZ241" s="5"/>
      <c r="BA241" s="5"/>
      <c r="BB241" s="5"/>
      <c r="BC241" s="5"/>
      <c r="BD241" s="5"/>
      <c r="BE241" s="373"/>
      <c r="BF241" s="5"/>
      <c r="BG241" s="5"/>
      <c r="BH241" s="5"/>
      <c r="BI241" s="5"/>
      <c r="BJ241" s="5"/>
      <c r="BK241" s="5"/>
      <c r="BL241" s="5"/>
      <c r="BS241" s="5"/>
      <c r="BT241" s="5"/>
      <c r="BU241" s="5"/>
      <c r="BV241" s="5"/>
      <c r="BW241" s="5"/>
      <c r="BX241" s="373"/>
      <c r="BY241" s="5"/>
      <c r="BZ241" s="5"/>
      <c r="CA241" s="5"/>
      <c r="CB241" s="5"/>
      <c r="CC241" s="5"/>
      <c r="CG241" s="5"/>
      <c r="CH241" s="5"/>
      <c r="CI241" s="5"/>
      <c r="CJ241" s="5"/>
      <c r="CK241" s="5"/>
      <c r="CL241" s="5"/>
      <c r="CM241" s="5"/>
      <c r="CN241" s="5"/>
      <c r="CO241" s="5"/>
      <c r="CP241" s="5"/>
      <c r="CQ241" s="5"/>
      <c r="CR241" s="5"/>
      <c r="CS241" s="5"/>
      <c r="CT241" s="5"/>
      <c r="CU241" s="5"/>
      <c r="CV241" s="5"/>
      <c r="CW241" s="372"/>
      <c r="DA241" s="5"/>
      <c r="DB241" s="5"/>
      <c r="DC241" s="5"/>
      <c r="DD241" s="5"/>
      <c r="DE241" s="5"/>
      <c r="DF241" s="5"/>
      <c r="DG241" s="5"/>
      <c r="DH241" s="5"/>
      <c r="DI241" s="5"/>
      <c r="DJ241" s="5"/>
      <c r="DK241" s="5"/>
      <c r="DL241" s="5"/>
      <c r="DM241" s="5"/>
      <c r="DN241" s="5"/>
      <c r="DO241" s="5"/>
      <c r="DP241" s="5"/>
      <c r="DR241" s="372"/>
      <c r="DS241" s="5"/>
      <c r="DT241" s="5"/>
      <c r="DU241" s="5"/>
      <c r="DV241" s="5"/>
      <c r="DW241" s="5"/>
      <c r="DX241" s="5"/>
      <c r="DY241" s="5"/>
      <c r="DZ241" s="5"/>
      <c r="EA241" s="5"/>
      <c r="EB241" s="5"/>
      <c r="EC241" s="5"/>
      <c r="ED241" s="5"/>
      <c r="EE241" s="5"/>
      <c r="EF241" s="5"/>
      <c r="EG241" s="5"/>
      <c r="EH241" s="5"/>
      <c r="EI241" s="5"/>
      <c r="EJ241" s="5"/>
      <c r="EK241" s="5"/>
    </row>
    <row r="242" spans="1:141">
      <c r="A242" s="925" t="s">
        <v>999</v>
      </c>
      <c r="B242" s="926"/>
      <c r="C242" s="926"/>
      <c r="D242" s="926"/>
      <c r="E242" s="926"/>
      <c r="F242" s="926"/>
      <c r="G242" s="926"/>
      <c r="H242" s="926"/>
      <c r="I242" s="926"/>
      <c r="J242" s="926"/>
      <c r="K242" s="926"/>
      <c r="L242" s="926"/>
      <c r="M242" s="926"/>
      <c r="N242" s="926"/>
      <c r="O242" s="926"/>
      <c r="P242" s="926"/>
      <c r="Q242" s="926"/>
      <c r="R242" s="926"/>
      <c r="S242" s="926"/>
      <c r="T242" s="434"/>
      <c r="U242" s="371"/>
      <c r="V242" s="371"/>
      <c r="W242" s="371"/>
      <c r="X242" s="371"/>
      <c r="Y242" s="371"/>
      <c r="Z242" s="371"/>
      <c r="AA242" s="371"/>
      <c r="AB242" s="371"/>
      <c r="AC242" s="371"/>
      <c r="AD242" s="371"/>
      <c r="AE242" s="371"/>
      <c r="AF242" s="371"/>
      <c r="AG242" s="371"/>
      <c r="AH242" s="371"/>
      <c r="AI242" s="371"/>
      <c r="AJ242" s="371"/>
      <c r="AK242" s="371"/>
      <c r="AL242" s="371"/>
      <c r="AM242" s="927" t="s">
        <v>999</v>
      </c>
      <c r="AN242" s="927"/>
      <c r="AO242" s="927"/>
      <c r="AP242" s="927"/>
      <c r="AQ242" s="927"/>
      <c r="AR242" s="927"/>
      <c r="AS242" s="927"/>
      <c r="AT242" s="927"/>
      <c r="AU242" s="927"/>
      <c r="AV242" s="927"/>
      <c r="AW242" s="927"/>
      <c r="AX242" s="927"/>
      <c r="AY242" s="927"/>
      <c r="AZ242" s="927"/>
      <c r="BA242" s="927"/>
      <c r="BB242" s="927"/>
      <c r="BC242" s="927"/>
      <c r="BD242" s="927"/>
      <c r="BE242" s="928"/>
      <c r="BF242" s="929" t="s">
        <v>1000</v>
      </c>
      <c r="BG242" s="927"/>
      <c r="BH242" s="927"/>
      <c r="BI242" s="927"/>
      <c r="BJ242" s="927"/>
      <c r="BK242" s="927"/>
      <c r="BL242" s="927"/>
      <c r="BM242" s="927"/>
      <c r="BN242" s="927"/>
      <c r="BO242" s="927"/>
      <c r="BP242" s="927"/>
      <c r="BQ242" s="927"/>
      <c r="BR242" s="927"/>
      <c r="BS242" s="927"/>
      <c r="BT242" s="927"/>
      <c r="BU242" s="927"/>
      <c r="BV242" s="927"/>
      <c r="BW242" s="927"/>
      <c r="BX242" s="928"/>
      <c r="BY242" s="391"/>
      <c r="BZ242" s="391"/>
      <c r="CA242" s="391"/>
      <c r="CB242" s="391"/>
      <c r="CC242" s="391"/>
      <c r="CD242" s="371"/>
      <c r="CE242" s="371"/>
      <c r="CF242" s="371"/>
      <c r="CG242" s="371"/>
      <c r="CH242" s="371"/>
      <c r="CI242" s="371"/>
      <c r="CJ242" s="371"/>
      <c r="CK242" s="371"/>
      <c r="CL242" s="371"/>
      <c r="CM242" s="371"/>
      <c r="CN242" s="371"/>
      <c r="CO242" s="371"/>
      <c r="CP242" s="371"/>
      <c r="CQ242" s="371"/>
      <c r="CR242" s="371"/>
      <c r="CS242" s="371"/>
      <c r="CT242" s="371"/>
      <c r="CU242" s="371"/>
      <c r="CV242" s="371"/>
      <c r="CW242" s="372"/>
      <c r="CX242" s="371"/>
      <c r="CY242" s="371"/>
      <c r="CZ242" s="371"/>
      <c r="DA242" s="371"/>
      <c r="DB242" s="371"/>
      <c r="DC242" s="371"/>
      <c r="DD242" s="371"/>
      <c r="DE242" s="371"/>
      <c r="DF242" s="371"/>
      <c r="DG242" s="371"/>
      <c r="DH242" s="371"/>
      <c r="DI242" s="371"/>
      <c r="DJ242" s="371"/>
      <c r="DK242" s="371"/>
      <c r="DL242" s="371"/>
      <c r="DM242" s="371"/>
      <c r="DN242" s="371"/>
      <c r="DO242" s="371"/>
      <c r="DP242" s="371"/>
      <c r="DR242" s="372"/>
      <c r="DS242" s="888"/>
      <c r="DT242" s="888"/>
      <c r="DU242" s="888"/>
      <c r="DV242" s="888"/>
      <c r="DW242" s="888"/>
      <c r="DX242" s="888"/>
      <c r="DY242" s="888"/>
      <c r="DZ242" s="888"/>
      <c r="EA242" s="888"/>
      <c r="EB242" s="888"/>
      <c r="EC242" s="888"/>
      <c r="ED242" s="888"/>
      <c r="EE242" s="888"/>
      <c r="EF242" s="888"/>
      <c r="EG242" s="888"/>
      <c r="EH242" s="888"/>
      <c r="EI242" s="888"/>
      <c r="EJ242" s="888"/>
      <c r="EK242" s="888"/>
    </row>
    <row r="243" spans="1:141" ht="15.6">
      <c r="A243" s="5" t="s">
        <v>1001</v>
      </c>
      <c r="B243" s="5"/>
      <c r="C243" s="161" t="s">
        <v>63</v>
      </c>
      <c r="D243" s="405" t="s">
        <v>1002</v>
      </c>
      <c r="E243" s="405"/>
      <c r="F243" s="5"/>
      <c r="G243" s="5"/>
      <c r="H243" s="5"/>
      <c r="I243" s="5"/>
      <c r="J243" s="5"/>
      <c r="K243" s="5"/>
      <c r="L243" s="5"/>
      <c r="M243" s="5"/>
      <c r="N243" s="5"/>
      <c r="O243" s="5"/>
      <c r="P243" s="5"/>
      <c r="Q243" s="5"/>
      <c r="R243" s="5"/>
      <c r="S243" s="5"/>
      <c r="T243" s="374"/>
      <c r="U243" s="5"/>
      <c r="V243" s="161"/>
      <c r="W243" s="405"/>
      <c r="X243" s="405"/>
      <c r="Y243" s="5"/>
      <c r="Z243" s="5"/>
      <c r="AA243" s="5"/>
      <c r="AB243" s="5"/>
      <c r="AC243" s="5"/>
      <c r="AD243" s="5"/>
      <c r="AE243" s="5"/>
      <c r="AF243" s="5"/>
      <c r="AG243" s="5"/>
      <c r="AH243" s="5"/>
      <c r="AI243" s="5"/>
      <c r="AJ243" s="5"/>
      <c r="AK243" s="5"/>
      <c r="AL243" s="5"/>
      <c r="AM243" s="5" t="s">
        <v>1001</v>
      </c>
      <c r="AN243" s="5"/>
      <c r="AO243" s="161" t="s">
        <v>63</v>
      </c>
      <c r="AP243" s="405" t="s">
        <v>1003</v>
      </c>
      <c r="AQ243" s="405"/>
      <c r="AR243" s="5"/>
      <c r="AS243" s="5"/>
      <c r="AT243" s="5"/>
      <c r="AU243" s="5"/>
      <c r="AV243" s="5"/>
      <c r="AW243" s="5"/>
      <c r="AX243" s="5"/>
      <c r="AY243" s="5"/>
      <c r="AZ243" s="5"/>
      <c r="BA243" s="5"/>
      <c r="BB243" s="5"/>
      <c r="BC243" s="5"/>
      <c r="BD243" s="5"/>
      <c r="BE243" s="373"/>
      <c r="BF243" s="5" t="s">
        <v>1001</v>
      </c>
      <c r="BG243" s="5"/>
      <c r="BH243" s="161" t="s">
        <v>63</v>
      </c>
      <c r="BI243" s="405" t="s">
        <v>1003</v>
      </c>
      <c r="BJ243" s="405"/>
      <c r="BK243" s="5"/>
      <c r="BL243" s="5"/>
      <c r="BM243" s="5"/>
      <c r="BN243" s="5"/>
      <c r="BO243" s="5"/>
      <c r="BP243" s="5"/>
      <c r="BQ243" s="5"/>
      <c r="BR243" s="5"/>
      <c r="BS243" s="5"/>
      <c r="BT243" s="5"/>
      <c r="BU243" s="5"/>
      <c r="BV243" s="5"/>
      <c r="BW243" s="5"/>
      <c r="BX243" s="373"/>
      <c r="BY243" s="5"/>
      <c r="BZ243" s="5"/>
      <c r="CA243" s="5"/>
      <c r="CB243" s="5"/>
      <c r="CC243" s="5"/>
      <c r="CD243" s="406"/>
      <c r="CE243" s="5"/>
      <c r="CF243" s="5"/>
      <c r="CG243" s="5"/>
      <c r="CH243" s="5"/>
      <c r="CI243" s="5"/>
      <c r="CJ243" s="5"/>
      <c r="CK243" s="5"/>
      <c r="CL243" s="5"/>
      <c r="CM243" s="5"/>
      <c r="CN243" s="5"/>
      <c r="CO243" s="5"/>
      <c r="CP243" s="5"/>
      <c r="CQ243" s="5"/>
      <c r="CR243" s="5"/>
      <c r="CS243" s="5"/>
      <c r="CT243" s="5"/>
      <c r="CU243" s="5"/>
      <c r="CV243" s="5"/>
      <c r="CW243" s="372"/>
      <c r="CX243" s="406"/>
      <c r="CY243" s="5"/>
      <c r="CZ243" s="5"/>
      <c r="DA243" s="5"/>
      <c r="DB243" s="5"/>
      <c r="DC243" s="5"/>
      <c r="DD243" s="5"/>
      <c r="DE243" s="5"/>
      <c r="DF243" s="5"/>
      <c r="DG243" s="5"/>
      <c r="DH243" s="5"/>
      <c r="DI243" s="5"/>
      <c r="DJ243" s="5"/>
      <c r="DK243" s="5"/>
      <c r="DL243" s="5"/>
      <c r="DM243" s="5"/>
      <c r="DN243" s="5"/>
      <c r="DO243" s="5"/>
      <c r="DP243" s="5"/>
      <c r="DR243" s="372"/>
      <c r="DS243" s="406"/>
      <c r="DT243" s="5"/>
      <c r="DU243" s="5"/>
      <c r="DV243" s="5"/>
      <c r="DW243" s="5"/>
      <c r="DX243" s="5"/>
      <c r="DY243" s="5"/>
      <c r="DZ243" s="5"/>
      <c r="EA243" s="5"/>
      <c r="EB243" s="5"/>
      <c r="EC243" s="5"/>
      <c r="ED243" s="5"/>
      <c r="EE243" s="5"/>
      <c r="EF243" s="5"/>
      <c r="EG243" s="5"/>
      <c r="EH243" s="5"/>
      <c r="EI243" s="5"/>
      <c r="EJ243" s="5"/>
      <c r="EK243" s="5"/>
    </row>
    <row r="244" spans="1:141">
      <c r="A244" s="5"/>
      <c r="B244" s="5"/>
      <c r="C244" s="161" t="s">
        <v>63</v>
      </c>
      <c r="D244" s="930">
        <f>D216+D156+D224</f>
        <v>11691.311544601049</v>
      </c>
      <c r="E244" s="930"/>
      <c r="F244" s="375" t="s">
        <v>361</v>
      </c>
      <c r="G244" s="5"/>
      <c r="H244" s="5"/>
      <c r="I244" s="5"/>
      <c r="J244" s="397"/>
      <c r="K244" s="5"/>
      <c r="L244" s="5"/>
      <c r="M244" s="5"/>
      <c r="N244" s="5"/>
      <c r="O244" s="5"/>
      <c r="P244" s="5"/>
      <c r="Q244" s="5"/>
      <c r="R244" s="5"/>
      <c r="S244" s="5"/>
      <c r="T244" s="374"/>
      <c r="U244" s="5"/>
      <c r="V244" s="161"/>
      <c r="W244" s="426"/>
      <c r="X244" s="426"/>
      <c r="Y244" s="5"/>
      <c r="Z244" s="375"/>
      <c r="AA244" s="5"/>
      <c r="AB244" s="5"/>
      <c r="AC244" s="5"/>
      <c r="AD244" s="5"/>
      <c r="AE244" s="5"/>
      <c r="AF244" s="5"/>
      <c r="AG244" s="5"/>
      <c r="AH244" s="5"/>
      <c r="AI244" s="5"/>
      <c r="AJ244" s="5"/>
      <c r="AK244" s="5"/>
      <c r="AL244" s="5"/>
      <c r="AM244" s="5"/>
      <c r="AN244" s="5"/>
      <c r="AO244" s="161" t="s">
        <v>63</v>
      </c>
      <c r="AP244" s="931">
        <f>(AP216+AP156)+AP224</f>
        <v>9651.249386838288</v>
      </c>
      <c r="AQ244" s="931"/>
      <c r="AR244" s="5"/>
      <c r="AS244" s="375" t="s">
        <v>26</v>
      </c>
      <c r="AT244" s="5"/>
      <c r="AU244" s="5"/>
      <c r="AV244" s="5"/>
      <c r="AW244" s="5"/>
      <c r="AX244" s="5"/>
      <c r="AY244" s="5"/>
      <c r="AZ244" s="5"/>
      <c r="BA244" s="5"/>
      <c r="BB244" s="5"/>
      <c r="BC244" s="5"/>
      <c r="BD244" s="5"/>
      <c r="BE244" s="373"/>
      <c r="BF244" s="5"/>
      <c r="BG244" s="5"/>
      <c r="BH244" s="161" t="s">
        <v>63</v>
      </c>
      <c r="BI244" s="931">
        <f>(BI216+BI156)+BI224</f>
        <v>9838.0262313655858</v>
      </c>
      <c r="BJ244" s="931"/>
      <c r="BK244" s="5"/>
      <c r="BL244" s="375" t="s">
        <v>26</v>
      </c>
      <c r="BM244" s="5"/>
      <c r="BN244" s="5"/>
      <c r="BO244" s="5"/>
      <c r="BP244" s="5"/>
      <c r="BQ244" s="5"/>
      <c r="BR244" s="5"/>
      <c r="BS244" s="5"/>
      <c r="BT244" s="5"/>
      <c r="BU244" s="5"/>
      <c r="BV244" s="5"/>
      <c r="BW244" s="5"/>
      <c r="BX244" s="373"/>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372"/>
      <c r="CX244" s="5"/>
      <c r="CY244" s="5"/>
      <c r="CZ244" s="5"/>
      <c r="DA244" s="5"/>
      <c r="DB244" s="5"/>
      <c r="DC244" s="5"/>
      <c r="DD244" s="5"/>
      <c r="DE244" s="5"/>
      <c r="DF244" s="5"/>
      <c r="DG244" s="5"/>
      <c r="DH244" s="5"/>
      <c r="DI244" s="5"/>
      <c r="DJ244" s="5"/>
      <c r="DK244" s="5"/>
      <c r="DL244" s="5"/>
      <c r="DM244" s="5"/>
      <c r="DN244" s="5"/>
      <c r="DO244" s="5"/>
      <c r="DP244" s="5"/>
      <c r="DR244" s="372"/>
      <c r="DS244" s="5"/>
      <c r="DT244" s="5"/>
      <c r="DU244" s="5"/>
      <c r="DV244" s="5"/>
      <c r="DW244" s="5"/>
      <c r="DX244" s="5"/>
      <c r="DY244" s="5"/>
      <c r="DZ244" s="5"/>
      <c r="EA244" s="5"/>
      <c r="EB244" s="5"/>
      <c r="EC244" s="5"/>
      <c r="ED244" s="5"/>
      <c r="EE244" s="5"/>
      <c r="EF244" s="5"/>
      <c r="EG244" s="5"/>
      <c r="EH244" s="5"/>
      <c r="EI244" s="5"/>
      <c r="EJ244" s="5"/>
      <c r="EK244" s="5"/>
    </row>
    <row r="245" spans="1:141">
      <c r="A245" s="5"/>
      <c r="B245" s="5"/>
      <c r="C245" s="161"/>
      <c r="D245" s="407"/>
      <c r="E245" s="407"/>
      <c r="F245" s="375"/>
      <c r="G245" s="5"/>
      <c r="H245" s="5"/>
      <c r="I245" s="5"/>
      <c r="J245" s="5"/>
      <c r="K245" s="5"/>
      <c r="L245" s="5"/>
      <c r="M245" s="5"/>
      <c r="N245" s="5"/>
      <c r="O245" s="5"/>
      <c r="P245" s="5"/>
      <c r="Q245" s="5"/>
      <c r="R245" s="5"/>
      <c r="S245" s="5"/>
      <c r="T245" s="374"/>
      <c r="U245" s="5"/>
      <c r="V245" s="161"/>
      <c r="W245" s="432"/>
      <c r="X245" s="432"/>
      <c r="Y245" s="5"/>
      <c r="Z245" s="375"/>
      <c r="AA245" s="5"/>
      <c r="AB245" s="5"/>
      <c r="AC245" s="5"/>
      <c r="AD245" s="5"/>
      <c r="AE245" s="5"/>
      <c r="AF245" s="5"/>
      <c r="AG245" s="5"/>
      <c r="AH245" s="5"/>
      <c r="AI245" s="5"/>
      <c r="AJ245" s="5"/>
      <c r="AK245" s="5"/>
      <c r="AL245" s="5"/>
      <c r="AM245" s="5"/>
      <c r="AN245" s="5"/>
      <c r="AO245" s="161"/>
      <c r="AP245" s="408"/>
      <c r="AQ245" s="375"/>
      <c r="AR245" s="5"/>
      <c r="AS245" s="5"/>
      <c r="AT245" s="5"/>
      <c r="AU245" s="5"/>
      <c r="AV245" s="5"/>
      <c r="AW245" s="5"/>
      <c r="AX245" s="5"/>
      <c r="AY245" s="5"/>
      <c r="AZ245" s="5"/>
      <c r="BA245" s="5"/>
      <c r="BB245" s="5"/>
      <c r="BC245" s="5"/>
      <c r="BD245" s="5"/>
      <c r="BE245" s="373"/>
      <c r="BF245" s="5"/>
      <c r="BG245" s="5"/>
      <c r="BH245" s="161"/>
      <c r="BI245" s="408"/>
      <c r="BJ245" s="375"/>
      <c r="BK245" s="5"/>
      <c r="BL245" s="5"/>
      <c r="BM245" s="5"/>
      <c r="BN245" s="5"/>
      <c r="BO245" s="5"/>
      <c r="BP245" s="5"/>
      <c r="BQ245" s="5"/>
      <c r="BR245" s="5"/>
      <c r="BS245" s="5"/>
      <c r="BT245" s="5"/>
      <c r="BU245" s="5"/>
      <c r="BV245" s="5"/>
      <c r="BW245" s="5"/>
      <c r="BX245" s="373"/>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372"/>
      <c r="CX245" s="5"/>
      <c r="CY245" s="5"/>
      <c r="CZ245" s="5"/>
      <c r="DA245" s="5"/>
      <c r="DB245" s="5"/>
      <c r="DC245" s="5"/>
      <c r="DD245" s="5"/>
      <c r="DE245" s="5"/>
      <c r="DF245" s="5"/>
      <c r="DG245" s="5"/>
      <c r="DH245" s="5"/>
      <c r="DI245" s="5"/>
      <c r="DJ245" s="5"/>
      <c r="DK245" s="5"/>
      <c r="DL245" s="5"/>
      <c r="DM245" s="5"/>
      <c r="DN245" s="5"/>
      <c r="DO245" s="5"/>
      <c r="DP245" s="5"/>
      <c r="DR245" s="372"/>
      <c r="DS245" s="5"/>
      <c r="DT245" s="5"/>
      <c r="DU245" s="5"/>
      <c r="DV245" s="5"/>
      <c r="DW245" s="5"/>
      <c r="DX245" s="5"/>
      <c r="DY245" s="5"/>
      <c r="DZ245" s="5"/>
      <c r="EA245" s="5"/>
      <c r="EB245" s="5"/>
      <c r="EC245" s="5"/>
      <c r="ED245" s="5"/>
      <c r="EE245" s="5"/>
      <c r="EF245" s="5"/>
      <c r="EG245" s="5"/>
      <c r="EH245" s="5"/>
      <c r="EI245" s="5"/>
      <c r="EJ245" s="5"/>
      <c r="EK245" s="5"/>
    </row>
    <row r="246" spans="1:141">
      <c r="A246" s="374" t="s">
        <v>1004</v>
      </c>
      <c r="B246" s="5"/>
      <c r="C246" s="5"/>
      <c r="D246" s="5"/>
      <c r="E246" s="5"/>
      <c r="F246" s="5"/>
      <c r="G246" s="161"/>
      <c r="H246" s="5"/>
      <c r="I246" s="5"/>
      <c r="J246" s="5"/>
      <c r="K246" s="5"/>
      <c r="L246" s="5"/>
      <c r="M246" s="5"/>
      <c r="N246" s="5"/>
      <c r="O246" s="5"/>
      <c r="P246" s="5"/>
      <c r="Q246" s="5"/>
      <c r="R246" s="5"/>
      <c r="S246" s="5"/>
      <c r="T246" s="374"/>
      <c r="U246" s="5"/>
      <c r="V246" s="5"/>
      <c r="W246" s="5"/>
      <c r="X246" s="5"/>
      <c r="Y246" s="5"/>
      <c r="Z246" s="161"/>
      <c r="AA246" s="5"/>
      <c r="AB246" s="5"/>
      <c r="AC246" s="5"/>
      <c r="AD246" s="5"/>
      <c r="AE246" s="5"/>
      <c r="AF246" s="5"/>
      <c r="AG246" s="5"/>
      <c r="AH246" s="5"/>
      <c r="AI246" s="5"/>
      <c r="AJ246" s="5"/>
      <c r="AK246" s="5"/>
      <c r="AL246" s="5"/>
      <c r="AM246" s="374" t="s">
        <v>1004</v>
      </c>
      <c r="AN246" s="5"/>
      <c r="AO246" s="5"/>
      <c r="AP246" s="5"/>
      <c r="AQ246" s="5"/>
      <c r="AR246" s="5"/>
      <c r="AS246" s="161"/>
      <c r="AT246" s="5"/>
      <c r="AU246" s="5"/>
      <c r="AV246" s="5"/>
      <c r="AW246" s="5"/>
      <c r="AX246" s="5"/>
      <c r="AY246" s="5"/>
      <c r="AZ246" s="5"/>
      <c r="BA246" s="5"/>
      <c r="BB246" s="5"/>
      <c r="BC246" s="5"/>
      <c r="BD246" s="5"/>
      <c r="BE246" s="373"/>
      <c r="BF246" s="374" t="s">
        <v>1004</v>
      </c>
      <c r="BG246" s="5"/>
      <c r="BH246" s="5"/>
      <c r="BI246" s="5"/>
      <c r="BJ246" s="5"/>
      <c r="BK246" s="5"/>
      <c r="BL246" s="161"/>
      <c r="BM246" s="5"/>
      <c r="BN246" s="5"/>
      <c r="BO246" s="5"/>
      <c r="BP246" s="5"/>
      <c r="BQ246" s="5"/>
      <c r="BR246" s="5"/>
      <c r="BS246" s="5"/>
      <c r="BT246" s="5"/>
      <c r="BU246" s="5"/>
      <c r="BV246" s="5"/>
      <c r="BW246" s="5"/>
      <c r="BX246" s="373"/>
      <c r="BY246" s="5"/>
      <c r="BZ246" s="5"/>
      <c r="CA246" s="5"/>
      <c r="CB246" s="5"/>
      <c r="CC246" s="5"/>
      <c r="CD246" s="374"/>
      <c r="CE246" s="5"/>
      <c r="CF246" s="5"/>
      <c r="CG246" s="5"/>
      <c r="CH246" s="5"/>
      <c r="CI246" s="5"/>
      <c r="CJ246" s="161"/>
      <c r="CK246" s="5"/>
      <c r="CL246" s="5"/>
      <c r="CM246" s="5"/>
      <c r="CN246" s="5"/>
      <c r="CO246" s="5"/>
      <c r="CP246" s="5"/>
      <c r="CQ246" s="5"/>
      <c r="CR246" s="5"/>
      <c r="CS246" s="5"/>
      <c r="CT246" s="5"/>
      <c r="CU246" s="5"/>
      <c r="CV246" s="5"/>
      <c r="CW246" s="372"/>
      <c r="CX246" s="374"/>
      <c r="CY246" s="5"/>
      <c r="CZ246" s="5"/>
      <c r="DA246" s="5"/>
      <c r="DB246" s="5"/>
      <c r="DC246" s="5"/>
      <c r="DD246" s="161"/>
      <c r="DE246" s="5"/>
      <c r="DF246" s="5"/>
      <c r="DG246" s="5"/>
      <c r="DH246" s="5"/>
      <c r="DI246" s="5"/>
      <c r="DJ246" s="5"/>
      <c r="DK246" s="5"/>
      <c r="DL246" s="5"/>
      <c r="DM246" s="5"/>
      <c r="DN246" s="5"/>
      <c r="DO246" s="5"/>
      <c r="DP246" s="5"/>
      <c r="DR246" s="372"/>
      <c r="DS246" s="5"/>
      <c r="DT246" s="5"/>
      <c r="DU246" s="5"/>
      <c r="DV246" s="161"/>
      <c r="DW246" s="5"/>
      <c r="DX246" s="5"/>
      <c r="DY246" s="5"/>
      <c r="DZ246" s="5"/>
      <c r="EA246" s="5"/>
      <c r="EB246" s="5"/>
      <c r="EC246" s="5"/>
      <c r="ED246" s="5"/>
      <c r="EE246" s="5"/>
      <c r="EF246" s="5"/>
      <c r="EG246" s="5"/>
      <c r="EH246" s="5"/>
      <c r="EI246" s="5"/>
      <c r="EJ246" s="5"/>
      <c r="EK246" s="5"/>
    </row>
    <row r="247" spans="1:141" ht="15" customHeight="1">
      <c r="A247" s="918" t="s">
        <v>1005</v>
      </c>
      <c r="B247" s="919"/>
      <c r="C247" s="922" t="s">
        <v>1006</v>
      </c>
      <c r="D247" s="923"/>
      <c r="E247" s="919"/>
      <c r="F247" s="918" t="s">
        <v>1007</v>
      </c>
      <c r="G247" s="923"/>
      <c r="H247" s="919"/>
      <c r="I247" s="5"/>
      <c r="J247" s="5"/>
      <c r="K247" s="5"/>
      <c r="L247" s="5"/>
      <c r="M247" s="5"/>
      <c r="N247" s="5"/>
      <c r="O247" s="5"/>
      <c r="P247" s="5"/>
      <c r="Q247" s="5"/>
      <c r="R247" s="5"/>
      <c r="S247" s="5"/>
      <c r="T247" s="374"/>
      <c r="U247" s="5"/>
      <c r="V247" s="375"/>
      <c r="W247" s="5"/>
      <c r="X247" s="5"/>
      <c r="Y247" s="5"/>
      <c r="Z247" s="5"/>
      <c r="AA247" s="5"/>
      <c r="AB247" s="5"/>
      <c r="AC247" s="5"/>
      <c r="AD247" s="5"/>
      <c r="AE247" s="5"/>
      <c r="AF247" s="5"/>
      <c r="AG247" s="5"/>
      <c r="AH247" s="5"/>
      <c r="AI247" s="5"/>
      <c r="AJ247" s="5"/>
      <c r="AK247" s="5"/>
      <c r="AL247" s="5"/>
      <c r="AM247" s="911" t="s">
        <v>1008</v>
      </c>
      <c r="AN247" s="912"/>
      <c r="AO247" s="915" t="s">
        <v>1006</v>
      </c>
      <c r="AP247" s="911"/>
      <c r="AQ247" s="912"/>
      <c r="AR247" s="917" t="s">
        <v>1009</v>
      </c>
      <c r="AS247" s="911"/>
      <c r="AT247" s="912"/>
      <c r="AU247" s="5"/>
      <c r="AV247" s="5"/>
      <c r="AW247" s="5"/>
      <c r="AX247" s="5"/>
      <c r="AY247" s="5"/>
      <c r="AZ247" s="5"/>
      <c r="BA247" s="5"/>
      <c r="BB247" s="5"/>
      <c r="BC247" s="5"/>
      <c r="BD247" s="5"/>
      <c r="BE247" s="373"/>
      <c r="BF247" s="917" t="s">
        <v>1008</v>
      </c>
      <c r="BG247" s="912"/>
      <c r="BH247" s="915" t="s">
        <v>1006</v>
      </c>
      <c r="BI247" s="911"/>
      <c r="BJ247" s="912"/>
      <c r="BK247" s="917" t="s">
        <v>1009</v>
      </c>
      <c r="BL247" s="911"/>
      <c r="BM247" s="912"/>
      <c r="BN247" s="5"/>
      <c r="BO247" s="5"/>
      <c r="BP247" s="5"/>
      <c r="BQ247" s="5"/>
      <c r="BR247" s="5"/>
      <c r="BS247" s="5"/>
      <c r="BT247" s="5"/>
      <c r="BU247" s="5"/>
      <c r="BV247" s="5"/>
      <c r="BW247" s="5"/>
      <c r="BX247" s="373"/>
      <c r="BY247" s="5"/>
      <c r="BZ247" s="5"/>
      <c r="CA247" s="5"/>
      <c r="CB247" s="5"/>
      <c r="CC247" s="5"/>
      <c r="CD247" s="5"/>
      <c r="CE247" s="5"/>
      <c r="CF247" s="375"/>
      <c r="CG247" s="5"/>
      <c r="CH247" s="5"/>
      <c r="CI247" s="5"/>
      <c r="CJ247" s="5"/>
      <c r="CK247" s="5"/>
      <c r="CL247" s="5"/>
      <c r="CM247" s="5"/>
      <c r="CN247" s="5"/>
      <c r="CO247" s="5"/>
      <c r="CP247" s="5"/>
      <c r="CQ247" s="5"/>
      <c r="CR247" s="5"/>
      <c r="CS247" s="5"/>
      <c r="CT247" s="5"/>
      <c r="CU247" s="5"/>
      <c r="CV247" s="5"/>
      <c r="CW247" s="372"/>
      <c r="CX247" s="5"/>
      <c r="CY247" s="5"/>
      <c r="CZ247" s="375"/>
      <c r="DA247" s="5"/>
      <c r="DB247" s="5"/>
      <c r="DC247" s="5"/>
      <c r="DD247" s="5"/>
      <c r="DE247" s="5"/>
      <c r="DF247" s="5"/>
      <c r="DG247" s="5"/>
      <c r="DH247" s="5"/>
      <c r="DI247" s="5"/>
      <c r="DJ247" s="5"/>
      <c r="DK247" s="5"/>
      <c r="DL247" s="5"/>
      <c r="DM247" s="5"/>
      <c r="DN247" s="5"/>
      <c r="DO247" s="5"/>
      <c r="DP247" s="5"/>
      <c r="DR247" s="372"/>
      <c r="DS247" s="5"/>
      <c r="DT247" s="5"/>
      <c r="DU247" s="5"/>
      <c r="DV247" s="161"/>
      <c r="DW247" s="910"/>
      <c r="DX247" s="890"/>
      <c r="DY247" s="5"/>
      <c r="DZ247" s="5"/>
      <c r="EA247" s="5"/>
      <c r="EB247" s="5"/>
      <c r="EC247" s="5"/>
      <c r="ED247" s="5"/>
      <c r="EE247" s="5"/>
      <c r="EF247" s="5"/>
      <c r="EG247" s="5"/>
      <c r="EH247" s="5"/>
      <c r="EI247" s="5"/>
      <c r="EJ247" s="5"/>
      <c r="EK247" s="5"/>
    </row>
    <row r="248" spans="1:141" ht="17.25" customHeight="1">
      <c r="A248" s="920"/>
      <c r="B248" s="921"/>
      <c r="C248" s="920"/>
      <c r="D248" s="924"/>
      <c r="E248" s="921"/>
      <c r="F248" s="920"/>
      <c r="G248" s="924"/>
      <c r="H248" s="921"/>
      <c r="I248" s="5"/>
      <c r="J248" s="5"/>
      <c r="K248" s="5"/>
      <c r="L248" s="5"/>
      <c r="M248" s="5"/>
      <c r="N248" s="5"/>
      <c r="O248" s="5"/>
      <c r="P248" s="5"/>
      <c r="Q248" s="5"/>
      <c r="R248" s="5"/>
      <c r="S248" s="5"/>
      <c r="T248" s="374"/>
      <c r="U248" s="5"/>
      <c r="V248" s="5"/>
      <c r="W248" s="5"/>
      <c r="X248" s="5"/>
      <c r="Y248" s="5"/>
      <c r="Z248" s="5"/>
      <c r="AA248" s="5"/>
      <c r="AB248" s="5"/>
      <c r="AC248" s="5"/>
      <c r="AD248" s="5"/>
      <c r="AE248" s="5"/>
      <c r="AF248" s="5"/>
      <c r="AG248" s="5"/>
      <c r="AH248" s="5"/>
      <c r="AI248" s="5"/>
      <c r="AJ248" s="5"/>
      <c r="AK248" s="5"/>
      <c r="AL248" s="5"/>
      <c r="AM248" s="913"/>
      <c r="AN248" s="914"/>
      <c r="AO248" s="916"/>
      <c r="AP248" s="913"/>
      <c r="AQ248" s="914"/>
      <c r="AR248" s="916"/>
      <c r="AS248" s="913"/>
      <c r="AT248" s="914"/>
      <c r="AU248" s="5"/>
      <c r="AV248" s="5"/>
      <c r="AW248" s="5"/>
      <c r="AX248" s="5"/>
      <c r="AY248" s="5"/>
      <c r="AZ248" s="5"/>
      <c r="BA248" s="5"/>
      <c r="BB248" s="5"/>
      <c r="BC248" s="5"/>
      <c r="BD248" s="5"/>
      <c r="BE248" s="373"/>
      <c r="BF248" s="916"/>
      <c r="BG248" s="914"/>
      <c r="BH248" s="916"/>
      <c r="BI248" s="913"/>
      <c r="BJ248" s="914"/>
      <c r="BK248" s="916"/>
      <c r="BL248" s="913"/>
      <c r="BM248" s="914"/>
      <c r="BN248" s="5"/>
      <c r="BO248" s="5"/>
      <c r="BP248" s="5"/>
      <c r="BQ248" s="5"/>
      <c r="BR248" s="5"/>
      <c r="BS248" s="5"/>
      <c r="BT248" s="5"/>
      <c r="BU248" s="5"/>
      <c r="BV248" s="5"/>
      <c r="BW248" s="5"/>
      <c r="BX248" s="373"/>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372"/>
      <c r="CX248" s="5"/>
      <c r="CY248" s="5"/>
      <c r="CZ248" s="5"/>
      <c r="DA248" s="5"/>
      <c r="DB248" s="5"/>
      <c r="DC248" s="5"/>
      <c r="DD248" s="5"/>
      <c r="DE248" s="5"/>
      <c r="DF248" s="5"/>
      <c r="DG248" s="5"/>
      <c r="DH248" s="5"/>
      <c r="DI248" s="5"/>
      <c r="DJ248" s="5"/>
      <c r="DK248" s="5"/>
      <c r="DL248" s="5"/>
      <c r="DM248" s="5"/>
      <c r="DN248" s="5"/>
      <c r="DO248" s="5"/>
      <c r="DP248" s="5"/>
      <c r="DR248" s="372"/>
      <c r="DS248" s="5"/>
      <c r="DT248" s="5"/>
      <c r="DU248" s="5"/>
      <c r="DV248" s="161"/>
      <c r="DW248" s="716"/>
      <c r="DX248" s="716"/>
      <c r="DY248" s="5"/>
      <c r="DZ248" s="5"/>
      <c r="EA248" s="5"/>
      <c r="EB248" s="5"/>
      <c r="EC248" s="5"/>
      <c r="ED248" s="5"/>
      <c r="EE248" s="5"/>
      <c r="EF248" s="5"/>
      <c r="EG248" s="5"/>
      <c r="EH248" s="5"/>
      <c r="EI248" s="5"/>
      <c r="EJ248" s="5"/>
      <c r="EK248" s="5"/>
    </row>
    <row r="249" spans="1:141">
      <c r="A249" s="908">
        <v>0.5</v>
      </c>
      <c r="B249" s="909"/>
      <c r="C249" s="897">
        <f>[3]DISP!BF29</f>
        <v>1079.7352333333333</v>
      </c>
      <c r="D249" s="906"/>
      <c r="E249" s="898"/>
      <c r="F249" s="897">
        <f t="shared" ref="F249:F258" si="0">C249*1.025</f>
        <v>1106.7286141666666</v>
      </c>
      <c r="G249" s="906"/>
      <c r="H249" s="898"/>
      <c r="I249" s="5"/>
      <c r="J249" s="5"/>
      <c r="K249" s="5"/>
      <c r="L249" s="5"/>
      <c r="M249" s="5"/>
      <c r="N249" s="5"/>
      <c r="O249" s="5"/>
      <c r="P249" s="5"/>
      <c r="Q249" s="5"/>
      <c r="R249" s="5"/>
      <c r="S249" s="5"/>
      <c r="V249" s="397"/>
      <c r="W249" s="397"/>
      <c r="X249" s="397"/>
      <c r="Y249" s="397"/>
      <c r="Z249" s="397"/>
      <c r="AA249" s="397"/>
      <c r="AB249" s="5"/>
      <c r="AC249" s="5"/>
      <c r="AD249" s="5"/>
      <c r="AE249" s="5"/>
      <c r="AF249" s="5"/>
      <c r="AG249" s="5"/>
      <c r="AH249" s="5"/>
      <c r="AI249" s="5"/>
      <c r="AJ249" s="5"/>
      <c r="AK249" s="5"/>
      <c r="AL249" s="5"/>
      <c r="AM249" s="908">
        <f>T249</f>
        <v>0</v>
      </c>
      <c r="AN249" s="909"/>
      <c r="AO249" s="897">
        <f>V249</f>
        <v>0</v>
      </c>
      <c r="AP249" s="906"/>
      <c r="AQ249" s="898"/>
      <c r="AR249" s="897">
        <f t="shared" ref="AR249:AR252" si="1">AO249*1.025</f>
        <v>0</v>
      </c>
      <c r="AS249" s="906"/>
      <c r="AT249" s="898"/>
      <c r="AU249" s="5"/>
      <c r="AV249" s="5"/>
      <c r="AW249" s="5"/>
      <c r="AX249" s="5"/>
      <c r="AY249" s="5"/>
      <c r="AZ249" s="5"/>
      <c r="BA249" s="5"/>
      <c r="BB249" s="5"/>
      <c r="BC249" s="5"/>
      <c r="BD249" s="5"/>
      <c r="BE249" s="373"/>
      <c r="BF249" s="908">
        <f>AM249</f>
        <v>0</v>
      </c>
      <c r="BG249" s="909"/>
      <c r="BH249" s="897">
        <f>AO249</f>
        <v>0</v>
      </c>
      <c r="BI249" s="906"/>
      <c r="BJ249" s="898"/>
      <c r="BK249" s="897">
        <f t="shared" ref="BK249:BK252" si="2">BH249*1.025</f>
        <v>0</v>
      </c>
      <c r="BL249" s="906"/>
      <c r="BM249" s="898"/>
      <c r="BN249" s="5"/>
      <c r="BO249" s="5"/>
      <c r="BP249" s="5"/>
      <c r="BQ249" s="5"/>
      <c r="BR249" s="5"/>
      <c r="BS249" s="5"/>
      <c r="BT249" s="5"/>
      <c r="BU249" s="5"/>
      <c r="BV249" s="5"/>
      <c r="BW249" s="5"/>
      <c r="BX249" s="373"/>
      <c r="BY249" s="5"/>
      <c r="BZ249" s="5"/>
      <c r="CA249" s="5"/>
      <c r="CB249" s="5"/>
      <c r="CC249" s="5"/>
      <c r="CF249" s="397"/>
      <c r="CG249" s="397"/>
      <c r="CH249" s="397"/>
      <c r="CI249" s="397"/>
      <c r="CJ249" s="397"/>
      <c r="CK249" s="397"/>
      <c r="CL249" s="5"/>
      <c r="CM249" s="5"/>
      <c r="CN249" s="5"/>
      <c r="CO249" s="5"/>
      <c r="CP249" s="5"/>
      <c r="CQ249" s="5"/>
      <c r="CR249" s="5"/>
      <c r="CS249" s="5"/>
      <c r="CT249" s="5"/>
      <c r="CU249" s="5"/>
      <c r="CV249" s="5"/>
      <c r="CW249" s="372"/>
      <c r="CZ249" s="397"/>
      <c r="DA249" s="397"/>
      <c r="DB249" s="397"/>
      <c r="DC249" s="397"/>
      <c r="DD249" s="397"/>
      <c r="DE249" s="397"/>
      <c r="DF249" s="5"/>
      <c r="DG249" s="5"/>
      <c r="DH249" s="5"/>
      <c r="DI249" s="5"/>
      <c r="DJ249" s="5"/>
      <c r="DK249" s="5"/>
      <c r="DL249" s="5"/>
      <c r="DM249" s="5"/>
      <c r="DN249" s="5"/>
      <c r="DO249" s="5"/>
      <c r="DP249" s="5"/>
      <c r="DR249" s="372"/>
      <c r="DS249" s="374"/>
      <c r="DT249" s="5"/>
      <c r="DU249" s="5"/>
      <c r="DV249" s="5"/>
      <c r="DW249" s="5"/>
      <c r="DX249" s="5"/>
      <c r="DY249" s="161"/>
      <c r="DZ249" s="5"/>
      <c r="EA249" s="5"/>
      <c r="EB249" s="5"/>
      <c r="EC249" s="5"/>
      <c r="ED249" s="5"/>
      <c r="EE249" s="5"/>
      <c r="EF249" s="5"/>
      <c r="EG249" s="5"/>
      <c r="EH249" s="5"/>
      <c r="EI249" s="5"/>
      <c r="EJ249" s="5"/>
      <c r="EK249" s="5"/>
    </row>
    <row r="250" spans="1:141">
      <c r="A250" s="904">
        <v>1</v>
      </c>
      <c r="B250" s="905"/>
      <c r="C250" s="897">
        <f>[3]DISP!AZ29</f>
        <v>2265.5699999999997</v>
      </c>
      <c r="D250" s="906"/>
      <c r="E250" s="898"/>
      <c r="F250" s="897">
        <f t="shared" si="0"/>
        <v>2322.2092499999994</v>
      </c>
      <c r="G250" s="906"/>
      <c r="H250" s="898"/>
      <c r="I250" s="5"/>
      <c r="J250" s="5"/>
      <c r="K250" s="5"/>
      <c r="L250" s="5"/>
      <c r="M250" s="5"/>
      <c r="N250" s="5"/>
      <c r="O250" s="5"/>
      <c r="P250" s="5"/>
      <c r="Q250" s="5"/>
      <c r="R250" s="5"/>
      <c r="S250" s="5"/>
      <c r="V250" s="397"/>
      <c r="W250" s="397"/>
      <c r="X250" s="397"/>
      <c r="Y250" s="397"/>
      <c r="Z250" s="397"/>
      <c r="AA250" s="397"/>
      <c r="AB250" s="5"/>
      <c r="AC250" s="5"/>
      <c r="AD250" s="5"/>
      <c r="AE250" s="5"/>
      <c r="AF250" s="5"/>
      <c r="AG250" s="5"/>
      <c r="AH250" s="5"/>
      <c r="AI250" s="5"/>
      <c r="AJ250" s="5"/>
      <c r="AK250" s="5"/>
      <c r="AL250" s="5"/>
      <c r="AM250" s="908">
        <f t="shared" ref="AM250:AM258" si="3">T250</f>
        <v>0</v>
      </c>
      <c r="AN250" s="909"/>
      <c r="AO250" s="897">
        <f t="shared" ref="AO250:AO258" si="4">V250</f>
        <v>0</v>
      </c>
      <c r="AP250" s="906"/>
      <c r="AQ250" s="898"/>
      <c r="AR250" s="897">
        <f t="shared" si="1"/>
        <v>0</v>
      </c>
      <c r="AS250" s="906"/>
      <c r="AT250" s="898"/>
      <c r="AU250" s="5"/>
      <c r="AV250" s="5"/>
      <c r="AW250" s="5"/>
      <c r="AX250" s="5"/>
      <c r="AY250" s="5"/>
      <c r="AZ250" s="5"/>
      <c r="BA250" s="5"/>
      <c r="BB250" s="5"/>
      <c r="BC250" s="5"/>
      <c r="BD250" s="5"/>
      <c r="BE250" s="373"/>
      <c r="BF250" s="908">
        <f t="shared" ref="BF250:BF258" si="5">AM250</f>
        <v>0</v>
      </c>
      <c r="BG250" s="909"/>
      <c r="BH250" s="897">
        <f t="shared" ref="BH250:BH258" si="6">AO250</f>
        <v>0</v>
      </c>
      <c r="BI250" s="906"/>
      <c r="BJ250" s="898"/>
      <c r="BK250" s="897">
        <f t="shared" si="2"/>
        <v>0</v>
      </c>
      <c r="BL250" s="906"/>
      <c r="BM250" s="898"/>
      <c r="BN250" s="5"/>
      <c r="BO250" s="5"/>
      <c r="BP250" s="5"/>
      <c r="BQ250" s="5"/>
      <c r="BR250" s="5"/>
      <c r="BS250" s="5"/>
      <c r="BT250" s="5"/>
      <c r="BU250" s="5"/>
      <c r="BV250" s="5"/>
      <c r="BW250" s="5"/>
      <c r="BX250" s="373"/>
      <c r="BY250" s="5"/>
      <c r="BZ250" s="5"/>
      <c r="CA250" s="5"/>
      <c r="CB250" s="5"/>
      <c r="CC250" s="5"/>
      <c r="CD250" s="5"/>
      <c r="CE250" s="5"/>
      <c r="CF250" s="397"/>
      <c r="CG250" s="397"/>
      <c r="CH250" s="397"/>
      <c r="CI250" s="397"/>
      <c r="CJ250" s="397"/>
      <c r="CK250" s="397"/>
      <c r="CL250" s="5"/>
      <c r="CM250" s="5"/>
      <c r="CN250" s="5"/>
      <c r="CO250" s="5"/>
      <c r="CP250" s="5"/>
      <c r="CQ250" s="5"/>
      <c r="CR250" s="5"/>
      <c r="CS250" s="5"/>
      <c r="CT250" s="5"/>
      <c r="CU250" s="5"/>
      <c r="CV250" s="5"/>
      <c r="CW250" s="372"/>
      <c r="CX250" s="5"/>
      <c r="CY250" s="5"/>
      <c r="CZ250" s="397"/>
      <c r="DA250" s="397"/>
      <c r="DB250" s="397"/>
      <c r="DC250" s="397"/>
      <c r="DD250" s="397"/>
      <c r="DE250" s="397"/>
      <c r="DF250" s="5"/>
      <c r="DG250" s="5"/>
      <c r="DH250" s="5"/>
      <c r="DI250" s="5"/>
      <c r="DJ250" s="5"/>
      <c r="DK250" s="5"/>
      <c r="DL250" s="5"/>
      <c r="DM250" s="5"/>
      <c r="DN250" s="5"/>
      <c r="DO250" s="5"/>
      <c r="DP250" s="5"/>
      <c r="DR250" s="372"/>
      <c r="DS250" s="716"/>
      <c r="DT250" s="716"/>
      <c r="DU250" s="716"/>
      <c r="DV250" s="716"/>
      <c r="DW250" s="716"/>
      <c r="DX250" s="716"/>
      <c r="DY250" s="716"/>
      <c r="DZ250" s="716"/>
      <c r="EA250" s="5"/>
      <c r="EB250" s="5"/>
      <c r="EC250" s="5"/>
      <c r="ED250" s="5"/>
      <c r="EE250" s="5"/>
      <c r="EF250" s="5"/>
      <c r="EG250" s="5"/>
      <c r="EH250" s="5"/>
      <c r="EI250" s="5"/>
      <c r="EJ250" s="5"/>
      <c r="EK250" s="5"/>
    </row>
    <row r="251" spans="1:141">
      <c r="A251" s="904">
        <v>2</v>
      </c>
      <c r="B251" s="905"/>
      <c r="C251" s="897">
        <f>[3]DISP!AT29</f>
        <v>4757.2308333333331</v>
      </c>
      <c r="D251" s="906"/>
      <c r="E251" s="898"/>
      <c r="F251" s="897">
        <f t="shared" si="0"/>
        <v>4876.1616041666657</v>
      </c>
      <c r="G251" s="906"/>
      <c r="H251" s="898"/>
      <c r="I251" s="5"/>
      <c r="J251" s="161" t="s">
        <v>986</v>
      </c>
      <c r="K251" s="161" t="s">
        <v>63</v>
      </c>
      <c r="L251" s="369" t="s">
        <v>1010</v>
      </c>
      <c r="P251" s="5"/>
      <c r="Q251" s="5"/>
      <c r="R251" s="5"/>
      <c r="S251" s="5"/>
      <c r="V251" s="397"/>
      <c r="W251" s="397"/>
      <c r="X251" s="397"/>
      <c r="Y251" s="397"/>
      <c r="Z251" s="397"/>
      <c r="AA251" s="397"/>
      <c r="AB251" s="5"/>
      <c r="AC251" s="161"/>
      <c r="AD251" s="161"/>
      <c r="AI251" s="5"/>
      <c r="AJ251" s="5"/>
      <c r="AK251" s="5"/>
      <c r="AL251" s="5"/>
      <c r="AM251" s="908">
        <f t="shared" si="3"/>
        <v>0</v>
      </c>
      <c r="AN251" s="909"/>
      <c r="AO251" s="897">
        <f t="shared" si="4"/>
        <v>0</v>
      </c>
      <c r="AP251" s="906"/>
      <c r="AQ251" s="898"/>
      <c r="AR251" s="897">
        <f t="shared" si="1"/>
        <v>0</v>
      </c>
      <c r="AS251" s="906"/>
      <c r="AT251" s="898"/>
      <c r="AU251" s="5"/>
      <c r="AV251" s="161" t="s">
        <v>986</v>
      </c>
      <c r="AW251" s="161" t="s">
        <v>63</v>
      </c>
      <c r="AX251" s="369" t="s">
        <v>1010</v>
      </c>
      <c r="BB251" s="5"/>
      <c r="BC251" s="5"/>
      <c r="BD251" s="5"/>
      <c r="BE251" s="373"/>
      <c r="BF251" s="908">
        <f t="shared" si="5"/>
        <v>0</v>
      </c>
      <c r="BG251" s="909"/>
      <c r="BH251" s="897">
        <f t="shared" si="6"/>
        <v>0</v>
      </c>
      <c r="BI251" s="906"/>
      <c r="BJ251" s="898"/>
      <c r="BK251" s="897">
        <f t="shared" si="2"/>
        <v>0</v>
      </c>
      <c r="BL251" s="906"/>
      <c r="BM251" s="898"/>
      <c r="BN251" s="5"/>
      <c r="BO251" s="161" t="s">
        <v>986</v>
      </c>
      <c r="BP251" s="161" t="s">
        <v>63</v>
      </c>
      <c r="BQ251" s="369" t="s">
        <v>1010</v>
      </c>
      <c r="BU251" s="5"/>
      <c r="BV251" s="5"/>
      <c r="BW251" s="5"/>
      <c r="BX251" s="373"/>
      <c r="BY251" s="5"/>
      <c r="BZ251" s="5"/>
      <c r="CA251" s="5"/>
      <c r="CB251" s="5"/>
      <c r="CC251" s="5"/>
      <c r="CD251" s="5"/>
      <c r="CE251" s="5"/>
      <c r="CF251" s="397"/>
      <c r="CG251" s="397"/>
      <c r="CH251" s="397"/>
      <c r="CI251" s="397"/>
      <c r="CJ251" s="397"/>
      <c r="CK251" s="397"/>
      <c r="CL251" s="5"/>
      <c r="CM251" s="161"/>
      <c r="CN251" s="161"/>
      <c r="CS251" s="5"/>
      <c r="CT251" s="5"/>
      <c r="CU251" s="5"/>
      <c r="CV251" s="5"/>
      <c r="CW251" s="372"/>
      <c r="CX251" s="5"/>
      <c r="CY251" s="5"/>
      <c r="CZ251" s="397"/>
      <c r="DA251" s="397"/>
      <c r="DB251" s="397"/>
      <c r="DC251" s="397"/>
      <c r="DD251" s="397"/>
      <c r="DE251" s="397"/>
      <c r="DF251" s="5"/>
      <c r="DG251" s="161"/>
      <c r="DH251" s="161"/>
      <c r="DM251" s="5"/>
      <c r="DN251" s="5"/>
      <c r="DO251" s="5"/>
      <c r="DP251" s="5"/>
      <c r="DR251" s="372"/>
      <c r="DS251" s="716"/>
      <c r="DT251" s="716"/>
      <c r="DU251" s="716"/>
      <c r="DV251" s="716"/>
      <c r="DW251" s="716"/>
      <c r="DX251" s="716"/>
      <c r="DY251" s="716"/>
      <c r="DZ251" s="716"/>
      <c r="EA251" s="5"/>
      <c r="EB251" s="161"/>
      <c r="EC251" s="161"/>
      <c r="EH251" s="5"/>
      <c r="EI251" s="5"/>
      <c r="EJ251" s="5"/>
      <c r="EK251" s="5"/>
    </row>
    <row r="252" spans="1:141">
      <c r="A252" s="904">
        <v>3</v>
      </c>
      <c r="B252" s="905"/>
      <c r="C252" s="897">
        <f>[3]DISP!AN29</f>
        <v>7312.2903333333315</v>
      </c>
      <c r="D252" s="906"/>
      <c r="E252" s="898"/>
      <c r="F252" s="897">
        <f t="shared" si="0"/>
        <v>7495.0975916666639</v>
      </c>
      <c r="G252" s="906"/>
      <c r="H252" s="898"/>
      <c r="I252" s="5"/>
      <c r="J252" s="5"/>
      <c r="K252" s="161"/>
      <c r="L252" s="5"/>
      <c r="M252" s="397"/>
      <c r="N252" s="397"/>
      <c r="O252" s="397"/>
      <c r="P252" s="5"/>
      <c r="Q252" s="5"/>
      <c r="R252" s="5"/>
      <c r="S252" s="5"/>
      <c r="V252" s="397"/>
      <c r="W252" s="397"/>
      <c r="X252" s="397"/>
      <c r="Y252" s="397"/>
      <c r="Z252" s="397"/>
      <c r="AA252" s="397"/>
      <c r="AB252" s="5"/>
      <c r="AC252" s="5"/>
      <c r="AD252" s="161"/>
      <c r="AE252" s="5"/>
      <c r="AF252" s="397"/>
      <c r="AG252" s="397"/>
      <c r="AH252" s="397"/>
      <c r="AI252" s="5"/>
      <c r="AJ252" s="5"/>
      <c r="AK252" s="5"/>
      <c r="AL252" s="5"/>
      <c r="AM252" s="908">
        <f t="shared" si="3"/>
        <v>0</v>
      </c>
      <c r="AN252" s="909"/>
      <c r="AO252" s="897">
        <f t="shared" si="4"/>
        <v>0</v>
      </c>
      <c r="AP252" s="906"/>
      <c r="AQ252" s="898"/>
      <c r="AR252" s="897">
        <f t="shared" si="1"/>
        <v>0</v>
      </c>
      <c r="AS252" s="906"/>
      <c r="AT252" s="898"/>
      <c r="AU252" s="5"/>
      <c r="AV252" s="5"/>
      <c r="AW252" s="161"/>
      <c r="AX252" s="5"/>
      <c r="AY252" s="397"/>
      <c r="AZ252" s="397"/>
      <c r="BA252" s="397"/>
      <c r="BB252" s="5"/>
      <c r="BC252" s="5"/>
      <c r="BD252" s="5"/>
      <c r="BE252" s="373"/>
      <c r="BF252" s="908">
        <f t="shared" si="5"/>
        <v>0</v>
      </c>
      <c r="BG252" s="909"/>
      <c r="BH252" s="897">
        <f t="shared" si="6"/>
        <v>0</v>
      </c>
      <c r="BI252" s="906"/>
      <c r="BJ252" s="898"/>
      <c r="BK252" s="897">
        <f t="shared" si="2"/>
        <v>0</v>
      </c>
      <c r="BL252" s="906"/>
      <c r="BM252" s="898"/>
      <c r="BN252" s="5"/>
      <c r="BO252" s="5"/>
      <c r="BP252" s="161"/>
      <c r="BQ252" s="5"/>
      <c r="BR252" s="397"/>
      <c r="BS252" s="397"/>
      <c r="BT252" s="397"/>
      <c r="BU252" s="5"/>
      <c r="BV252" s="5"/>
      <c r="BW252" s="5"/>
      <c r="BX252" s="373"/>
      <c r="BY252" s="5"/>
      <c r="BZ252" s="5"/>
      <c r="CA252" s="5"/>
      <c r="CB252" s="5"/>
      <c r="CC252" s="5"/>
      <c r="CD252" s="5"/>
      <c r="CE252" s="5"/>
      <c r="CF252" s="397"/>
      <c r="CG252" s="397"/>
      <c r="CH252" s="397"/>
      <c r="CI252" s="397"/>
      <c r="CJ252" s="397"/>
      <c r="CK252" s="397"/>
      <c r="CL252" s="5"/>
      <c r="CM252" s="5"/>
      <c r="CN252" s="161"/>
      <c r="CO252" s="5"/>
      <c r="CP252" s="397"/>
      <c r="CQ252" s="397"/>
      <c r="CR252" s="397"/>
      <c r="CS252" s="5"/>
      <c r="CT252" s="5"/>
      <c r="CU252" s="5"/>
      <c r="CV252" s="5"/>
      <c r="CW252" s="372"/>
      <c r="CX252" s="5"/>
      <c r="CY252" s="5"/>
      <c r="CZ252" s="397"/>
      <c r="DA252" s="397"/>
      <c r="DB252" s="397"/>
      <c r="DC252" s="397"/>
      <c r="DD252" s="397"/>
      <c r="DE252" s="397"/>
      <c r="DF252" s="5"/>
      <c r="DG252" s="5"/>
      <c r="DH252" s="161"/>
      <c r="DI252" s="5"/>
      <c r="DJ252" s="397"/>
      <c r="DK252" s="397"/>
      <c r="DL252" s="397"/>
      <c r="DM252" s="5"/>
      <c r="DN252" s="5"/>
      <c r="DO252" s="5"/>
      <c r="DP252" s="5"/>
      <c r="DR252" s="372"/>
      <c r="DS252" s="716"/>
      <c r="DT252" s="716"/>
      <c r="DU252" s="892"/>
      <c r="DV252" s="892"/>
      <c r="DW252" s="892"/>
      <c r="DX252" s="892"/>
      <c r="DY252" s="892"/>
      <c r="DZ252" s="892"/>
      <c r="EA252" s="5"/>
      <c r="EB252" s="5"/>
      <c r="EC252" s="161"/>
      <c r="ED252" s="5"/>
      <c r="EE252" s="5"/>
      <c r="EF252" s="5"/>
      <c r="EG252" s="5"/>
      <c r="EH252" s="5"/>
      <c r="EI252" s="5"/>
      <c r="EJ252" s="5"/>
      <c r="EK252" s="5"/>
    </row>
    <row r="253" spans="1:141">
      <c r="A253" s="904">
        <v>4</v>
      </c>
      <c r="B253" s="905"/>
      <c r="C253" s="897">
        <f>[3]DISP!AH29</f>
        <v>9893.2220833333322</v>
      </c>
      <c r="D253" s="906"/>
      <c r="E253" s="898"/>
      <c r="F253" s="897">
        <f>C253*1.025</f>
        <v>10140.552635416665</v>
      </c>
      <c r="G253" s="906"/>
      <c r="H253" s="898"/>
      <c r="I253" s="5"/>
      <c r="J253" s="5"/>
      <c r="K253" s="397"/>
      <c r="L253" s="5"/>
      <c r="M253" s="397"/>
      <c r="N253" s="397"/>
      <c r="O253" s="397"/>
      <c r="P253" s="5"/>
      <c r="Q253" s="5"/>
      <c r="R253" s="5"/>
      <c r="S253" s="5"/>
      <c r="V253" s="397"/>
      <c r="W253" s="397"/>
      <c r="X253" s="397"/>
      <c r="Y253" s="397"/>
      <c r="Z253" s="397"/>
      <c r="AA253" s="397"/>
      <c r="AB253" s="5"/>
      <c r="AC253" s="5"/>
      <c r="AD253" s="397"/>
      <c r="AE253" s="5"/>
      <c r="AF253" s="397"/>
      <c r="AG253" s="397"/>
      <c r="AH253" s="397"/>
      <c r="AI253" s="5"/>
      <c r="AJ253" s="5"/>
      <c r="AK253" s="5"/>
      <c r="AL253" s="5"/>
      <c r="AM253" s="908">
        <f t="shared" si="3"/>
        <v>0</v>
      </c>
      <c r="AN253" s="909"/>
      <c r="AO253" s="897">
        <f t="shared" si="4"/>
        <v>0</v>
      </c>
      <c r="AP253" s="906"/>
      <c r="AQ253" s="898"/>
      <c r="AR253" s="897">
        <f>AO253*1.025</f>
        <v>0</v>
      </c>
      <c r="AS253" s="906"/>
      <c r="AT253" s="898"/>
      <c r="AU253" s="5"/>
      <c r="AV253" s="5"/>
      <c r="AW253" s="397"/>
      <c r="AX253" s="5"/>
      <c r="AY253" s="397"/>
      <c r="AZ253" s="397"/>
      <c r="BA253" s="397"/>
      <c r="BB253" s="5"/>
      <c r="BC253" s="5"/>
      <c r="BD253" s="5"/>
      <c r="BE253" s="373"/>
      <c r="BF253" s="908">
        <f t="shared" si="5"/>
        <v>0</v>
      </c>
      <c r="BG253" s="909"/>
      <c r="BH253" s="897">
        <f t="shared" si="6"/>
        <v>0</v>
      </c>
      <c r="BI253" s="906"/>
      <c r="BJ253" s="898"/>
      <c r="BK253" s="897">
        <f>BH253*1.025</f>
        <v>0</v>
      </c>
      <c r="BL253" s="906"/>
      <c r="BM253" s="898"/>
      <c r="BN253" s="5"/>
      <c r="BO253" s="5"/>
      <c r="BP253" s="397"/>
      <c r="BQ253" s="5"/>
      <c r="BR253" s="397"/>
      <c r="BS253" s="397"/>
      <c r="BT253" s="397"/>
      <c r="BU253" s="5"/>
      <c r="BV253" s="5"/>
      <c r="BW253" s="5"/>
      <c r="BX253" s="373"/>
      <c r="BY253" s="5"/>
      <c r="BZ253" s="5"/>
      <c r="CA253" s="5"/>
      <c r="CB253" s="5"/>
      <c r="CC253" s="5"/>
      <c r="CD253" s="5"/>
      <c r="CE253" s="5"/>
      <c r="CF253" s="397"/>
      <c r="CG253" s="397"/>
      <c r="CH253" s="397"/>
      <c r="CI253" s="397"/>
      <c r="CJ253" s="397"/>
      <c r="CK253" s="397"/>
      <c r="CL253" s="5"/>
      <c r="CM253" s="5"/>
      <c r="CN253" s="397"/>
      <c r="CO253" s="5"/>
      <c r="CP253" s="397"/>
      <c r="CQ253" s="397"/>
      <c r="CR253" s="397"/>
      <c r="CS253" s="5"/>
      <c r="CT253" s="5"/>
      <c r="CU253" s="5"/>
      <c r="CV253" s="5"/>
      <c r="CW253" s="372"/>
      <c r="CX253" s="5"/>
      <c r="CY253" s="5"/>
      <c r="CZ253" s="397"/>
      <c r="DA253" s="397"/>
      <c r="DB253" s="397"/>
      <c r="DC253" s="397"/>
      <c r="DD253" s="397"/>
      <c r="DE253" s="397"/>
      <c r="DF253" s="5"/>
      <c r="DG253" s="5"/>
      <c r="DH253" s="397"/>
      <c r="DI253" s="5"/>
      <c r="DJ253" s="397"/>
      <c r="DK253" s="397"/>
      <c r="DL253" s="397"/>
      <c r="DM253" s="5"/>
      <c r="DN253" s="5"/>
      <c r="DO253" s="5"/>
      <c r="DP253" s="5"/>
      <c r="DR253" s="372"/>
      <c r="DS253" s="716"/>
      <c r="DT253" s="716"/>
      <c r="DU253" s="892"/>
      <c r="DV253" s="892"/>
      <c r="DW253" s="892"/>
      <c r="DX253" s="892"/>
      <c r="DY253" s="892"/>
      <c r="DZ253" s="892"/>
      <c r="EA253" s="5"/>
      <c r="EB253" s="5"/>
      <c r="EC253" s="397"/>
      <c r="ED253" s="5"/>
      <c r="EE253" s="5"/>
      <c r="EF253" s="5"/>
      <c r="EG253" s="5"/>
      <c r="EH253" s="5"/>
      <c r="EI253" s="5"/>
      <c r="EJ253" s="5"/>
      <c r="EK253" s="5"/>
    </row>
    <row r="254" spans="1:141">
      <c r="A254" s="904">
        <v>5</v>
      </c>
      <c r="B254" s="905"/>
      <c r="C254" s="897">
        <f>[3]DISP!AB29</f>
        <v>12496.110283333332</v>
      </c>
      <c r="D254" s="906"/>
      <c r="E254" s="898"/>
      <c r="F254" s="897">
        <f>C254*1.025</f>
        <v>12808.513040416663</v>
      </c>
      <c r="G254" s="906"/>
      <c r="H254" s="898"/>
      <c r="I254" s="5"/>
      <c r="J254" s="5"/>
      <c r="K254" s="5"/>
      <c r="L254" s="5"/>
      <c r="M254" s="397"/>
      <c r="N254" s="397"/>
      <c r="O254" s="397"/>
      <c r="P254" s="5"/>
      <c r="Q254" s="5"/>
      <c r="R254" s="5"/>
      <c r="S254" s="5"/>
      <c r="V254" s="397"/>
      <c r="W254" s="397"/>
      <c r="X254" s="397"/>
      <c r="Y254" s="397"/>
      <c r="Z254" s="397"/>
      <c r="AA254" s="397"/>
      <c r="AB254" s="5"/>
      <c r="AC254" s="5"/>
      <c r="AD254" s="5"/>
      <c r="AE254" s="5"/>
      <c r="AF254" s="397"/>
      <c r="AG254" s="397"/>
      <c r="AH254" s="397"/>
      <c r="AI254" s="5"/>
      <c r="AJ254" s="5"/>
      <c r="AK254" s="5"/>
      <c r="AL254" s="5"/>
      <c r="AM254" s="908">
        <f t="shared" si="3"/>
        <v>0</v>
      </c>
      <c r="AN254" s="909"/>
      <c r="AO254" s="897">
        <f t="shared" si="4"/>
        <v>0</v>
      </c>
      <c r="AP254" s="906"/>
      <c r="AQ254" s="898"/>
      <c r="AR254" s="897">
        <f>AO254*1.025</f>
        <v>0</v>
      </c>
      <c r="AS254" s="906"/>
      <c r="AT254" s="898"/>
      <c r="AU254" s="5"/>
      <c r="AV254" s="5"/>
      <c r="AW254" s="5"/>
      <c r="AX254" s="5"/>
      <c r="AY254" s="397"/>
      <c r="AZ254" s="397"/>
      <c r="BA254" s="397"/>
      <c r="BB254" s="5"/>
      <c r="BC254" s="5"/>
      <c r="BD254" s="5"/>
      <c r="BE254" s="373"/>
      <c r="BF254" s="908">
        <f t="shared" si="5"/>
        <v>0</v>
      </c>
      <c r="BG254" s="909"/>
      <c r="BH254" s="897">
        <f t="shared" si="6"/>
        <v>0</v>
      </c>
      <c r="BI254" s="906"/>
      <c r="BJ254" s="898"/>
      <c r="BK254" s="897">
        <f>BH254*1.025</f>
        <v>0</v>
      </c>
      <c r="BL254" s="906"/>
      <c r="BM254" s="898"/>
      <c r="BN254" s="5"/>
      <c r="BO254" s="5"/>
      <c r="BP254" s="5"/>
      <c r="BQ254" s="5"/>
      <c r="BR254" s="397"/>
      <c r="BS254" s="397"/>
      <c r="BT254" s="397"/>
      <c r="BU254" s="5"/>
      <c r="BV254" s="5"/>
      <c r="BW254" s="5"/>
      <c r="BX254" s="373"/>
      <c r="BY254" s="5"/>
      <c r="BZ254" s="5"/>
      <c r="CA254" s="5"/>
      <c r="CB254" s="5"/>
      <c r="CC254" s="5"/>
      <c r="CD254" s="5"/>
      <c r="CE254" s="5"/>
      <c r="CF254" s="397"/>
      <c r="CG254" s="397"/>
      <c r="CH254" s="397"/>
      <c r="CI254" s="397"/>
      <c r="CJ254" s="397"/>
      <c r="CK254" s="397"/>
      <c r="CL254" s="5"/>
      <c r="CM254" s="5"/>
      <c r="CN254" s="5"/>
      <c r="CO254" s="5"/>
      <c r="CP254" s="397"/>
      <c r="CQ254" s="397"/>
      <c r="CR254" s="397"/>
      <c r="CS254" s="5"/>
      <c r="CT254" s="5"/>
      <c r="CU254" s="5"/>
      <c r="CV254" s="5"/>
      <c r="CW254" s="372"/>
      <c r="CX254" s="5"/>
      <c r="CY254" s="5"/>
      <c r="CZ254" s="397"/>
      <c r="DA254" s="397"/>
      <c r="DB254" s="397"/>
      <c r="DC254" s="397"/>
      <c r="DD254" s="397"/>
      <c r="DE254" s="397"/>
      <c r="DF254" s="5"/>
      <c r="DG254" s="5"/>
      <c r="DH254" s="5"/>
      <c r="DI254" s="5"/>
      <c r="DJ254" s="397"/>
      <c r="DK254" s="397"/>
      <c r="DL254" s="397"/>
      <c r="DM254" s="5"/>
      <c r="DN254" s="5"/>
      <c r="DO254" s="5"/>
      <c r="DP254" s="5"/>
      <c r="DR254" s="372"/>
      <c r="DS254" s="716"/>
      <c r="DT254" s="716"/>
      <c r="DU254" s="892"/>
      <c r="DV254" s="892"/>
      <c r="DW254" s="892"/>
      <c r="DX254" s="892"/>
      <c r="DY254" s="892"/>
      <c r="DZ254" s="892"/>
      <c r="EA254" s="5"/>
      <c r="EB254" s="5"/>
      <c r="EC254" s="5"/>
      <c r="ED254" s="5"/>
      <c r="EE254" s="5"/>
      <c r="EF254" s="5"/>
      <c r="EG254" s="5"/>
      <c r="EH254" s="5"/>
      <c r="EI254" s="5"/>
      <c r="EJ254" s="5"/>
      <c r="EK254" s="5"/>
    </row>
    <row r="255" spans="1:141">
      <c r="A255" s="904">
        <v>6</v>
      </c>
      <c r="B255" s="905"/>
      <c r="C255" s="897">
        <f>[3]DISP!V29</f>
        <v>15127.52788333333</v>
      </c>
      <c r="D255" s="906"/>
      <c r="E255" s="898"/>
      <c r="F255" s="897">
        <f>C255*1.025</f>
        <v>15505.716080416661</v>
      </c>
      <c r="G255" s="906"/>
      <c r="H255" s="898"/>
      <c r="I255" s="5"/>
      <c r="J255" s="5"/>
      <c r="K255" s="5"/>
      <c r="L255" s="5"/>
      <c r="M255" s="397"/>
      <c r="N255" s="397"/>
      <c r="O255" s="397"/>
      <c r="P255" s="5"/>
      <c r="Q255" s="5"/>
      <c r="R255" s="5"/>
      <c r="S255" s="5"/>
      <c r="V255" s="397"/>
      <c r="W255" s="397"/>
      <c r="X255" s="397"/>
      <c r="Y255" s="397"/>
      <c r="Z255" s="397"/>
      <c r="AA255" s="397"/>
      <c r="AB255" s="5"/>
      <c r="AC255" s="5"/>
      <c r="AD255" s="5"/>
      <c r="AE255" s="5"/>
      <c r="AF255" s="397"/>
      <c r="AG255" s="397"/>
      <c r="AH255" s="397"/>
      <c r="AI255" s="5"/>
      <c r="AJ255" s="5"/>
      <c r="AK255" s="5"/>
      <c r="AL255" s="5"/>
      <c r="AM255" s="908">
        <f t="shared" si="3"/>
        <v>0</v>
      </c>
      <c r="AN255" s="909"/>
      <c r="AO255" s="897">
        <f t="shared" si="4"/>
        <v>0</v>
      </c>
      <c r="AP255" s="906"/>
      <c r="AQ255" s="898"/>
      <c r="AR255" s="897">
        <f>AO255*1.025</f>
        <v>0</v>
      </c>
      <c r="AS255" s="906"/>
      <c r="AT255" s="898"/>
      <c r="AU255" s="5"/>
      <c r="AV255" s="5"/>
      <c r="AW255" s="5"/>
      <c r="AX255" s="5"/>
      <c r="AY255" s="397"/>
      <c r="AZ255" s="397"/>
      <c r="BA255" s="397"/>
      <c r="BB255" s="5"/>
      <c r="BC255" s="5"/>
      <c r="BD255" s="5"/>
      <c r="BE255" s="373"/>
      <c r="BF255" s="908">
        <f t="shared" si="5"/>
        <v>0</v>
      </c>
      <c r="BG255" s="909"/>
      <c r="BH255" s="897">
        <f t="shared" si="6"/>
        <v>0</v>
      </c>
      <c r="BI255" s="906"/>
      <c r="BJ255" s="898"/>
      <c r="BK255" s="897">
        <f>BH255*1.025</f>
        <v>0</v>
      </c>
      <c r="BL255" s="906"/>
      <c r="BM255" s="898"/>
      <c r="BN255" s="5"/>
      <c r="BO255" s="5"/>
      <c r="BP255" s="5"/>
      <c r="BQ255" s="5"/>
      <c r="BR255" s="397"/>
      <c r="BS255" s="397"/>
      <c r="BT255" s="397"/>
      <c r="BU255" s="5"/>
      <c r="BV255" s="5"/>
      <c r="BW255" s="5"/>
      <c r="BX255" s="373"/>
      <c r="BY255" s="5"/>
      <c r="BZ255" s="5"/>
      <c r="CA255" s="5"/>
      <c r="CB255" s="5"/>
      <c r="CC255" s="5"/>
      <c r="CD255" s="5"/>
      <c r="CE255" s="5"/>
      <c r="CF255" s="397"/>
      <c r="CG255" s="397"/>
      <c r="CH255" s="397"/>
      <c r="CI255" s="397"/>
      <c r="CJ255" s="397"/>
      <c r="CK255" s="397"/>
      <c r="CL255" s="5"/>
      <c r="CM255" s="5"/>
      <c r="CN255" s="5"/>
      <c r="CO255" s="5"/>
      <c r="CP255" s="397"/>
      <c r="CQ255" s="397"/>
      <c r="CR255" s="397"/>
      <c r="CS255" s="5"/>
      <c r="CT255" s="5"/>
      <c r="CU255" s="5"/>
      <c r="CV255" s="5"/>
      <c r="CW255" s="372"/>
      <c r="CX255" s="5"/>
      <c r="CY255" s="5"/>
      <c r="CZ255" s="397"/>
      <c r="DA255" s="397"/>
      <c r="DB255" s="397"/>
      <c r="DC255" s="397"/>
      <c r="DD255" s="397"/>
      <c r="DE255" s="397"/>
      <c r="DF255" s="5"/>
      <c r="DG255" s="5"/>
      <c r="DH255" s="5"/>
      <c r="DI255" s="5"/>
      <c r="DJ255" s="397"/>
      <c r="DK255" s="397"/>
      <c r="DL255" s="397"/>
      <c r="DM255" s="5"/>
      <c r="DN255" s="5"/>
      <c r="DO255" s="5"/>
      <c r="DP255" s="5"/>
      <c r="DR255" s="372"/>
      <c r="DS255" s="716"/>
      <c r="DT255" s="716"/>
      <c r="DU255" s="892"/>
      <c r="DV255" s="892"/>
      <c r="DW255" s="892"/>
      <c r="DX255" s="892"/>
      <c r="DY255" s="892"/>
      <c r="DZ255" s="892"/>
      <c r="EA255" s="5"/>
      <c r="EB255" s="5"/>
      <c r="EC255" s="5"/>
      <c r="ED255" s="5"/>
      <c r="EE255" s="5"/>
      <c r="EF255" s="5"/>
      <c r="EG255" s="5"/>
      <c r="EH255" s="5"/>
      <c r="EI255" s="5"/>
      <c r="EJ255" s="5"/>
      <c r="EK255" s="5"/>
    </row>
    <row r="256" spans="1:141">
      <c r="A256" s="904">
        <v>7</v>
      </c>
      <c r="B256" s="905"/>
      <c r="C256" s="897">
        <f>[3]DISP!P29</f>
        <v>17801.09161166667</v>
      </c>
      <c r="D256" s="906"/>
      <c r="E256" s="898"/>
      <c r="F256" s="904">
        <f t="shared" si="0"/>
        <v>18246.118901958336</v>
      </c>
      <c r="G256" s="907"/>
      <c r="H256" s="905"/>
      <c r="I256" s="5"/>
      <c r="J256" s="5"/>
      <c r="K256" s="5"/>
      <c r="L256" s="397"/>
      <c r="M256" s="397"/>
      <c r="N256" s="397"/>
      <c r="O256" s="397"/>
      <c r="P256" s="5"/>
      <c r="Q256" s="5"/>
      <c r="R256" s="5"/>
      <c r="S256" s="5"/>
      <c r="V256" s="397"/>
      <c r="W256" s="397"/>
      <c r="X256" s="397"/>
      <c r="Y256" s="5"/>
      <c r="Z256" s="5"/>
      <c r="AA256" s="5"/>
      <c r="AB256" s="5"/>
      <c r="AC256" s="5"/>
      <c r="AD256" s="5"/>
      <c r="AE256" s="397"/>
      <c r="AF256" s="397"/>
      <c r="AG256" s="397"/>
      <c r="AH256" s="397"/>
      <c r="AI256" s="5"/>
      <c r="AJ256" s="5"/>
      <c r="AK256" s="5"/>
      <c r="AL256" s="5"/>
      <c r="AM256" s="908">
        <f t="shared" si="3"/>
        <v>0</v>
      </c>
      <c r="AN256" s="909"/>
      <c r="AO256" s="897">
        <f t="shared" si="4"/>
        <v>0</v>
      </c>
      <c r="AP256" s="906"/>
      <c r="AQ256" s="898"/>
      <c r="AR256" s="904">
        <f t="shared" ref="AR256:AR258" si="7">AO256*1.025</f>
        <v>0</v>
      </c>
      <c r="AS256" s="907"/>
      <c r="AT256" s="905"/>
      <c r="AU256" s="5"/>
      <c r="AV256" s="5"/>
      <c r="AW256" s="5"/>
      <c r="AX256" s="397"/>
      <c r="AY256" s="397"/>
      <c r="AZ256" s="397"/>
      <c r="BA256" s="397"/>
      <c r="BB256" s="5"/>
      <c r="BC256" s="5"/>
      <c r="BD256" s="5"/>
      <c r="BE256" s="373"/>
      <c r="BF256" s="908">
        <f t="shared" si="5"/>
        <v>0</v>
      </c>
      <c r="BG256" s="909"/>
      <c r="BH256" s="897">
        <f t="shared" si="6"/>
        <v>0</v>
      </c>
      <c r="BI256" s="906"/>
      <c r="BJ256" s="898"/>
      <c r="BK256" s="904">
        <f t="shared" ref="BK256:BK258" si="8">BH256*1.025</f>
        <v>0</v>
      </c>
      <c r="BL256" s="907"/>
      <c r="BM256" s="905"/>
      <c r="BN256" s="5"/>
      <c r="BO256" s="5"/>
      <c r="BP256" s="5"/>
      <c r="BQ256" s="397"/>
      <c r="BR256" s="397"/>
      <c r="BS256" s="397"/>
      <c r="BT256" s="397"/>
      <c r="BU256" s="5"/>
      <c r="BV256" s="5"/>
      <c r="BW256" s="5"/>
      <c r="BX256" s="373"/>
      <c r="BY256" s="5"/>
      <c r="BZ256" s="5"/>
      <c r="CA256" s="5"/>
      <c r="CB256" s="5"/>
      <c r="CC256" s="5"/>
      <c r="CD256" s="5"/>
      <c r="CE256" s="5"/>
      <c r="CF256" s="397"/>
      <c r="CG256" s="397"/>
      <c r="CH256" s="397"/>
      <c r="CI256" s="5"/>
      <c r="CJ256" s="5"/>
      <c r="CK256" s="5"/>
      <c r="CL256" s="5"/>
      <c r="CM256" s="5"/>
      <c r="CN256" s="5"/>
      <c r="CO256" s="397"/>
      <c r="CP256" s="397"/>
      <c r="CQ256" s="397"/>
      <c r="CR256" s="397"/>
      <c r="CS256" s="5"/>
      <c r="CT256" s="5"/>
      <c r="CU256" s="5"/>
      <c r="CV256" s="5"/>
      <c r="CW256" s="372"/>
      <c r="CX256" s="5"/>
      <c r="CY256" s="5"/>
      <c r="CZ256" s="397"/>
      <c r="DA256" s="397"/>
      <c r="DB256" s="397"/>
      <c r="DC256" s="5"/>
      <c r="DD256" s="5"/>
      <c r="DE256" s="5"/>
      <c r="DF256" s="5"/>
      <c r="DG256" s="5"/>
      <c r="DH256" s="5"/>
      <c r="DI256" s="397"/>
      <c r="DJ256" s="397"/>
      <c r="DK256" s="397"/>
      <c r="DL256" s="397"/>
      <c r="DM256" s="5"/>
      <c r="DN256" s="5"/>
      <c r="DO256" s="5"/>
      <c r="DP256" s="5"/>
      <c r="DR256" s="372"/>
      <c r="DS256" s="716"/>
      <c r="DT256" s="716"/>
      <c r="DU256" s="892"/>
      <c r="DV256" s="892"/>
      <c r="DW256" s="892"/>
      <c r="DX256" s="892"/>
      <c r="DY256" s="892"/>
      <c r="DZ256" s="892"/>
      <c r="EA256" s="5"/>
      <c r="EB256" s="5"/>
      <c r="EC256" s="5"/>
      <c r="ED256" s="397"/>
      <c r="EE256" s="5"/>
      <c r="EF256" s="5"/>
      <c r="EG256" s="5"/>
      <c r="EH256" s="5"/>
      <c r="EI256" s="5"/>
      <c r="EJ256" s="5"/>
      <c r="EK256" s="5"/>
    </row>
    <row r="257" spans="1:141">
      <c r="A257" s="904">
        <v>8</v>
      </c>
      <c r="B257" s="905"/>
      <c r="C257" s="897">
        <f>[3]DISP!J29</f>
        <v>20534.723245833338</v>
      </c>
      <c r="D257" s="906"/>
      <c r="E257" s="898"/>
      <c r="F257" s="904">
        <f t="shared" si="0"/>
        <v>21048.091326979171</v>
      </c>
      <c r="G257" s="907"/>
      <c r="H257" s="905"/>
      <c r="I257" s="5"/>
      <c r="J257" s="5"/>
      <c r="K257" s="5"/>
      <c r="L257" s="5"/>
      <c r="M257" s="397"/>
      <c r="N257" s="397"/>
      <c r="O257" s="397"/>
      <c r="P257" s="5"/>
      <c r="Q257" s="5"/>
      <c r="R257" s="5"/>
      <c r="S257" s="5"/>
      <c r="V257" s="397"/>
      <c r="W257" s="397"/>
      <c r="X257" s="397"/>
      <c r="Y257" s="5"/>
      <c r="Z257" s="5"/>
      <c r="AA257" s="5"/>
      <c r="AB257" s="5"/>
      <c r="AC257" s="5"/>
      <c r="AD257" s="5"/>
      <c r="AE257" s="5"/>
      <c r="AF257" s="397"/>
      <c r="AG257" s="397"/>
      <c r="AH257" s="397"/>
      <c r="AI257" s="5"/>
      <c r="AJ257" s="5"/>
      <c r="AK257" s="5"/>
      <c r="AL257" s="5"/>
      <c r="AM257" s="908">
        <f t="shared" si="3"/>
        <v>0</v>
      </c>
      <c r="AN257" s="909"/>
      <c r="AO257" s="897">
        <f t="shared" si="4"/>
        <v>0</v>
      </c>
      <c r="AP257" s="906"/>
      <c r="AQ257" s="898"/>
      <c r="AR257" s="904">
        <f t="shared" si="7"/>
        <v>0</v>
      </c>
      <c r="AS257" s="907"/>
      <c r="AT257" s="905"/>
      <c r="AU257" s="5"/>
      <c r="AV257" s="5"/>
      <c r="AW257" s="5"/>
      <c r="AX257" s="5"/>
      <c r="AY257" s="397"/>
      <c r="AZ257" s="397"/>
      <c r="BA257" s="397"/>
      <c r="BB257" s="5"/>
      <c r="BC257" s="5"/>
      <c r="BD257" s="5"/>
      <c r="BE257" s="373"/>
      <c r="BF257" s="908">
        <f t="shared" si="5"/>
        <v>0</v>
      </c>
      <c r="BG257" s="909"/>
      <c r="BH257" s="897">
        <f t="shared" si="6"/>
        <v>0</v>
      </c>
      <c r="BI257" s="906"/>
      <c r="BJ257" s="898"/>
      <c r="BK257" s="904">
        <f t="shared" si="8"/>
        <v>0</v>
      </c>
      <c r="BL257" s="907"/>
      <c r="BM257" s="905"/>
      <c r="BN257" s="5"/>
      <c r="BO257" s="5"/>
      <c r="BP257" s="5"/>
      <c r="BQ257" s="5"/>
      <c r="BR257" s="397"/>
      <c r="BS257" s="397"/>
      <c r="BT257" s="397"/>
      <c r="BU257" s="5"/>
      <c r="BV257" s="5"/>
      <c r="BW257" s="5"/>
      <c r="BX257" s="373"/>
      <c r="BY257" s="5"/>
      <c r="BZ257" s="5"/>
      <c r="CA257" s="5"/>
      <c r="CB257" s="5"/>
      <c r="CC257" s="5"/>
      <c r="CD257" s="375"/>
      <c r="CE257" s="375"/>
      <c r="CF257" s="397"/>
      <c r="CG257" s="397"/>
      <c r="CH257" s="397"/>
      <c r="CI257" s="5"/>
      <c r="CJ257" s="5"/>
      <c r="CK257" s="5"/>
      <c r="CL257" s="5"/>
      <c r="CM257" s="5"/>
      <c r="CN257" s="5"/>
      <c r="CO257" s="5"/>
      <c r="CP257" s="397"/>
      <c r="CQ257" s="397"/>
      <c r="CR257" s="397"/>
      <c r="CS257" s="5"/>
      <c r="CT257" s="5"/>
      <c r="CU257" s="5"/>
      <c r="CV257" s="5"/>
      <c r="CW257" s="372"/>
      <c r="CX257" s="375"/>
      <c r="CY257" s="375"/>
      <c r="CZ257" s="397"/>
      <c r="DA257" s="397"/>
      <c r="DB257" s="397"/>
      <c r="DC257" s="5"/>
      <c r="DD257" s="5"/>
      <c r="DE257" s="5"/>
      <c r="DF257" s="5"/>
      <c r="DG257" s="5"/>
      <c r="DH257" s="5"/>
      <c r="DI257" s="5"/>
      <c r="DJ257" s="397"/>
      <c r="DK257" s="397"/>
      <c r="DL257" s="397"/>
      <c r="DM257" s="5"/>
      <c r="DN257" s="5"/>
      <c r="DO257" s="5"/>
      <c r="DP257" s="5"/>
      <c r="DR257" s="372"/>
      <c r="DS257" s="716"/>
      <c r="DT257" s="716"/>
      <c r="DU257" s="892"/>
      <c r="DV257" s="892"/>
      <c r="DW257" s="892"/>
      <c r="DX257" s="892"/>
      <c r="DY257" s="892"/>
      <c r="DZ257" s="892"/>
      <c r="EA257" s="5"/>
      <c r="EB257" s="5"/>
      <c r="EC257" s="5"/>
      <c r="ED257" s="5"/>
      <c r="EE257" s="5"/>
      <c r="EF257" s="5"/>
      <c r="EG257" s="5"/>
      <c r="EH257" s="5"/>
      <c r="EI257" s="5"/>
      <c r="EJ257" s="5"/>
      <c r="EK257" s="5"/>
    </row>
    <row r="258" spans="1:141">
      <c r="A258" s="904" t="s">
        <v>1011</v>
      </c>
      <c r="B258" s="905"/>
      <c r="C258" s="897">
        <f>[3]DISP!D29</f>
        <v>23499.051439999996</v>
      </c>
      <c r="D258" s="906"/>
      <c r="E258" s="898"/>
      <c r="F258" s="904">
        <f t="shared" si="0"/>
        <v>24086.527725999993</v>
      </c>
      <c r="G258" s="907"/>
      <c r="H258" s="905"/>
      <c r="I258" s="5"/>
      <c r="J258" s="5"/>
      <c r="K258" s="5"/>
      <c r="L258" s="5"/>
      <c r="M258" s="397"/>
      <c r="N258" s="397"/>
      <c r="O258" s="397"/>
      <c r="P258" s="5"/>
      <c r="Q258" s="5"/>
      <c r="R258" s="5"/>
      <c r="S258" s="5"/>
      <c r="V258" s="397"/>
      <c r="W258" s="397"/>
      <c r="X258" s="397"/>
      <c r="Y258" s="5"/>
      <c r="Z258" s="5"/>
      <c r="AA258" s="5"/>
      <c r="AB258" s="5"/>
      <c r="AC258" s="5"/>
      <c r="AD258" s="5"/>
      <c r="AE258" s="5"/>
      <c r="AF258" s="397"/>
      <c r="AG258" s="397"/>
      <c r="AH258" s="397"/>
      <c r="AI258" s="5"/>
      <c r="AJ258" s="5"/>
      <c r="AK258" s="5"/>
      <c r="AL258" s="5"/>
      <c r="AM258" s="908">
        <f t="shared" si="3"/>
        <v>0</v>
      </c>
      <c r="AN258" s="909"/>
      <c r="AO258" s="897">
        <f t="shared" si="4"/>
        <v>0</v>
      </c>
      <c r="AP258" s="906"/>
      <c r="AQ258" s="898"/>
      <c r="AR258" s="904">
        <f t="shared" si="7"/>
        <v>0</v>
      </c>
      <c r="AS258" s="907"/>
      <c r="AT258" s="905"/>
      <c r="AU258" s="5"/>
      <c r="AV258" s="5"/>
      <c r="AW258" s="5"/>
      <c r="AX258" s="5"/>
      <c r="AY258" s="397"/>
      <c r="AZ258" s="397"/>
      <c r="BA258" s="397"/>
      <c r="BB258" s="5"/>
      <c r="BC258" s="5"/>
      <c r="BD258" s="5"/>
      <c r="BE258" s="373"/>
      <c r="BF258" s="908">
        <f t="shared" si="5"/>
        <v>0</v>
      </c>
      <c r="BG258" s="909"/>
      <c r="BH258" s="897">
        <f t="shared" si="6"/>
        <v>0</v>
      </c>
      <c r="BI258" s="906"/>
      <c r="BJ258" s="898"/>
      <c r="BK258" s="904">
        <f t="shared" si="8"/>
        <v>0</v>
      </c>
      <c r="BL258" s="907"/>
      <c r="BM258" s="905"/>
      <c r="BN258" s="5"/>
      <c r="BO258" s="5"/>
      <c r="BP258" s="5"/>
      <c r="BQ258" s="5"/>
      <c r="BR258" s="397"/>
      <c r="BS258" s="397"/>
      <c r="BT258" s="397"/>
      <c r="BU258" s="5"/>
      <c r="BV258" s="5"/>
      <c r="BW258" s="5"/>
      <c r="BX258" s="373"/>
      <c r="BY258" s="5"/>
      <c r="BZ258" s="5"/>
      <c r="CA258" s="5"/>
      <c r="CB258" s="5"/>
      <c r="CC258" s="5"/>
      <c r="CD258" s="375"/>
      <c r="CE258" s="375"/>
      <c r="CF258" s="397"/>
      <c r="CG258" s="397"/>
      <c r="CH258" s="397"/>
      <c r="CI258" s="5"/>
      <c r="CJ258" s="5"/>
      <c r="CK258" s="5"/>
      <c r="CL258" s="5"/>
      <c r="CM258" s="5"/>
      <c r="CN258" s="5"/>
      <c r="CO258" s="5"/>
      <c r="CP258" s="397"/>
      <c r="CQ258" s="397"/>
      <c r="CR258" s="397"/>
      <c r="CS258" s="5"/>
      <c r="CT258" s="5"/>
      <c r="CU258" s="5"/>
      <c r="CV258" s="5"/>
      <c r="CW258" s="372"/>
      <c r="CX258" s="375"/>
      <c r="CY258" s="375"/>
      <c r="CZ258" s="397"/>
      <c r="DA258" s="397"/>
      <c r="DB258" s="397"/>
      <c r="DC258" s="5"/>
      <c r="DD258" s="5"/>
      <c r="DE258" s="5"/>
      <c r="DF258" s="5"/>
      <c r="DG258" s="5"/>
      <c r="DH258" s="5"/>
      <c r="DI258" s="5"/>
      <c r="DJ258" s="397"/>
      <c r="DK258" s="397"/>
      <c r="DL258" s="397"/>
      <c r="DM258" s="5"/>
      <c r="DN258" s="5"/>
      <c r="DO258" s="5"/>
      <c r="DP258" s="5"/>
      <c r="DR258" s="372"/>
      <c r="DS258" s="716"/>
      <c r="DT258" s="716"/>
      <c r="DU258" s="892"/>
      <c r="DV258" s="892"/>
      <c r="DW258" s="892"/>
      <c r="DX258" s="892"/>
      <c r="DY258" s="892"/>
      <c r="DZ258" s="892"/>
      <c r="EA258" s="5"/>
      <c r="EB258" s="5"/>
      <c r="EC258" s="5"/>
      <c r="ED258" s="5"/>
      <c r="EE258" s="5"/>
      <c r="EF258" s="5"/>
      <c r="EG258" s="5"/>
      <c r="EH258" s="5"/>
      <c r="EI258" s="5"/>
      <c r="EJ258" s="5"/>
      <c r="EK258" s="5"/>
    </row>
    <row r="259" spans="1:141">
      <c r="I259" s="5"/>
      <c r="J259" s="5"/>
      <c r="K259" s="5"/>
      <c r="L259" s="5"/>
      <c r="M259" s="5"/>
      <c r="N259" s="5"/>
      <c r="O259" s="5"/>
      <c r="P259" s="5"/>
      <c r="Q259" s="5"/>
      <c r="R259" s="5"/>
      <c r="S259" s="5"/>
      <c r="AB259" s="5"/>
      <c r="AC259" s="5"/>
      <c r="AD259" s="5"/>
      <c r="AE259" s="5"/>
      <c r="AF259" s="5"/>
      <c r="AG259" s="5"/>
      <c r="AH259" s="5"/>
      <c r="AI259" s="5"/>
      <c r="AJ259" s="5"/>
      <c r="AK259" s="5"/>
      <c r="AL259" s="5"/>
      <c r="AU259" s="5"/>
      <c r="AV259" s="5"/>
      <c r="AW259" s="5"/>
      <c r="AX259" s="5"/>
      <c r="AY259" s="5"/>
      <c r="AZ259" s="5"/>
      <c r="BA259" s="5"/>
      <c r="BB259" s="5"/>
      <c r="BC259" s="5"/>
      <c r="BD259" s="5"/>
      <c r="BE259" s="373"/>
      <c r="BN259" s="5"/>
      <c r="BO259" s="5"/>
      <c r="BP259" s="5"/>
      <c r="BQ259" s="5"/>
      <c r="BR259" s="5"/>
      <c r="BS259" s="5"/>
      <c r="BT259" s="5"/>
      <c r="BU259" s="5"/>
      <c r="BV259" s="5"/>
      <c r="BW259" s="5"/>
      <c r="BX259" s="373"/>
      <c r="BY259" s="5"/>
      <c r="BZ259" s="5"/>
      <c r="CA259" s="5"/>
      <c r="CB259" s="5"/>
      <c r="CC259" s="5"/>
      <c r="CL259" s="5"/>
      <c r="CM259" s="5"/>
      <c r="CN259" s="5"/>
      <c r="CO259" s="5"/>
      <c r="CP259" s="5"/>
      <c r="CQ259" s="5"/>
      <c r="CR259" s="5"/>
      <c r="CS259" s="5"/>
      <c r="CT259" s="5"/>
      <c r="CU259" s="5"/>
      <c r="CV259" s="5"/>
      <c r="CW259" s="372"/>
      <c r="DF259" s="5"/>
      <c r="DG259" s="5"/>
      <c r="DH259" s="5"/>
      <c r="DI259" s="5"/>
      <c r="DJ259" s="5"/>
      <c r="DK259" s="5"/>
      <c r="DL259" s="5"/>
      <c r="DM259" s="5"/>
      <c r="DN259" s="5"/>
      <c r="DO259" s="5"/>
      <c r="DP259" s="5"/>
      <c r="DR259" s="372"/>
      <c r="DS259" s="716"/>
      <c r="DT259" s="716"/>
      <c r="DU259" s="892"/>
      <c r="DV259" s="892"/>
      <c r="DW259" s="892"/>
      <c r="DX259" s="716"/>
      <c r="DY259" s="716"/>
      <c r="DZ259" s="716"/>
      <c r="EA259" s="5"/>
      <c r="EB259" s="5"/>
      <c r="EC259" s="5"/>
      <c r="ED259" s="5"/>
      <c r="EE259" s="5"/>
      <c r="EF259" s="5"/>
      <c r="EG259" s="5"/>
      <c r="EH259" s="5"/>
      <c r="EI259" s="5"/>
      <c r="EJ259" s="5"/>
      <c r="EK259" s="5"/>
    </row>
    <row r="260" spans="1:141">
      <c r="A260" s="375" t="s">
        <v>1012</v>
      </c>
      <c r="B260" s="5"/>
      <c r="C260" s="5"/>
      <c r="D260" s="5"/>
      <c r="E260" s="5"/>
      <c r="F260" s="5"/>
      <c r="G260" s="5"/>
      <c r="H260" s="5"/>
      <c r="I260" s="5"/>
      <c r="J260" s="5"/>
      <c r="K260" s="5"/>
      <c r="L260" s="5"/>
      <c r="M260" s="5"/>
      <c r="N260" s="5"/>
      <c r="O260" s="5"/>
      <c r="P260" s="5"/>
      <c r="Q260" s="5"/>
      <c r="R260" s="5"/>
      <c r="S260" s="5"/>
      <c r="T260" s="435"/>
      <c r="U260" s="5"/>
      <c r="V260" s="5"/>
      <c r="W260" s="5"/>
      <c r="X260" s="5"/>
      <c r="Y260" s="5"/>
      <c r="Z260" s="5"/>
      <c r="AA260" s="5"/>
      <c r="AB260" s="5"/>
      <c r="AC260" s="5"/>
      <c r="AD260" s="5"/>
      <c r="AE260" s="5"/>
      <c r="AF260" s="5"/>
      <c r="AG260" s="5"/>
      <c r="AH260" s="5"/>
      <c r="AI260" s="5"/>
      <c r="AJ260" s="5"/>
      <c r="AK260" s="5"/>
      <c r="AL260" s="5"/>
      <c r="AM260" s="375" t="s">
        <v>1012</v>
      </c>
      <c r="AN260" s="5"/>
      <c r="AO260" s="5"/>
      <c r="AP260" s="5"/>
      <c r="AQ260" s="5"/>
      <c r="AR260" s="5"/>
      <c r="AS260" s="5"/>
      <c r="AT260" s="5"/>
      <c r="AU260" s="5"/>
      <c r="AV260" s="5"/>
      <c r="AW260" s="5"/>
      <c r="AX260" s="5"/>
      <c r="AY260" s="5"/>
      <c r="AZ260" s="5"/>
      <c r="BA260" s="5"/>
      <c r="BB260" s="5"/>
      <c r="BC260" s="5"/>
      <c r="BD260" s="5"/>
      <c r="BE260" s="373"/>
      <c r="BF260" s="375" t="s">
        <v>1012</v>
      </c>
      <c r="BG260" s="5"/>
      <c r="BH260" s="5"/>
      <c r="BI260" s="5"/>
      <c r="BJ260" s="5"/>
      <c r="BK260" s="5"/>
      <c r="BL260" s="5"/>
      <c r="BM260" s="5"/>
      <c r="BN260" s="5"/>
      <c r="BO260" s="5"/>
      <c r="BP260" s="5"/>
      <c r="BQ260" s="5"/>
      <c r="BR260" s="5"/>
      <c r="BS260" s="5"/>
      <c r="BT260" s="5"/>
      <c r="BU260" s="5"/>
      <c r="BV260" s="5"/>
      <c r="BW260" s="5"/>
      <c r="BX260" s="373"/>
      <c r="BY260" s="5"/>
      <c r="BZ260" s="5"/>
      <c r="CA260" s="5"/>
      <c r="CB260" s="5"/>
      <c r="CC260" s="5"/>
      <c r="CD260" s="375"/>
      <c r="CE260" s="5"/>
      <c r="CF260" s="5"/>
      <c r="CG260" s="5"/>
      <c r="CH260" s="5"/>
      <c r="CI260" s="5"/>
      <c r="CJ260" s="5"/>
      <c r="CK260" s="5"/>
      <c r="CL260" s="5"/>
      <c r="CM260" s="5"/>
      <c r="CN260" s="5"/>
      <c r="CO260" s="5"/>
      <c r="CP260" s="5"/>
      <c r="CQ260" s="5"/>
      <c r="CR260" s="5"/>
      <c r="CS260" s="5"/>
      <c r="CT260" s="5"/>
      <c r="CU260" s="5"/>
      <c r="CV260" s="5"/>
      <c r="CW260" s="372"/>
      <c r="CX260" s="375"/>
      <c r="CY260" s="5"/>
      <c r="CZ260" s="5"/>
      <c r="DA260" s="5"/>
      <c r="DB260" s="5"/>
      <c r="DC260" s="5"/>
      <c r="DD260" s="5"/>
      <c r="DE260" s="5"/>
      <c r="DF260" s="5"/>
      <c r="DG260" s="5"/>
      <c r="DH260" s="5"/>
      <c r="DI260" s="5"/>
      <c r="DJ260" s="5"/>
      <c r="DK260" s="5"/>
      <c r="DL260" s="5"/>
      <c r="DM260" s="5"/>
      <c r="DN260" s="5"/>
      <c r="DO260" s="5"/>
      <c r="DP260" s="5"/>
      <c r="DR260" s="372"/>
      <c r="DS260" s="5"/>
      <c r="DT260" s="5"/>
      <c r="DU260" s="5"/>
      <c r="DV260" s="5"/>
      <c r="DW260" s="5"/>
      <c r="DX260" s="5"/>
      <c r="DY260" s="5"/>
      <c r="DZ260" s="5"/>
      <c r="EA260" s="5"/>
      <c r="EB260" s="5"/>
      <c r="EC260" s="5"/>
      <c r="ED260" s="5"/>
      <c r="EE260" s="5"/>
      <c r="EF260" s="5"/>
      <c r="EG260" s="5"/>
      <c r="EH260" s="5"/>
      <c r="EI260" s="5"/>
      <c r="EJ260" s="5"/>
      <c r="EK260" s="5"/>
    </row>
    <row r="261" spans="1:141">
      <c r="A261" s="409" t="s">
        <v>1013</v>
      </c>
      <c r="B261" s="899" t="s">
        <v>1014</v>
      </c>
      <c r="C261" s="900"/>
      <c r="D261" s="5"/>
      <c r="E261" s="5"/>
      <c r="F261" s="5"/>
      <c r="G261" s="5"/>
      <c r="H261" s="5"/>
      <c r="I261" s="5"/>
      <c r="J261" s="5"/>
      <c r="K261" s="5"/>
      <c r="P261" s="5"/>
      <c r="Q261" s="5"/>
      <c r="R261" s="5"/>
      <c r="S261" s="5"/>
      <c r="T261" s="374"/>
      <c r="U261" s="5"/>
      <c r="V261" s="5"/>
      <c r="W261" s="5"/>
      <c r="X261" s="5"/>
      <c r="Y261" s="5"/>
      <c r="Z261" s="5"/>
      <c r="AA261" s="5"/>
      <c r="AB261" s="5"/>
      <c r="AC261" s="5"/>
      <c r="AD261" s="5"/>
      <c r="AI261" s="5"/>
      <c r="AJ261" s="5"/>
      <c r="AK261" s="5"/>
      <c r="AL261" s="5"/>
      <c r="AM261" s="424" t="s">
        <v>1013</v>
      </c>
      <c r="AN261" s="901" t="s">
        <v>1014</v>
      </c>
      <c r="AO261" s="902"/>
      <c r="AP261" s="5"/>
      <c r="AQ261" s="5"/>
      <c r="AR261" s="5"/>
      <c r="AS261" s="5"/>
      <c r="AT261" s="5"/>
      <c r="AU261" s="5"/>
      <c r="AV261" s="5"/>
      <c r="AW261" s="5"/>
      <c r="AY261" s="903"/>
      <c r="AZ261" s="903"/>
      <c r="BA261" s="903"/>
      <c r="BB261" s="5"/>
      <c r="BC261" s="5"/>
      <c r="BD261" s="5"/>
      <c r="BE261" s="373"/>
      <c r="BF261" s="410" t="s">
        <v>1013</v>
      </c>
      <c r="BG261" s="901" t="s">
        <v>1014</v>
      </c>
      <c r="BH261" s="902"/>
      <c r="BI261" s="5"/>
      <c r="BJ261" s="5"/>
      <c r="BK261" s="5"/>
      <c r="BL261" s="5"/>
      <c r="BM261" s="5"/>
      <c r="BN261" s="5"/>
      <c r="BO261" s="5"/>
      <c r="BP261" s="5"/>
      <c r="BU261" s="5"/>
      <c r="BV261" s="5"/>
      <c r="BW261" s="5"/>
      <c r="BX261" s="373"/>
      <c r="BY261" s="5"/>
      <c r="BZ261" s="5"/>
      <c r="CA261" s="5"/>
      <c r="CB261" s="5"/>
      <c r="CC261" s="5"/>
      <c r="CD261" s="161"/>
      <c r="CE261" s="161"/>
      <c r="CF261" s="161"/>
      <c r="CG261" s="5"/>
      <c r="CH261" s="5"/>
      <c r="CI261" s="5"/>
      <c r="CJ261" s="5"/>
      <c r="CK261" s="5"/>
      <c r="CL261" s="5"/>
      <c r="CM261" s="5"/>
      <c r="CN261" s="5"/>
      <c r="CS261" s="5"/>
      <c r="CT261" s="5"/>
      <c r="CU261" s="5"/>
      <c r="CV261" s="5"/>
      <c r="CW261" s="372"/>
      <c r="CX261" s="161"/>
      <c r="CY261" s="161"/>
      <c r="CZ261" s="161"/>
      <c r="DA261" s="5"/>
      <c r="DB261" s="5"/>
      <c r="DC261" s="5"/>
      <c r="DD261" s="5"/>
      <c r="DE261" s="5"/>
      <c r="DF261" s="5"/>
      <c r="DG261" s="5"/>
      <c r="DH261" s="5"/>
      <c r="DM261" s="5"/>
      <c r="DN261" s="5"/>
      <c r="DO261" s="5"/>
      <c r="DP261" s="5"/>
      <c r="DR261" s="372"/>
      <c r="DS261" s="5"/>
      <c r="DT261" s="5"/>
      <c r="DU261" s="5"/>
      <c r="DV261" s="5"/>
      <c r="DW261" s="5"/>
      <c r="DX261" s="5"/>
      <c r="DY261" s="5"/>
      <c r="DZ261" s="5"/>
      <c r="EA261" s="5"/>
      <c r="EB261" s="5"/>
      <c r="EC261" s="5"/>
      <c r="ED261" s="5"/>
      <c r="EE261" s="5"/>
      <c r="EF261" s="5"/>
      <c r="EG261" s="5"/>
      <c r="EH261" s="5"/>
      <c r="EI261" s="5"/>
      <c r="EJ261" s="5"/>
      <c r="EK261" s="5"/>
    </row>
    <row r="262" spans="1:141">
      <c r="A262" s="411" t="s">
        <v>277</v>
      </c>
      <c r="B262" s="899" t="s">
        <v>1015</v>
      </c>
      <c r="C262" s="900"/>
      <c r="D262" s="5"/>
      <c r="E262" s="5"/>
      <c r="F262" s="5"/>
      <c r="G262" s="5"/>
      <c r="H262" s="5"/>
      <c r="I262" s="5"/>
      <c r="J262" s="5"/>
      <c r="K262" s="5"/>
      <c r="M262" s="5"/>
      <c r="N262" s="5"/>
      <c r="O262" s="5"/>
      <c r="P262" s="5"/>
      <c r="Q262" s="5"/>
      <c r="R262" s="5"/>
      <c r="S262" s="5"/>
      <c r="T262" s="374"/>
      <c r="U262" s="5"/>
      <c r="V262" s="5"/>
      <c r="W262" s="5"/>
      <c r="X262" s="5"/>
      <c r="Y262" s="5"/>
      <c r="Z262" s="5"/>
      <c r="AA262" s="5"/>
      <c r="AB262" s="5"/>
      <c r="AC262" s="5"/>
      <c r="AD262" s="5"/>
      <c r="AF262" s="5"/>
      <c r="AG262" s="5"/>
      <c r="AH262" s="5"/>
      <c r="AI262" s="5"/>
      <c r="AJ262" s="5"/>
      <c r="AK262" s="5"/>
      <c r="AL262" s="5"/>
      <c r="AM262" s="422" t="s">
        <v>277</v>
      </c>
      <c r="AN262" s="901" t="s">
        <v>1015</v>
      </c>
      <c r="AO262" s="902"/>
      <c r="AP262" s="5"/>
      <c r="AQ262" s="5"/>
      <c r="AR262" s="5"/>
      <c r="AS262" s="5"/>
      <c r="AT262" s="5"/>
      <c r="AU262" s="5"/>
      <c r="AV262" s="5"/>
      <c r="AW262" s="5"/>
      <c r="AY262" s="5"/>
      <c r="AZ262" s="5"/>
      <c r="BA262" s="5"/>
      <c r="BB262" s="5"/>
      <c r="BC262" s="5"/>
      <c r="BD262" s="5"/>
      <c r="BE262" s="373"/>
      <c r="BF262" s="412" t="s">
        <v>277</v>
      </c>
      <c r="BG262" s="901" t="s">
        <v>1015</v>
      </c>
      <c r="BH262" s="902"/>
      <c r="BI262" s="5"/>
      <c r="BJ262" s="5"/>
      <c r="BK262" s="5"/>
      <c r="BL262" s="5"/>
      <c r="BM262" s="5"/>
      <c r="BN262" s="5"/>
      <c r="BO262" s="5"/>
      <c r="BP262" s="5"/>
      <c r="BR262" s="5"/>
      <c r="BS262" s="5"/>
      <c r="BT262" s="5"/>
      <c r="BU262" s="5"/>
      <c r="BV262" s="5"/>
      <c r="BW262" s="5"/>
      <c r="BX262" s="373"/>
      <c r="BY262" s="5"/>
      <c r="BZ262" s="5"/>
      <c r="CA262" s="5"/>
      <c r="CB262" s="5"/>
      <c r="CC262" s="5"/>
      <c r="CD262" s="161"/>
      <c r="CE262" s="161"/>
      <c r="CF262" s="161"/>
      <c r="CG262" s="5"/>
      <c r="CH262" s="5"/>
      <c r="CI262" s="5"/>
      <c r="CJ262" s="5"/>
      <c r="CK262" s="5"/>
      <c r="CL262" s="5"/>
      <c r="CM262" s="5"/>
      <c r="CN262" s="5"/>
      <c r="CP262" s="5"/>
      <c r="CQ262" s="5"/>
      <c r="CR262" s="5"/>
      <c r="CS262" s="5"/>
      <c r="CT262" s="5"/>
      <c r="CU262" s="5"/>
      <c r="CV262" s="5"/>
      <c r="CW262" s="372"/>
      <c r="CX262" s="161"/>
      <c r="CY262" s="161"/>
      <c r="CZ262" s="161"/>
      <c r="DA262" s="5"/>
      <c r="DB262" s="5"/>
      <c r="DC262" s="5"/>
      <c r="DD262" s="5"/>
      <c r="DE262" s="5"/>
      <c r="DF262" s="5"/>
      <c r="DG262" s="5"/>
      <c r="DH262" s="5"/>
      <c r="DJ262" s="5"/>
      <c r="DK262" s="5"/>
      <c r="DL262" s="5"/>
      <c r="DM262" s="5"/>
      <c r="DN262" s="5"/>
      <c r="DO262" s="5"/>
      <c r="DP262" s="5"/>
      <c r="DR262" s="372"/>
      <c r="DS262" s="161"/>
      <c r="DT262" s="716"/>
      <c r="DU262" s="716"/>
      <c r="DV262" s="5"/>
      <c r="DW262" s="5"/>
      <c r="DX262" s="5"/>
      <c r="DY262" s="5"/>
      <c r="DZ262" s="5"/>
      <c r="EA262" s="5"/>
      <c r="EB262" s="5"/>
      <c r="EC262" s="5"/>
      <c r="ED262" s="5"/>
      <c r="EE262" s="5"/>
      <c r="EF262" s="5"/>
      <c r="EG262" s="5"/>
      <c r="EH262" s="5"/>
      <c r="EI262" s="5"/>
      <c r="EJ262" s="5"/>
      <c r="EK262" s="5"/>
    </row>
    <row r="263" spans="1:141">
      <c r="A263" s="413">
        <v>4</v>
      </c>
      <c r="B263" s="897">
        <f>F253</f>
        <v>10140.552635416665</v>
      </c>
      <c r="C263" s="898"/>
      <c r="D263" s="5"/>
      <c r="E263" s="5"/>
      <c r="F263" s="5"/>
      <c r="G263" s="5"/>
      <c r="H263" s="5"/>
      <c r="I263" s="5"/>
      <c r="J263" s="5"/>
      <c r="K263" s="5"/>
      <c r="L263" s="5"/>
      <c r="M263" s="5"/>
      <c r="N263" s="161"/>
      <c r="O263" s="5"/>
      <c r="P263" s="5"/>
      <c r="Q263" s="5"/>
      <c r="R263" s="5"/>
      <c r="S263" s="5"/>
      <c r="T263" s="374"/>
      <c r="U263" s="397"/>
      <c r="V263" s="397"/>
      <c r="W263" s="5"/>
      <c r="X263" s="5"/>
      <c r="Y263" s="5"/>
      <c r="Z263" s="5"/>
      <c r="AA263" s="5"/>
      <c r="AB263" s="5"/>
      <c r="AC263" s="5"/>
      <c r="AD263" s="5"/>
      <c r="AE263" s="5"/>
      <c r="AF263" s="5"/>
      <c r="AG263" s="161"/>
      <c r="AH263" s="5"/>
      <c r="AI263" s="5"/>
      <c r="AJ263" s="5"/>
      <c r="AK263" s="5"/>
      <c r="AL263" s="5"/>
      <c r="AM263" s="423">
        <f>AM253</f>
        <v>0</v>
      </c>
      <c r="AN263" s="897">
        <f>AR253</f>
        <v>0</v>
      </c>
      <c r="AO263" s="898"/>
      <c r="AP263" s="5"/>
      <c r="AQ263" s="5"/>
      <c r="AR263" s="5"/>
      <c r="AS263" s="5"/>
      <c r="AT263" s="5"/>
      <c r="AU263" s="5"/>
      <c r="AV263" s="5"/>
      <c r="AW263" s="5"/>
      <c r="AX263" s="5"/>
      <c r="AY263" s="5"/>
      <c r="AZ263" s="161"/>
      <c r="BA263" s="5"/>
      <c r="BB263" s="5"/>
      <c r="BC263" s="5"/>
      <c r="BD263" s="5"/>
      <c r="BE263" s="373"/>
      <c r="BF263" s="413">
        <f>AM263</f>
        <v>0</v>
      </c>
      <c r="BG263" s="897">
        <f>BK253</f>
        <v>0</v>
      </c>
      <c r="BH263" s="898"/>
      <c r="BI263" s="5"/>
      <c r="BJ263" s="5"/>
      <c r="BK263" s="5"/>
      <c r="BL263" s="5"/>
      <c r="BM263" s="5"/>
      <c r="BN263" s="5"/>
      <c r="BO263" s="5"/>
      <c r="BP263" s="5"/>
      <c r="BQ263" s="5"/>
      <c r="BR263" s="5"/>
      <c r="BS263" s="161"/>
      <c r="BT263" s="5"/>
      <c r="BU263" s="5"/>
      <c r="BV263" s="5"/>
      <c r="BW263" s="5"/>
      <c r="BX263" s="373"/>
      <c r="BY263" s="5"/>
      <c r="BZ263" s="5"/>
      <c r="CA263" s="5"/>
      <c r="CB263" s="5"/>
      <c r="CC263" s="5"/>
      <c r="CD263" s="161"/>
      <c r="CE263" s="414"/>
      <c r="CF263" s="414"/>
      <c r="CG263" s="5"/>
      <c r="CH263" s="5"/>
      <c r="CI263" s="5"/>
      <c r="CJ263" s="5"/>
      <c r="CK263" s="5"/>
      <c r="CL263" s="5"/>
      <c r="CM263" s="5"/>
      <c r="CN263" s="5"/>
      <c r="CO263" s="5"/>
      <c r="CP263" s="5"/>
      <c r="CQ263" s="161"/>
      <c r="CR263" s="5"/>
      <c r="CS263" s="5"/>
      <c r="CT263" s="5"/>
      <c r="CU263" s="5"/>
      <c r="CV263" s="5"/>
      <c r="CW263" s="372"/>
      <c r="CX263" s="161"/>
      <c r="CY263" s="414"/>
      <c r="CZ263" s="414"/>
      <c r="DA263" s="5"/>
      <c r="DB263" s="5"/>
      <c r="DC263" s="5"/>
      <c r="DD263" s="5"/>
      <c r="DE263" s="5"/>
      <c r="DF263" s="5"/>
      <c r="DG263" s="5"/>
      <c r="DH263" s="5"/>
      <c r="DI263" s="5"/>
      <c r="DJ263" s="5"/>
      <c r="DK263" s="161"/>
      <c r="DL263" s="5"/>
      <c r="DM263" s="5"/>
      <c r="DN263" s="5"/>
      <c r="DO263" s="5"/>
      <c r="DP263" s="5"/>
      <c r="DR263" s="372"/>
      <c r="DS263" s="161"/>
      <c r="DT263" s="716"/>
      <c r="DU263" s="716"/>
      <c r="DV263" s="5"/>
      <c r="DW263" s="5"/>
      <c r="DX263" s="5"/>
      <c r="DY263" s="5"/>
      <c r="DZ263" s="5"/>
      <c r="EA263" s="5"/>
      <c r="EB263" s="5"/>
      <c r="EC263" s="5"/>
      <c r="ED263" s="5"/>
      <c r="EE263" s="5"/>
      <c r="EF263" s="161"/>
      <c r="EG263" s="5"/>
      <c r="EH263" s="5"/>
      <c r="EI263" s="5"/>
      <c r="EJ263" s="5"/>
      <c r="EK263" s="5"/>
    </row>
    <row r="264" spans="1:141">
      <c r="A264" s="413" t="s">
        <v>1016</v>
      </c>
      <c r="B264" s="893">
        <f>D244</f>
        <v>11691.311544601049</v>
      </c>
      <c r="C264" s="894"/>
      <c r="D264" s="5"/>
      <c r="E264" s="5"/>
      <c r="F264" s="161" t="s">
        <v>1016</v>
      </c>
      <c r="G264" s="161" t="s">
        <v>63</v>
      </c>
      <c r="H264" s="415">
        <f>(((B264-B263)/(B265-B263))*(A265-A263))+A263</f>
        <v>4.5812525951577552</v>
      </c>
      <c r="I264" s="5" t="s">
        <v>477</v>
      </c>
      <c r="K264" s="5"/>
      <c r="L264" s="5"/>
      <c r="M264" s="5"/>
      <c r="N264" s="5"/>
      <c r="O264" s="5"/>
      <c r="P264" s="5"/>
      <c r="Q264" s="5"/>
      <c r="R264" s="5"/>
      <c r="S264" s="5"/>
      <c r="T264" s="374"/>
      <c r="U264" s="426"/>
      <c r="V264" s="426"/>
      <c r="W264" s="5"/>
      <c r="X264" s="5"/>
      <c r="Y264" s="5"/>
      <c r="Z264" s="161"/>
      <c r="AA264" s="430"/>
      <c r="AB264" s="5"/>
      <c r="AD264" s="5"/>
      <c r="AE264" s="5"/>
      <c r="AF264" s="5"/>
      <c r="AG264" s="5"/>
      <c r="AH264" s="5"/>
      <c r="AI264" s="5"/>
      <c r="AJ264" s="5"/>
      <c r="AK264" s="5"/>
      <c r="AL264" s="5"/>
      <c r="AM264" s="423" t="s">
        <v>1016</v>
      </c>
      <c r="AN264" s="895">
        <f>AP244</f>
        <v>9651.249386838288</v>
      </c>
      <c r="AO264" s="896"/>
      <c r="AP264" s="5"/>
      <c r="AQ264" s="5"/>
      <c r="AR264" s="161" t="s">
        <v>1016</v>
      </c>
      <c r="AS264" s="161" t="s">
        <v>63</v>
      </c>
      <c r="AT264" s="417" t="e">
        <f>(((AN264-AN263)/(AN265-AN263))*(AM265-AM263))+AM263</f>
        <v>#DIV/0!</v>
      </c>
      <c r="AU264" s="5" t="s">
        <v>477</v>
      </c>
      <c r="AW264" s="5"/>
      <c r="AX264" s="5"/>
      <c r="AY264" s="5"/>
      <c r="AZ264" s="5"/>
      <c r="BA264" s="5"/>
      <c r="BB264" s="5"/>
      <c r="BC264" s="5"/>
      <c r="BD264" s="5"/>
      <c r="BE264" s="373"/>
      <c r="BF264" s="413" t="s">
        <v>1016</v>
      </c>
      <c r="BG264" s="895">
        <f>BI244</f>
        <v>9838.0262313655858</v>
      </c>
      <c r="BH264" s="896"/>
      <c r="BI264" s="5"/>
      <c r="BJ264" s="5"/>
      <c r="BK264" s="161" t="s">
        <v>1016</v>
      </c>
      <c r="BL264" s="161" t="s">
        <v>63</v>
      </c>
      <c r="BM264" s="416" t="e">
        <f>(((BG264-BG263)/(BG265-BG263))*(BF265-BF263))+BF263</f>
        <v>#DIV/0!</v>
      </c>
      <c r="BN264" s="5" t="s">
        <v>477</v>
      </c>
      <c r="BP264" s="5"/>
      <c r="BQ264" s="5"/>
      <c r="BR264" s="5"/>
      <c r="BS264" s="5"/>
      <c r="BT264" s="5"/>
      <c r="BU264" s="5"/>
      <c r="BV264" s="5"/>
      <c r="BW264" s="5"/>
      <c r="BX264" s="373"/>
      <c r="BY264" s="5"/>
      <c r="BZ264" s="5"/>
      <c r="CA264" s="5"/>
      <c r="CB264" s="5"/>
      <c r="CC264" s="5"/>
      <c r="CD264" s="161"/>
      <c r="CE264" s="418"/>
      <c r="CF264" s="419"/>
      <c r="CG264" s="5"/>
      <c r="CH264" s="5"/>
      <c r="CI264" s="5"/>
      <c r="CJ264" s="161"/>
      <c r="CK264" s="383"/>
      <c r="CL264" s="5"/>
      <c r="CN264" s="5"/>
      <c r="CO264" s="5"/>
      <c r="CP264" s="5"/>
      <c r="CQ264" s="5"/>
      <c r="CR264" s="5"/>
      <c r="CS264" s="5"/>
      <c r="CT264" s="5"/>
      <c r="CU264" s="5"/>
      <c r="CV264" s="5"/>
      <c r="CW264" s="372"/>
      <c r="CX264" s="161"/>
      <c r="CY264" s="418"/>
      <c r="CZ264" s="419"/>
      <c r="DA264" s="5"/>
      <c r="DB264" s="5"/>
      <c r="DC264" s="5"/>
      <c r="DD264" s="161"/>
      <c r="DE264" s="383"/>
      <c r="DF264" s="5"/>
      <c r="DH264" s="5"/>
      <c r="DI264" s="5"/>
      <c r="DJ264" s="5"/>
      <c r="DK264" s="5"/>
      <c r="DL264" s="5"/>
      <c r="DM264" s="5"/>
      <c r="DN264" s="5"/>
      <c r="DO264" s="5"/>
      <c r="DP264" s="5"/>
      <c r="DR264" s="372"/>
      <c r="DS264" s="161"/>
      <c r="DT264" s="892"/>
      <c r="DU264" s="892"/>
      <c r="DV264" s="5"/>
      <c r="DW264" s="5"/>
      <c r="DX264" s="5"/>
      <c r="DY264" s="5"/>
      <c r="DZ264" s="5"/>
      <c r="EA264" s="5"/>
      <c r="EB264" s="5"/>
      <c r="EC264" s="5"/>
      <c r="ED264" s="5"/>
      <c r="EE264" s="5"/>
      <c r="EF264" s="5"/>
      <c r="EG264" s="5"/>
      <c r="EH264" s="5"/>
      <c r="EI264" s="5"/>
      <c r="EJ264" s="5"/>
      <c r="EK264" s="5"/>
    </row>
    <row r="265" spans="1:141">
      <c r="A265" s="413">
        <v>5</v>
      </c>
      <c r="B265" s="897">
        <f>F254</f>
        <v>12808.513040416663</v>
      </c>
      <c r="C265" s="898"/>
      <c r="D265" s="5"/>
      <c r="E265" s="5"/>
      <c r="F265" s="5"/>
      <c r="G265" s="161"/>
      <c r="H265" s="382"/>
      <c r="I265" s="382"/>
      <c r="J265" s="383"/>
      <c r="K265" s="5"/>
      <c r="L265" s="5"/>
      <c r="M265" s="5"/>
      <c r="N265" s="5"/>
      <c r="O265" s="5"/>
      <c r="P265" s="5"/>
      <c r="Q265" s="5"/>
      <c r="R265" s="5"/>
      <c r="S265" s="5"/>
      <c r="T265" s="374"/>
      <c r="U265" s="397"/>
      <c r="V265" s="397"/>
      <c r="W265" s="5"/>
      <c r="X265" s="5"/>
      <c r="Y265" s="5"/>
      <c r="Z265" s="161"/>
      <c r="AA265" s="382"/>
      <c r="AB265" s="382"/>
      <c r="AC265" s="383"/>
      <c r="AD265" s="5"/>
      <c r="AE265" s="5"/>
      <c r="AF265" s="5"/>
      <c r="AG265" s="5"/>
      <c r="AH265" s="5"/>
      <c r="AI265" s="5"/>
      <c r="AJ265" s="5"/>
      <c r="AK265" s="5"/>
      <c r="AL265" s="5"/>
      <c r="AM265" s="423">
        <f>AM254</f>
        <v>0</v>
      </c>
      <c r="AN265" s="897">
        <f>AR254</f>
        <v>0</v>
      </c>
      <c r="AO265" s="898"/>
      <c r="AP265" s="5"/>
      <c r="AQ265" s="5"/>
      <c r="AR265" s="5"/>
      <c r="AS265" s="161"/>
      <c r="AT265" s="382"/>
      <c r="AU265" s="382"/>
      <c r="AV265" s="383"/>
      <c r="AW265" s="5"/>
      <c r="AX265" s="5"/>
      <c r="AY265" s="5"/>
      <c r="AZ265" s="5"/>
      <c r="BA265" s="5"/>
      <c r="BB265" s="5"/>
      <c r="BC265" s="5"/>
      <c r="BD265" s="5"/>
      <c r="BE265" s="373"/>
      <c r="BF265" s="413">
        <f>AM265</f>
        <v>0</v>
      </c>
      <c r="BG265" s="897">
        <f>BK254</f>
        <v>0</v>
      </c>
      <c r="BH265" s="898"/>
      <c r="BI265" s="5"/>
      <c r="BJ265" s="5"/>
      <c r="BK265" s="5"/>
      <c r="BL265" s="161"/>
      <c r="BM265" s="382"/>
      <c r="BN265" s="382"/>
      <c r="BO265" s="383"/>
      <c r="BP265" s="5"/>
      <c r="BQ265" s="5"/>
      <c r="BR265" s="5"/>
      <c r="BS265" s="5"/>
      <c r="BT265" s="5"/>
      <c r="BU265" s="5"/>
      <c r="BV265" s="5"/>
      <c r="BW265" s="5"/>
      <c r="BX265" s="373"/>
      <c r="BY265" s="5"/>
      <c r="BZ265" s="5"/>
      <c r="CA265" s="5"/>
      <c r="CB265" s="5"/>
      <c r="CC265" s="5"/>
      <c r="CD265" s="161"/>
      <c r="CE265" s="414"/>
      <c r="CF265" s="161"/>
      <c r="CG265" s="5"/>
      <c r="CH265" s="5"/>
      <c r="CI265" s="5"/>
      <c r="CJ265" s="161"/>
      <c r="CK265" s="382"/>
      <c r="CL265" s="382"/>
      <c r="CM265" s="383"/>
      <c r="CN265" s="5"/>
      <c r="CO265" s="5"/>
      <c r="CP265" s="5"/>
      <c r="CQ265" s="5"/>
      <c r="CR265" s="5"/>
      <c r="CS265" s="5"/>
      <c r="CT265" s="5"/>
      <c r="CU265" s="5"/>
      <c r="CV265" s="5"/>
      <c r="CW265" s="372"/>
      <c r="CX265" s="161"/>
      <c r="CY265" s="414"/>
      <c r="CZ265" s="161"/>
      <c r="DA265" s="5"/>
      <c r="DB265" s="5"/>
      <c r="DC265" s="5"/>
      <c r="DD265" s="161"/>
      <c r="DE265" s="382"/>
      <c r="DF265" s="382"/>
      <c r="DG265" s="383"/>
      <c r="DH265" s="5"/>
      <c r="DI265" s="5"/>
      <c r="DJ265" s="5"/>
      <c r="DK265" s="5"/>
      <c r="DL265" s="5"/>
      <c r="DM265" s="5"/>
      <c r="DN265" s="5"/>
      <c r="DO265" s="5"/>
      <c r="DP265" s="5"/>
      <c r="DR265" s="372"/>
      <c r="DS265" s="161"/>
      <c r="DT265" s="892"/>
      <c r="DU265" s="892"/>
      <c r="DV265" s="5"/>
      <c r="DW265" s="5"/>
      <c r="DX265" s="5"/>
      <c r="DY265" s="161"/>
      <c r="DZ265" s="891"/>
      <c r="EA265" s="891"/>
      <c r="EB265" s="5"/>
      <c r="EC265" s="5"/>
      <c r="ED265" s="5"/>
      <c r="EE265" s="5"/>
      <c r="EF265" s="5"/>
      <c r="EG265" s="5"/>
      <c r="EH265" s="5"/>
      <c r="EI265" s="5"/>
      <c r="EJ265" s="5"/>
      <c r="EK265" s="5"/>
    </row>
    <row r="266" spans="1:141">
      <c r="A266" s="375" t="s">
        <v>641</v>
      </c>
      <c r="B266" s="5"/>
      <c r="C266" s="5"/>
      <c r="D266" s="5"/>
      <c r="E266" s="5"/>
      <c r="F266" s="5"/>
      <c r="G266" s="5"/>
      <c r="H266" s="5"/>
      <c r="I266" s="891"/>
      <c r="J266" s="891"/>
      <c r="K266" s="5"/>
      <c r="L266" s="5"/>
      <c r="M266" s="5"/>
      <c r="N266" s="5"/>
      <c r="O266" s="5"/>
      <c r="P266" s="5"/>
      <c r="Q266" s="5"/>
      <c r="R266" s="5"/>
      <c r="S266" s="5"/>
      <c r="T266" s="435"/>
      <c r="U266" s="5"/>
      <c r="V266" s="5"/>
      <c r="W266" s="5"/>
      <c r="X266" s="5"/>
      <c r="Y266" s="5"/>
      <c r="Z266" s="5"/>
      <c r="AA266" s="5"/>
      <c r="AB266" s="383"/>
      <c r="AC266" s="383"/>
      <c r="AD266" s="5"/>
      <c r="AE266" s="5"/>
      <c r="AF266" s="5"/>
      <c r="AG266" s="5"/>
      <c r="AH266" s="5"/>
      <c r="AI266" s="5"/>
      <c r="AJ266" s="5"/>
      <c r="AK266" s="5"/>
      <c r="AL266" s="5"/>
      <c r="AM266" s="375" t="s">
        <v>641</v>
      </c>
      <c r="AN266" s="5"/>
      <c r="AO266" s="5"/>
      <c r="AP266" s="5"/>
      <c r="AQ266" s="5"/>
      <c r="AR266" s="5"/>
      <c r="AS266" s="5"/>
      <c r="AT266" s="5"/>
      <c r="AU266" s="383"/>
      <c r="AV266" s="383"/>
      <c r="AW266" s="5"/>
      <c r="AX266" s="5"/>
      <c r="AY266" s="5"/>
      <c r="AZ266" s="5"/>
      <c r="BA266" s="5"/>
      <c r="BB266" s="5"/>
      <c r="BC266" s="5"/>
      <c r="BD266" s="5"/>
      <c r="BE266" s="373"/>
      <c r="BF266" s="375" t="s">
        <v>641</v>
      </c>
      <c r="BG266" s="5"/>
      <c r="BH266" s="5"/>
      <c r="BI266" s="5"/>
      <c r="BJ266" s="5"/>
      <c r="BK266" s="5"/>
      <c r="BL266" s="5"/>
      <c r="BM266" s="5"/>
      <c r="BN266" s="383"/>
      <c r="BO266" s="383"/>
      <c r="BP266" s="5"/>
      <c r="BQ266" s="5"/>
      <c r="BR266" s="5"/>
      <c r="BS266" s="5"/>
      <c r="BT266" s="5"/>
      <c r="BU266" s="5"/>
      <c r="BV266" s="5"/>
      <c r="BW266" s="5"/>
      <c r="BX266" s="373"/>
      <c r="BY266" s="5"/>
      <c r="BZ266" s="5"/>
      <c r="CA266" s="5"/>
      <c r="CB266" s="5"/>
      <c r="CC266" s="5"/>
      <c r="CD266" s="375"/>
      <c r="CE266" s="5"/>
      <c r="CF266" s="5"/>
      <c r="CG266" s="5"/>
      <c r="CH266" s="5"/>
      <c r="CI266" s="5"/>
      <c r="CJ266" s="5"/>
      <c r="CK266" s="5"/>
      <c r="CL266" s="383"/>
      <c r="CM266" s="383"/>
      <c r="CN266" s="5"/>
      <c r="CO266" s="5"/>
      <c r="CP266" s="5"/>
      <c r="CQ266" s="5"/>
      <c r="CR266" s="5"/>
      <c r="CS266" s="5"/>
      <c r="CT266" s="5"/>
      <c r="CU266" s="5"/>
      <c r="CV266" s="5"/>
      <c r="CW266" s="372"/>
      <c r="CX266" s="375"/>
      <c r="CY266" s="5"/>
      <c r="CZ266" s="5"/>
      <c r="DA266" s="5"/>
      <c r="DB266" s="5"/>
      <c r="DC266" s="5"/>
      <c r="DD266" s="5"/>
      <c r="DE266" s="5"/>
      <c r="DF266" s="383"/>
      <c r="DG266" s="383"/>
      <c r="DH266" s="5"/>
      <c r="DI266" s="5"/>
      <c r="DJ266" s="5"/>
      <c r="DK266" s="5"/>
      <c r="DL266" s="5"/>
      <c r="DM266" s="5"/>
      <c r="DN266" s="5"/>
      <c r="DO266" s="5"/>
      <c r="DP266" s="5"/>
      <c r="DR266" s="372"/>
      <c r="DS266" s="161"/>
      <c r="DT266" s="892"/>
      <c r="DU266" s="892"/>
      <c r="DV266" s="5"/>
      <c r="DW266" s="5"/>
      <c r="DX266" s="5"/>
      <c r="DY266" s="161"/>
      <c r="DZ266" s="891"/>
      <c r="EA266" s="891"/>
      <c r="EB266" s="383"/>
      <c r="EC266" s="5"/>
      <c r="ED266" s="5"/>
      <c r="EE266" s="5"/>
      <c r="EF266" s="5"/>
      <c r="EG266" s="5"/>
      <c r="EH266" s="5"/>
      <c r="EI266" s="5"/>
      <c r="EJ266" s="5"/>
      <c r="EK266" s="5"/>
    </row>
    <row r="267" spans="1:141">
      <c r="L267" s="5"/>
      <c r="M267" s="5"/>
      <c r="N267" s="5"/>
      <c r="O267" s="5"/>
      <c r="P267" s="5"/>
      <c r="Q267" s="5"/>
      <c r="R267" s="5"/>
      <c r="S267" s="5"/>
      <c r="AE267" s="5"/>
      <c r="AF267" s="5"/>
      <c r="AG267" s="5"/>
      <c r="AH267" s="5"/>
      <c r="AI267" s="5"/>
      <c r="AJ267" s="5"/>
      <c r="AK267" s="5"/>
      <c r="AL267" s="5"/>
      <c r="AX267" s="5"/>
      <c r="AY267" s="5"/>
      <c r="AZ267" s="5"/>
      <c r="BA267" s="5"/>
      <c r="BB267" s="5"/>
      <c r="BC267" s="5"/>
      <c r="BD267" s="5"/>
      <c r="BE267" s="5"/>
      <c r="BQ267" s="5"/>
      <c r="BR267" s="5"/>
      <c r="BS267" s="5"/>
      <c r="BT267" s="5"/>
      <c r="BU267" s="5"/>
      <c r="BV267" s="5"/>
      <c r="BW267" s="5"/>
      <c r="BX267" s="5"/>
      <c r="BY267" s="5"/>
      <c r="BZ267" s="5"/>
      <c r="CA267" s="5"/>
      <c r="CB267" s="5"/>
      <c r="CC267" s="5"/>
      <c r="CO267" s="5"/>
      <c r="CP267" s="5"/>
      <c r="CQ267" s="5"/>
      <c r="CR267" s="5"/>
      <c r="CS267" s="5"/>
      <c r="CT267" s="5"/>
      <c r="CU267" s="5"/>
      <c r="CV267" s="5"/>
      <c r="CW267" s="5"/>
      <c r="DI267" s="5"/>
      <c r="DJ267" s="5"/>
      <c r="DK267" s="5"/>
      <c r="DL267" s="5"/>
      <c r="DM267" s="5"/>
      <c r="DN267" s="5"/>
      <c r="DO267" s="5"/>
      <c r="DP267" s="5"/>
      <c r="DR267" s="5"/>
      <c r="DS267" s="5"/>
      <c r="DT267" s="5"/>
      <c r="DU267" s="5"/>
      <c r="DV267" s="5"/>
      <c r="DW267" s="5"/>
      <c r="DX267" s="5"/>
      <c r="DY267" s="5"/>
      <c r="DZ267" s="5"/>
      <c r="EA267" s="5"/>
      <c r="EB267" s="5"/>
      <c r="EC267" s="5"/>
      <c r="ED267" s="5"/>
      <c r="EE267" s="5"/>
      <c r="EF267" s="5"/>
      <c r="EG267" s="5"/>
      <c r="EH267" s="5"/>
      <c r="EI267" s="5"/>
      <c r="EJ267" s="5"/>
      <c r="EK267" s="5"/>
    </row>
    <row r="268" spans="1:141">
      <c r="L268" s="5"/>
      <c r="M268" s="5"/>
      <c r="N268" s="5"/>
      <c r="O268" s="5"/>
      <c r="P268" s="5"/>
      <c r="Q268" s="5"/>
      <c r="R268" s="5"/>
      <c r="S268" s="5"/>
      <c r="AE268" s="5"/>
      <c r="AF268" s="5"/>
      <c r="AG268" s="5"/>
      <c r="AH268" s="5"/>
      <c r="AI268" s="5"/>
      <c r="AJ268" s="5"/>
      <c r="AK268" s="5"/>
      <c r="AL268" s="5"/>
      <c r="AX268" s="5"/>
      <c r="AY268" s="5"/>
      <c r="AZ268" s="5"/>
      <c r="BA268" s="5"/>
      <c r="BB268" s="5"/>
      <c r="BC268" s="5"/>
      <c r="BD268" s="5"/>
      <c r="BE268" s="5"/>
      <c r="BQ268" s="5"/>
      <c r="BR268" s="5"/>
      <c r="BS268" s="5"/>
      <c r="BT268" s="5"/>
      <c r="BU268" s="5"/>
      <c r="BV268" s="5"/>
      <c r="BW268" s="5"/>
      <c r="BX268" s="5"/>
      <c r="BY268" s="5"/>
      <c r="BZ268" s="5"/>
      <c r="CA268" s="5"/>
      <c r="CB268" s="5"/>
      <c r="CC268" s="5"/>
      <c r="CO268" s="5"/>
      <c r="CP268" s="5"/>
      <c r="CQ268" s="5"/>
      <c r="CR268" s="5"/>
      <c r="CS268" s="5"/>
      <c r="CT268" s="5"/>
      <c r="CU268" s="5"/>
      <c r="CV268" s="5"/>
      <c r="CW268" s="5"/>
      <c r="DI268" s="5"/>
      <c r="DJ268" s="5"/>
      <c r="DK268" s="5"/>
      <c r="DL268" s="5"/>
      <c r="DM268" s="5"/>
      <c r="DN268" s="5"/>
      <c r="DO268" s="5"/>
      <c r="DP268" s="5"/>
      <c r="DR268" s="5"/>
      <c r="DS268" s="5"/>
      <c r="DT268" s="5"/>
      <c r="DU268" s="5"/>
      <c r="DV268" s="5"/>
      <c r="DW268" s="5"/>
      <c r="DX268" s="5"/>
      <c r="DY268" s="5"/>
      <c r="DZ268" s="5"/>
      <c r="EA268" s="891"/>
      <c r="EB268" s="891"/>
      <c r="EC268" s="5"/>
      <c r="ED268" s="5"/>
      <c r="EE268" s="5"/>
      <c r="EF268" s="5"/>
      <c r="EG268" s="5"/>
      <c r="EH268" s="5"/>
      <c r="EI268" s="5"/>
      <c r="EJ268" s="5"/>
      <c r="EK268" s="5"/>
    </row>
    <row r="269" spans="1:141">
      <c r="L269" s="5"/>
      <c r="M269" s="5"/>
      <c r="N269" s="5"/>
      <c r="O269" s="5"/>
      <c r="P269" s="5"/>
      <c r="Q269" s="5"/>
      <c r="R269" s="5"/>
      <c r="S269" s="5"/>
      <c r="AE269" s="5"/>
      <c r="AF269" s="5"/>
      <c r="AG269" s="5"/>
      <c r="AH269" s="5"/>
      <c r="AI269" s="5"/>
      <c r="AJ269" s="5"/>
      <c r="AK269" s="5"/>
      <c r="AL269" s="5"/>
      <c r="AX269" s="5"/>
      <c r="AY269" s="5"/>
      <c r="AZ269" s="5"/>
      <c r="BA269" s="5"/>
      <c r="BB269" s="5"/>
      <c r="BC269" s="5"/>
      <c r="BD269" s="5"/>
      <c r="BE269" s="5"/>
      <c r="BQ269" s="5"/>
      <c r="BR269" s="5"/>
      <c r="BS269" s="5"/>
      <c r="BT269" s="5"/>
      <c r="BU269" s="5"/>
      <c r="BV269" s="5"/>
      <c r="BW269" s="5"/>
      <c r="BX269" s="5"/>
      <c r="BY269" s="5"/>
      <c r="BZ269" s="5"/>
      <c r="CA269" s="5"/>
      <c r="CB269" s="5"/>
      <c r="CC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R269" s="5"/>
      <c r="DS269" s="5"/>
      <c r="DT269" s="5"/>
      <c r="DU269" s="5"/>
      <c r="DV269" s="5"/>
      <c r="DW269" s="5"/>
      <c r="DX269" s="5"/>
      <c r="DY269" s="5"/>
      <c r="DZ269" s="5"/>
      <c r="EA269" s="5"/>
      <c r="EB269" s="5"/>
      <c r="EC269" s="5"/>
      <c r="ED269" s="5"/>
      <c r="EE269" s="5"/>
      <c r="EF269" s="5"/>
      <c r="EG269" s="5"/>
      <c r="EH269" s="5"/>
      <c r="EI269" s="5"/>
      <c r="EJ269" s="5"/>
      <c r="EK269" s="5"/>
    </row>
    <row r="270" spans="1:141">
      <c r="A270" s="5"/>
      <c r="B270" s="5"/>
      <c r="C270" s="5"/>
      <c r="D270" s="5"/>
      <c r="E270" s="5"/>
      <c r="F270" s="5"/>
      <c r="G270" s="5"/>
      <c r="H270" s="5"/>
      <c r="I270" s="5"/>
      <c r="J270" s="5"/>
      <c r="K270" s="5"/>
      <c r="L270" s="5"/>
      <c r="M270" s="5"/>
      <c r="N270" s="5"/>
      <c r="O270" s="5"/>
      <c r="P270" s="5"/>
      <c r="Q270" s="5"/>
      <c r="R270" s="5"/>
      <c r="S270" s="5"/>
      <c r="T270" s="374"/>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R270" s="5"/>
      <c r="DS270" s="716"/>
      <c r="DT270" s="716"/>
      <c r="DU270" s="716"/>
      <c r="DV270" s="716"/>
      <c r="DW270" s="716"/>
      <c r="DX270" s="716"/>
      <c r="DY270" s="716"/>
      <c r="DZ270" s="716"/>
      <c r="EA270" s="716"/>
      <c r="EB270" s="716"/>
      <c r="EC270" s="716"/>
      <c r="ED270" s="716"/>
      <c r="EE270" s="716"/>
      <c r="EF270" s="716"/>
      <c r="EG270" s="716"/>
      <c r="EH270" s="716"/>
      <c r="EI270" s="716"/>
      <c r="EJ270" s="716"/>
      <c r="EK270" s="5"/>
    </row>
    <row r="271" spans="1:141">
      <c r="A271" s="5"/>
      <c r="B271" s="5"/>
      <c r="C271" s="5"/>
      <c r="D271" s="5"/>
      <c r="E271" s="5"/>
      <c r="F271" s="5"/>
      <c r="G271" s="5"/>
      <c r="H271" s="5"/>
      <c r="I271" s="5"/>
      <c r="J271" s="5"/>
      <c r="K271" s="5"/>
      <c r="L271" s="5"/>
      <c r="M271" s="5"/>
      <c r="N271" s="5"/>
      <c r="O271" s="5"/>
      <c r="P271" s="5"/>
      <c r="Q271" s="5"/>
      <c r="R271" s="5"/>
      <c r="S271" s="5"/>
      <c r="T271" s="374"/>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R271" s="5"/>
      <c r="DS271" s="5"/>
      <c r="DT271" s="5"/>
      <c r="DU271" s="5"/>
      <c r="DV271" s="5"/>
      <c r="DW271" s="5"/>
      <c r="DX271" s="5"/>
      <c r="DY271" s="5"/>
      <c r="DZ271" s="5"/>
      <c r="EA271" s="5"/>
      <c r="EB271" s="5"/>
      <c r="EC271" s="5"/>
      <c r="ED271" s="5"/>
      <c r="EE271" s="5"/>
      <c r="EF271" s="5"/>
      <c r="EG271" s="5"/>
      <c r="EH271" s="5"/>
      <c r="EI271" s="5"/>
      <c r="EJ271" s="5"/>
      <c r="EK271" s="5"/>
    </row>
    <row r="272" spans="1:141">
      <c r="A272" s="885" t="s">
        <v>1017</v>
      </c>
      <c r="B272" s="885"/>
      <c r="C272" s="885"/>
      <c r="D272" s="389"/>
      <c r="E272" s="420" t="s">
        <v>63</v>
      </c>
      <c r="F272" s="890">
        <v>4480</v>
      </c>
      <c r="G272" s="890"/>
      <c r="H272" s="389" t="s">
        <v>250</v>
      </c>
      <c r="I272" s="420" t="s">
        <v>63</v>
      </c>
      <c r="J272" s="885">
        <f>F272*1.35962</f>
        <v>6091.0976000000001</v>
      </c>
      <c r="K272" s="885"/>
      <c r="L272" s="389" t="s">
        <v>252</v>
      </c>
      <c r="M272" s="389"/>
      <c r="N272" s="389"/>
      <c r="O272" s="5"/>
      <c r="P272" s="5"/>
      <c r="Q272" s="5"/>
      <c r="R272" s="5"/>
      <c r="S272" s="5"/>
      <c r="T272" s="885" t="s">
        <v>1017</v>
      </c>
      <c r="U272" s="885"/>
      <c r="V272" s="885"/>
      <c r="W272" s="389"/>
      <c r="X272" s="420" t="s">
        <v>63</v>
      </c>
      <c r="Y272" s="885">
        <v>3920</v>
      </c>
      <c r="Z272" s="885"/>
      <c r="AA272" s="389" t="s">
        <v>250</v>
      </c>
      <c r="AB272" s="420" t="s">
        <v>63</v>
      </c>
      <c r="AC272" s="885">
        <f>Y272*1.35962</f>
        <v>5329.7103999999999</v>
      </c>
      <c r="AD272" s="885"/>
      <c r="AE272" s="389" t="s">
        <v>252</v>
      </c>
      <c r="AF272" s="389"/>
      <c r="AG272" s="389"/>
      <c r="AH272" s="389"/>
      <c r="AI272" s="5"/>
      <c r="AJ272" s="5"/>
      <c r="AK272" s="5"/>
      <c r="AL272" s="5"/>
      <c r="AM272" s="389" t="s">
        <v>1017</v>
      </c>
      <c r="AN272" s="389"/>
      <c r="AO272" s="389"/>
      <c r="AP272" s="389"/>
      <c r="AQ272" s="420" t="s">
        <v>63</v>
      </c>
      <c r="AR272" s="885">
        <v>3920</v>
      </c>
      <c r="AS272" s="885"/>
      <c r="AT272" s="389" t="s">
        <v>250</v>
      </c>
      <c r="AU272" s="420" t="s">
        <v>63</v>
      </c>
      <c r="AV272" s="885">
        <f>AR272*1.35962</f>
        <v>5329.7103999999999</v>
      </c>
      <c r="AW272" s="885"/>
      <c r="AX272" s="389" t="s">
        <v>252</v>
      </c>
      <c r="AY272" s="389"/>
      <c r="AZ272" s="5"/>
      <c r="BA272" s="5"/>
      <c r="BB272" s="5"/>
      <c r="BC272" s="5"/>
      <c r="BD272" s="5"/>
      <c r="BE272" s="5"/>
      <c r="BF272" s="885" t="s">
        <v>1017</v>
      </c>
      <c r="BG272" s="885"/>
      <c r="BH272" s="885"/>
      <c r="BI272" s="389"/>
      <c r="BJ272" s="420" t="s">
        <v>63</v>
      </c>
      <c r="BK272" s="885">
        <v>3920</v>
      </c>
      <c r="BL272" s="885"/>
      <c r="BM272" s="389" t="s">
        <v>250</v>
      </c>
      <c r="BN272" s="420" t="s">
        <v>63</v>
      </c>
      <c r="BO272" s="885">
        <f>BK272*1.35962</f>
        <v>5329.7103999999999</v>
      </c>
      <c r="BP272" s="885"/>
      <c r="BQ272" s="389" t="s">
        <v>252</v>
      </c>
      <c r="BR272" s="389"/>
      <c r="BS272" s="5"/>
      <c r="BT272" s="5"/>
      <c r="BU272" s="5"/>
      <c r="BV272" s="5"/>
      <c r="BW272" s="5"/>
      <c r="BX272" s="5"/>
      <c r="BY272" s="5"/>
      <c r="BZ272" s="5"/>
      <c r="CA272" s="5"/>
      <c r="CB272" s="5"/>
      <c r="CC272" s="5"/>
      <c r="CD272" s="5"/>
      <c r="CE272" s="5"/>
      <c r="CF272" s="5"/>
      <c r="CG272" s="5"/>
      <c r="CH272" s="161"/>
      <c r="CI272" s="5"/>
      <c r="CJ272" s="5"/>
      <c r="CK272" s="5"/>
      <c r="CL272" s="161"/>
      <c r="CM272" s="5"/>
      <c r="CN272" s="5"/>
      <c r="CO272" s="5"/>
      <c r="CP272" s="5"/>
      <c r="CQ272" s="5"/>
      <c r="CR272" s="5"/>
      <c r="CS272" s="5"/>
      <c r="CT272" s="5"/>
      <c r="CU272" s="5"/>
      <c r="CV272" s="5"/>
      <c r="CW272" s="5"/>
      <c r="CX272" s="5"/>
      <c r="CY272" s="5"/>
      <c r="CZ272" s="5"/>
      <c r="DA272" s="5"/>
      <c r="DB272" s="161"/>
      <c r="DC272" s="388"/>
      <c r="DD272" s="388"/>
      <c r="DE272" s="5"/>
      <c r="DF272" s="161"/>
      <c r="DG272" s="384"/>
      <c r="DH272" s="384"/>
      <c r="DI272" s="5"/>
      <c r="DJ272" s="5"/>
      <c r="DK272" s="5"/>
      <c r="DL272" s="5"/>
      <c r="DM272" s="5"/>
      <c r="DN272" s="5"/>
      <c r="DO272" s="5"/>
      <c r="DP272" s="5"/>
      <c r="DR272" s="5"/>
      <c r="DS272" s="716"/>
      <c r="DT272" s="716"/>
      <c r="DU272" s="716"/>
      <c r="DV272" s="5"/>
      <c r="DW272" s="161"/>
      <c r="DX272" s="716"/>
      <c r="DY272" s="716"/>
      <c r="DZ272" s="5"/>
      <c r="EA272" s="161"/>
      <c r="EB272" s="716"/>
      <c r="EC272" s="716"/>
      <c r="ED272" s="5"/>
      <c r="EE272" s="5"/>
      <c r="EF272" s="5"/>
      <c r="EG272" s="5"/>
      <c r="EH272" s="5"/>
      <c r="EI272" s="5"/>
      <c r="EJ272" s="5"/>
      <c r="EK272" s="5"/>
    </row>
    <row r="273" spans="1:141">
      <c r="A273" s="886" t="s">
        <v>44</v>
      </c>
      <c r="B273" s="886"/>
      <c r="C273" s="886"/>
      <c r="D273" s="389"/>
      <c r="E273" s="420" t="s">
        <v>63</v>
      </c>
      <c r="F273" s="885">
        <v>14</v>
      </c>
      <c r="G273" s="885"/>
      <c r="H273" s="389" t="s">
        <v>11</v>
      </c>
      <c r="I273" s="389"/>
      <c r="J273" s="420" t="s">
        <v>63</v>
      </c>
      <c r="K273" s="887">
        <v>25.92</v>
      </c>
      <c r="L273" s="887"/>
      <c r="M273" s="389" t="s">
        <v>869</v>
      </c>
      <c r="N273" s="420"/>
      <c r="O273" s="5"/>
      <c r="P273" s="5"/>
      <c r="Q273" s="5"/>
      <c r="R273" s="5"/>
      <c r="S273" s="5"/>
      <c r="T273" s="886" t="s">
        <v>44</v>
      </c>
      <c r="U273" s="886"/>
      <c r="V273" s="886"/>
      <c r="W273" s="389"/>
      <c r="X273" s="420" t="s">
        <v>63</v>
      </c>
      <c r="Y273" s="885">
        <v>14</v>
      </c>
      <c r="Z273" s="885"/>
      <c r="AA273" s="389" t="s">
        <v>11</v>
      </c>
      <c r="AB273" s="389"/>
      <c r="AC273" s="420" t="s">
        <v>63</v>
      </c>
      <c r="AD273" s="887">
        <v>25.92</v>
      </c>
      <c r="AE273" s="887"/>
      <c r="AF273" s="389" t="s">
        <v>869</v>
      </c>
      <c r="AG273" s="420"/>
      <c r="AH273" s="389"/>
      <c r="AI273" s="5"/>
      <c r="AJ273" s="5"/>
      <c r="AK273" s="5"/>
      <c r="AL273" s="5"/>
      <c r="AM273" s="421" t="s">
        <v>44</v>
      </c>
      <c r="AN273" s="421"/>
      <c r="AO273" s="421"/>
      <c r="AP273" s="389"/>
      <c r="AQ273" s="420" t="s">
        <v>63</v>
      </c>
      <c r="AR273" s="885">
        <v>14</v>
      </c>
      <c r="AS273" s="885"/>
      <c r="AT273" s="389" t="s">
        <v>11</v>
      </c>
      <c r="AU273" s="389"/>
      <c r="AV273" s="420" t="s">
        <v>63</v>
      </c>
      <c r="AW273" s="887">
        <v>25.92</v>
      </c>
      <c r="AX273" s="887"/>
      <c r="AY273" s="389" t="s">
        <v>869</v>
      </c>
      <c r="AZ273" s="161"/>
      <c r="BA273" s="5"/>
      <c r="BB273" s="5"/>
      <c r="BC273" s="5"/>
      <c r="BD273" s="5"/>
      <c r="BE273" s="5"/>
      <c r="BF273" s="886" t="s">
        <v>44</v>
      </c>
      <c r="BG273" s="886"/>
      <c r="BH273" s="886"/>
      <c r="BI273" s="389"/>
      <c r="BJ273" s="420" t="s">
        <v>63</v>
      </c>
      <c r="BK273" s="885">
        <v>14</v>
      </c>
      <c r="BL273" s="885"/>
      <c r="BM273" s="389" t="s">
        <v>11</v>
      </c>
      <c r="BN273" s="389"/>
      <c r="BO273" s="420" t="s">
        <v>63</v>
      </c>
      <c r="BP273" s="887">
        <v>25.92</v>
      </c>
      <c r="BQ273" s="887"/>
      <c r="BR273" s="389" t="s">
        <v>869</v>
      </c>
      <c r="BS273" s="161"/>
      <c r="BT273" s="5"/>
      <c r="BU273" s="5"/>
      <c r="BV273" s="5"/>
      <c r="BW273" s="5"/>
      <c r="BX273" s="5"/>
      <c r="BY273" s="5"/>
      <c r="BZ273" s="5"/>
      <c r="CA273" s="5"/>
      <c r="CB273" s="5"/>
      <c r="CC273" s="5"/>
      <c r="CD273" s="371"/>
      <c r="CE273" s="371"/>
      <c r="CF273" s="371"/>
      <c r="CG273" s="5"/>
      <c r="CH273" s="161"/>
      <c r="CI273" s="5"/>
      <c r="CJ273" s="5"/>
      <c r="CK273" s="5"/>
      <c r="CL273" s="5"/>
      <c r="CM273" s="161"/>
      <c r="CN273" s="386"/>
      <c r="CO273" s="386"/>
      <c r="CP273" s="5"/>
      <c r="CQ273" s="161"/>
      <c r="CR273" s="5"/>
      <c r="CS273" s="5"/>
      <c r="CT273" s="5"/>
      <c r="CU273" s="5"/>
      <c r="CV273" s="5"/>
      <c r="CW273" s="5"/>
      <c r="CX273" s="371"/>
      <c r="CY273" s="371"/>
      <c r="CZ273" s="371"/>
      <c r="DA273" s="5"/>
      <c r="DB273" s="161"/>
      <c r="DC273" s="5"/>
      <c r="DD273" s="5"/>
      <c r="DE273" s="5"/>
      <c r="DF273" s="5"/>
      <c r="DG273" s="161"/>
      <c r="DH273" s="386"/>
      <c r="DI273" s="386"/>
      <c r="DJ273" s="5"/>
      <c r="DK273" s="161"/>
      <c r="DL273" s="5"/>
      <c r="DM273" s="5"/>
      <c r="DN273" s="5"/>
      <c r="DO273" s="5"/>
      <c r="DP273" s="5"/>
      <c r="DR273" s="5"/>
      <c r="DS273" s="888"/>
      <c r="DT273" s="888"/>
      <c r="DU273" s="888"/>
      <c r="DV273" s="5"/>
      <c r="DW273" s="161"/>
      <c r="DX273" s="716"/>
      <c r="DY273" s="716"/>
      <c r="DZ273" s="5"/>
      <c r="EA273" s="5"/>
      <c r="EB273" s="161"/>
      <c r="EC273" s="889"/>
      <c r="ED273" s="889"/>
      <c r="EE273" s="5"/>
      <c r="EF273" s="161"/>
      <c r="EG273" s="5"/>
      <c r="EH273" s="5"/>
      <c r="EI273" s="5"/>
      <c r="EJ273" s="5"/>
      <c r="EK273" s="5"/>
    </row>
    <row r="274" spans="1:141">
      <c r="A274" s="885" t="s">
        <v>1018</v>
      </c>
      <c r="B274" s="885"/>
      <c r="C274" s="885"/>
      <c r="D274" s="885"/>
      <c r="E274" s="420" t="s">
        <v>63</v>
      </c>
      <c r="F274" s="885">
        <v>3588</v>
      </c>
      <c r="G274" s="885"/>
      <c r="H274" s="389" t="s">
        <v>1019</v>
      </c>
      <c r="I274" s="389"/>
      <c r="J274" s="389"/>
      <c r="K274" s="389"/>
      <c r="L274" s="389"/>
      <c r="M274" s="389"/>
      <c r="N274" s="389"/>
      <c r="O274" s="5"/>
      <c r="P274" s="5"/>
      <c r="Q274" s="5"/>
      <c r="R274" s="5"/>
      <c r="S274" s="5"/>
      <c r="T274" s="885" t="s">
        <v>1018</v>
      </c>
      <c r="U274" s="885"/>
      <c r="V274" s="885"/>
      <c r="W274" s="885"/>
      <c r="X274" s="420" t="s">
        <v>63</v>
      </c>
      <c r="Y274" s="885">
        <v>3588</v>
      </c>
      <c r="Z274" s="885"/>
      <c r="AA274" s="389" t="s">
        <v>1019</v>
      </c>
      <c r="AB274" s="389"/>
      <c r="AC274" s="389"/>
      <c r="AD274" s="389"/>
      <c r="AE274" s="389"/>
      <c r="AF274" s="389"/>
      <c r="AG274" s="389"/>
      <c r="AH274" s="389"/>
      <c r="AI274" s="5"/>
      <c r="AJ274" s="5"/>
      <c r="AK274" s="5"/>
      <c r="AL274" s="5"/>
      <c r="AM274" s="389" t="s">
        <v>1018</v>
      </c>
      <c r="AN274" s="389"/>
      <c r="AO274" s="389"/>
      <c r="AP274" s="389"/>
      <c r="AQ274" s="420" t="s">
        <v>63</v>
      </c>
      <c r="AR274" s="885">
        <v>3588</v>
      </c>
      <c r="AS274" s="885"/>
      <c r="AT274" s="389" t="s">
        <v>1019</v>
      </c>
      <c r="AU274" s="389"/>
      <c r="AV274" s="389"/>
      <c r="AW274" s="389"/>
      <c r="AX274" s="389"/>
      <c r="AY274" s="389"/>
      <c r="AZ274" s="5"/>
      <c r="BA274" s="5"/>
      <c r="BB274" s="5"/>
      <c r="BC274" s="5"/>
      <c r="BD274" s="5"/>
      <c r="BE274" s="5"/>
      <c r="BF274" s="885" t="s">
        <v>1018</v>
      </c>
      <c r="BG274" s="885"/>
      <c r="BH274" s="885"/>
      <c r="BI274" s="885"/>
      <c r="BJ274" s="420" t="s">
        <v>63</v>
      </c>
      <c r="BK274" s="885">
        <v>3588</v>
      </c>
      <c r="BL274" s="885"/>
      <c r="BM274" s="389" t="s">
        <v>1019</v>
      </c>
      <c r="BN274" s="389"/>
      <c r="BO274" s="389"/>
      <c r="BP274" s="389"/>
      <c r="BQ274" s="389"/>
      <c r="BR274" s="389"/>
      <c r="BS274" s="5"/>
      <c r="BT274" s="5"/>
      <c r="BU274" s="5"/>
      <c r="BV274" s="5"/>
      <c r="BW274" s="5"/>
      <c r="BX274" s="5"/>
      <c r="BY274" s="5"/>
      <c r="BZ274" s="5"/>
      <c r="CA274" s="5"/>
      <c r="CB274" s="5"/>
      <c r="CC274" s="5"/>
      <c r="CD274" s="5"/>
      <c r="CE274" s="5"/>
      <c r="CF274" s="5"/>
      <c r="CG274" s="5"/>
      <c r="CH274" s="161"/>
      <c r="CI274" s="5"/>
      <c r="CJ274" s="5"/>
      <c r="CK274" s="5"/>
      <c r="CL274" s="5"/>
      <c r="CM274" s="5"/>
      <c r="CN274" s="5"/>
      <c r="CO274" s="5"/>
      <c r="CP274" s="5"/>
      <c r="CQ274" s="5"/>
      <c r="CR274" s="5"/>
      <c r="CS274" s="5"/>
      <c r="CT274" s="5"/>
      <c r="CU274" s="5"/>
      <c r="CV274" s="5"/>
      <c r="CW274" s="5"/>
      <c r="CX274" s="5"/>
      <c r="CY274" s="5"/>
      <c r="CZ274" s="5"/>
      <c r="DA274" s="5"/>
      <c r="DB274" s="161"/>
      <c r="DC274" s="5"/>
      <c r="DD274" s="5"/>
      <c r="DE274" s="5"/>
      <c r="DF274" s="5"/>
      <c r="DG274" s="5"/>
      <c r="DH274" s="5"/>
      <c r="DI274" s="5"/>
      <c r="DJ274" s="5"/>
      <c r="DK274" s="5"/>
      <c r="DL274" s="5"/>
      <c r="DM274" s="5"/>
      <c r="DN274" s="5"/>
      <c r="DO274" s="5"/>
      <c r="DP274" s="5"/>
      <c r="DR274" s="5"/>
      <c r="DS274" s="716"/>
      <c r="DT274" s="716"/>
      <c r="DU274" s="716"/>
      <c r="DV274" s="716"/>
      <c r="DW274" s="161"/>
      <c r="DX274" s="716"/>
      <c r="DY274" s="716"/>
      <c r="DZ274" s="5"/>
      <c r="EA274" s="5"/>
      <c r="EB274" s="5"/>
      <c r="EC274" s="5"/>
      <c r="ED274" s="5"/>
      <c r="EE274" s="5"/>
      <c r="EF274" s="5"/>
      <c r="EG274" s="5"/>
      <c r="EH274" s="5"/>
      <c r="EI274" s="5"/>
      <c r="EJ274" s="5"/>
      <c r="EK274" s="5"/>
    </row>
    <row r="275" spans="1:141">
      <c r="A275" s="389"/>
      <c r="B275" s="389"/>
      <c r="C275" s="389"/>
      <c r="D275" s="389"/>
      <c r="E275" s="420" t="s">
        <v>63</v>
      </c>
      <c r="F275" s="885">
        <v>6644.9765479999996</v>
      </c>
      <c r="G275" s="885"/>
      <c r="H275" s="389" t="s">
        <v>867</v>
      </c>
      <c r="I275" s="389"/>
      <c r="J275" s="389"/>
      <c r="K275" s="389"/>
      <c r="L275" s="389"/>
      <c r="M275" s="389"/>
      <c r="N275" s="389"/>
      <c r="O275" s="5"/>
      <c r="P275" s="5"/>
      <c r="Q275" s="5"/>
      <c r="R275" s="5"/>
      <c r="S275" s="5"/>
      <c r="T275" s="436"/>
      <c r="U275" s="389"/>
      <c r="V275" s="389"/>
      <c r="W275" s="389"/>
      <c r="X275" s="420" t="s">
        <v>63</v>
      </c>
      <c r="Y275" s="885">
        <v>6644.9765479999996</v>
      </c>
      <c r="Z275" s="885"/>
      <c r="AA275" s="389" t="s">
        <v>867</v>
      </c>
      <c r="AB275" s="389"/>
      <c r="AC275" s="389"/>
      <c r="AD275" s="389"/>
      <c r="AE275" s="389"/>
      <c r="AF275" s="389"/>
      <c r="AG275" s="389"/>
      <c r="AH275" s="389"/>
      <c r="AI275" s="5"/>
      <c r="AJ275" s="5"/>
      <c r="AK275" s="5"/>
      <c r="AL275" s="5"/>
      <c r="AM275" s="389"/>
      <c r="AN275" s="389"/>
      <c r="AO275" s="389"/>
      <c r="AP275" s="389"/>
      <c r="AQ275" s="420" t="s">
        <v>63</v>
      </c>
      <c r="AR275" s="885">
        <v>6644.9765479999996</v>
      </c>
      <c r="AS275" s="885"/>
      <c r="AT275" s="389" t="s">
        <v>867</v>
      </c>
      <c r="AU275" s="389"/>
      <c r="AV275" s="389"/>
      <c r="AW275" s="389"/>
      <c r="AX275" s="389"/>
      <c r="AY275" s="389"/>
      <c r="AZ275" s="5"/>
      <c r="BA275" s="5"/>
      <c r="BB275" s="5"/>
      <c r="BC275" s="5"/>
      <c r="BD275" s="5"/>
      <c r="BE275" s="5"/>
      <c r="BF275" s="389"/>
      <c r="BG275" s="389"/>
      <c r="BH275" s="389"/>
      <c r="BI275" s="389"/>
      <c r="BJ275" s="420" t="s">
        <v>63</v>
      </c>
      <c r="BK275" s="885">
        <v>6644.9765479999996</v>
      </c>
      <c r="BL275" s="885"/>
      <c r="BM275" s="389" t="s">
        <v>867</v>
      </c>
      <c r="BN275" s="389"/>
      <c r="BO275" s="389"/>
      <c r="BP275" s="389"/>
      <c r="BQ275" s="389"/>
      <c r="BR275" s="389"/>
      <c r="BS275" s="5"/>
      <c r="BT275" s="5"/>
      <c r="BU275" s="5"/>
      <c r="BV275" s="5"/>
      <c r="BW275" s="5"/>
      <c r="BX275" s="5"/>
      <c r="BY275" s="5"/>
      <c r="BZ275" s="5"/>
      <c r="CA275" s="5"/>
      <c r="CB275" s="5"/>
      <c r="CC275" s="5"/>
      <c r="CD275" s="5"/>
      <c r="CE275" s="5"/>
      <c r="CF275" s="5"/>
      <c r="CG275" s="5"/>
      <c r="CH275" s="161"/>
      <c r="CI275" s="5"/>
      <c r="CJ275" s="5"/>
      <c r="CK275" s="5"/>
      <c r="CL275" s="5"/>
      <c r="CM275" s="5"/>
      <c r="CN275" s="5"/>
      <c r="CO275" s="5"/>
      <c r="CP275" s="5"/>
      <c r="CQ275" s="5"/>
      <c r="CR275" s="5"/>
      <c r="CS275" s="5"/>
      <c r="CT275" s="5"/>
      <c r="CU275" s="5"/>
      <c r="CV275" s="5"/>
      <c r="CW275" s="5"/>
      <c r="CX275" s="5"/>
      <c r="CY275" s="5"/>
      <c r="CZ275" s="5"/>
      <c r="DA275" s="5"/>
      <c r="DB275" s="161"/>
      <c r="DC275" s="5"/>
      <c r="DD275" s="5"/>
      <c r="DE275" s="5"/>
      <c r="DF275" s="5"/>
      <c r="DG275" s="5"/>
      <c r="DH275" s="5"/>
      <c r="DI275" s="5"/>
      <c r="DJ275" s="5"/>
      <c r="DK275" s="5"/>
      <c r="DL275" s="5"/>
      <c r="DM275" s="5"/>
      <c r="DN275" s="5"/>
      <c r="DO275" s="5"/>
      <c r="DP275" s="5"/>
      <c r="DR275" s="5"/>
      <c r="DS275" s="5"/>
      <c r="DT275" s="5"/>
      <c r="DU275" s="5"/>
      <c r="DV275" s="5"/>
      <c r="DW275" s="161"/>
      <c r="DX275" s="716"/>
      <c r="DY275" s="716"/>
      <c r="DZ275" s="5"/>
      <c r="EA275" s="5"/>
      <c r="EB275" s="5"/>
      <c r="EC275" s="5"/>
      <c r="ED275" s="5"/>
      <c r="EE275" s="5"/>
      <c r="EF275" s="5"/>
      <c r="EG275" s="5"/>
      <c r="EH275" s="5"/>
      <c r="EI275" s="5"/>
      <c r="EJ275" s="5"/>
      <c r="EK275" s="5"/>
    </row>
    <row r="276" spans="1:141">
      <c r="A276" s="389"/>
      <c r="B276" s="389"/>
      <c r="C276" s="389"/>
      <c r="D276" s="389"/>
      <c r="E276" s="389"/>
      <c r="F276" s="389"/>
      <c r="G276" s="389"/>
      <c r="H276" s="389"/>
      <c r="I276" s="389"/>
      <c r="J276" s="389"/>
      <c r="K276" s="389"/>
      <c r="L276" s="389"/>
      <c r="M276" s="389"/>
      <c r="N276" s="389"/>
      <c r="O276" s="5"/>
      <c r="P276" s="5"/>
      <c r="Q276" s="5"/>
      <c r="R276" s="5"/>
      <c r="S276" s="5"/>
      <c r="T276" s="436"/>
      <c r="U276" s="389"/>
      <c r="V276" s="389"/>
      <c r="W276" s="389"/>
      <c r="X276" s="389"/>
      <c r="Y276" s="389"/>
      <c r="Z276" s="389"/>
      <c r="AA276" s="389"/>
      <c r="AB276" s="389"/>
      <c r="AC276" s="389"/>
      <c r="AD276" s="389"/>
      <c r="AE276" s="389"/>
      <c r="AF276" s="389"/>
      <c r="AG276" s="389"/>
      <c r="AH276" s="389"/>
      <c r="AI276" s="5"/>
      <c r="AJ276" s="5"/>
      <c r="AK276" s="5"/>
      <c r="AL276" s="5"/>
      <c r="AM276" s="389"/>
      <c r="AN276" s="389"/>
      <c r="AO276" s="389"/>
      <c r="AP276" s="389"/>
      <c r="AQ276" s="389"/>
      <c r="AR276" s="389"/>
      <c r="AS276" s="389"/>
      <c r="AT276" s="389"/>
      <c r="AU276" s="389"/>
      <c r="AV276" s="389"/>
      <c r="AW276" s="389"/>
      <c r="AX276" s="389"/>
      <c r="AY276" s="389"/>
      <c r="AZ276" s="5"/>
      <c r="BA276" s="5"/>
      <c r="BB276" s="5"/>
      <c r="BC276" s="5"/>
      <c r="BD276" s="5"/>
      <c r="BE276" s="5"/>
      <c r="BF276" s="389"/>
      <c r="BG276" s="389"/>
      <c r="BH276" s="389"/>
      <c r="BI276" s="389"/>
      <c r="BJ276" s="389"/>
      <c r="BK276" s="389"/>
      <c r="BL276" s="389"/>
      <c r="BM276" s="389"/>
      <c r="BN276" s="389"/>
      <c r="BO276" s="389"/>
      <c r="BP276" s="389"/>
      <c r="BQ276" s="389"/>
      <c r="BR276" s="389"/>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R276" s="5"/>
      <c r="DS276" s="5"/>
      <c r="DT276" s="5"/>
      <c r="DU276" s="5"/>
      <c r="DV276" s="5"/>
      <c r="DW276" s="5"/>
      <c r="DX276" s="5"/>
      <c r="DY276" s="5"/>
      <c r="DZ276" s="5"/>
      <c r="EA276" s="5"/>
      <c r="EB276" s="5"/>
      <c r="EC276" s="5"/>
      <c r="ED276" s="5"/>
      <c r="EE276" s="5"/>
      <c r="EF276" s="5"/>
      <c r="EG276" s="5"/>
      <c r="EH276" s="5"/>
      <c r="EI276" s="5"/>
      <c r="EJ276" s="5"/>
      <c r="EK276" s="5"/>
    </row>
    <row r="277" spans="1:141">
      <c r="A277" s="389"/>
      <c r="B277" s="885"/>
      <c r="C277" s="885"/>
      <c r="D277" s="885"/>
      <c r="E277" s="885"/>
      <c r="F277" s="885"/>
      <c r="G277" s="389"/>
      <c r="H277" s="389"/>
      <c r="I277" s="389"/>
      <c r="J277" s="389"/>
      <c r="K277" s="389"/>
      <c r="L277" s="389"/>
      <c r="M277" s="389"/>
      <c r="N277" s="389"/>
      <c r="O277" s="5"/>
      <c r="P277" s="5"/>
      <c r="Q277" s="5"/>
      <c r="R277" s="5"/>
      <c r="S277" s="5"/>
      <c r="T277" s="436"/>
      <c r="U277" s="389"/>
      <c r="V277" s="389"/>
      <c r="W277" s="389"/>
      <c r="X277" s="389"/>
      <c r="Y277" s="389"/>
      <c r="Z277" s="389"/>
      <c r="AA277" s="389"/>
      <c r="AB277" s="389"/>
      <c r="AC277" s="389"/>
      <c r="AD277" s="389"/>
      <c r="AE277" s="389"/>
      <c r="AF277" s="389"/>
      <c r="AG277" s="389"/>
      <c r="AH277" s="389"/>
      <c r="AI277" s="5"/>
      <c r="AJ277" s="5"/>
      <c r="AK277" s="5"/>
      <c r="AL277" s="5"/>
      <c r="AM277" s="389"/>
      <c r="AN277" s="389"/>
      <c r="AO277" s="389"/>
      <c r="AP277" s="389"/>
      <c r="AQ277" s="389"/>
      <c r="AR277" s="389"/>
      <c r="AS277" s="389"/>
      <c r="AT277" s="389"/>
      <c r="AU277" s="389"/>
      <c r="AV277" s="389"/>
      <c r="AW277" s="389"/>
      <c r="AX277" s="389"/>
      <c r="AY277" s="389"/>
      <c r="AZ277" s="5"/>
      <c r="BA277" s="5"/>
      <c r="BB277" s="5"/>
      <c r="BC277" s="5"/>
      <c r="BD277" s="5"/>
      <c r="BE277" s="5"/>
      <c r="BF277" s="389"/>
      <c r="BG277" s="389"/>
      <c r="BH277" s="389"/>
      <c r="BI277" s="389"/>
      <c r="BJ277" s="389"/>
      <c r="BK277" s="389"/>
      <c r="BL277" s="389"/>
      <c r="BM277" s="389"/>
      <c r="BN277" s="389"/>
      <c r="BO277" s="389"/>
      <c r="BP277" s="389"/>
      <c r="BQ277" s="389"/>
      <c r="BR277" s="389"/>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R277" s="5"/>
      <c r="DS277" s="5"/>
      <c r="DT277" s="5"/>
      <c r="DU277" s="5"/>
      <c r="DV277" s="5"/>
      <c r="DW277" s="5"/>
      <c r="DX277" s="5"/>
      <c r="DY277" s="5"/>
      <c r="DZ277" s="5"/>
      <c r="EA277" s="5"/>
      <c r="EB277" s="5"/>
      <c r="EC277" s="5"/>
      <c r="ED277" s="5"/>
      <c r="EE277" s="5"/>
      <c r="EF277" s="5"/>
      <c r="EG277" s="5"/>
      <c r="EH277" s="5"/>
      <c r="EI277" s="5"/>
      <c r="EJ277" s="5"/>
      <c r="EK277" s="5"/>
    </row>
    <row r="278" spans="1:141">
      <c r="A278" s="389"/>
      <c r="B278" s="885"/>
      <c r="C278" s="885"/>
      <c r="D278" s="885"/>
      <c r="E278" s="389"/>
      <c r="F278" s="885"/>
      <c r="G278" s="885"/>
      <c r="H278" s="389"/>
      <c r="I278" s="389"/>
      <c r="J278" s="389"/>
      <c r="K278" s="389"/>
      <c r="L278" s="389"/>
      <c r="M278" s="389"/>
      <c r="N278" s="389"/>
      <c r="O278" s="5"/>
      <c r="P278" s="5"/>
      <c r="Q278" s="5"/>
      <c r="R278" s="5"/>
      <c r="S278" s="5"/>
      <c r="T278" s="374"/>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389"/>
      <c r="BG278" s="389"/>
      <c r="BH278" s="389"/>
      <c r="BI278" s="389"/>
      <c r="BJ278" s="389"/>
      <c r="BK278" s="389"/>
      <c r="BL278" s="389"/>
      <c r="BM278" s="389"/>
      <c r="BN278" s="389"/>
      <c r="BO278" s="389"/>
      <c r="BP278" s="389"/>
      <c r="BQ278" s="389"/>
      <c r="BR278" s="389"/>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R278" s="5"/>
      <c r="DS278" s="5"/>
      <c r="DT278" s="5"/>
      <c r="DU278" s="5"/>
      <c r="DV278" s="5"/>
      <c r="DW278" s="5"/>
      <c r="DX278" s="5"/>
      <c r="DY278" s="5"/>
      <c r="DZ278" s="5"/>
      <c r="EA278" s="5"/>
      <c r="EB278" s="5"/>
      <c r="EC278" s="5"/>
      <c r="ED278" s="5"/>
      <c r="EE278" s="5"/>
      <c r="EF278" s="5"/>
      <c r="EG278" s="5"/>
      <c r="EH278" s="5"/>
      <c r="EI278" s="5"/>
      <c r="EJ278" s="5"/>
      <c r="EK278" s="5"/>
    </row>
    <row r="279" spans="1:141">
      <c r="A279" s="5"/>
      <c r="B279" s="716"/>
      <c r="C279" s="716"/>
      <c r="D279" s="716"/>
      <c r="E279" s="5"/>
      <c r="F279" s="716"/>
      <c r="G279" s="716"/>
      <c r="H279" s="5"/>
      <c r="I279" s="5"/>
      <c r="J279" s="5"/>
      <c r="K279" s="5"/>
      <c r="L279" s="5"/>
      <c r="M279" s="5"/>
      <c r="N279" s="5"/>
      <c r="O279" s="5"/>
      <c r="P279" s="5"/>
      <c r="Q279" s="5"/>
      <c r="R279" s="5"/>
      <c r="S279" s="5"/>
      <c r="T279" s="374"/>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389"/>
      <c r="BG279" s="389"/>
      <c r="BH279" s="389"/>
      <c r="BI279" s="389"/>
      <c r="BJ279" s="389"/>
      <c r="BK279" s="389"/>
      <c r="BL279" s="389"/>
      <c r="BM279" s="389"/>
      <c r="BN279" s="389"/>
      <c r="BO279" s="389"/>
      <c r="BP279" s="389"/>
      <c r="BQ279" s="389"/>
      <c r="BR279" s="389"/>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R279" s="5"/>
      <c r="DS279" s="5"/>
      <c r="DT279" s="5"/>
      <c r="DU279" s="5"/>
      <c r="DV279" s="5"/>
      <c r="DW279" s="5"/>
      <c r="DX279" s="5"/>
      <c r="DY279" s="5"/>
      <c r="DZ279" s="5"/>
      <c r="EA279" s="5"/>
      <c r="EB279" s="5"/>
      <c r="EC279" s="5"/>
      <c r="ED279" s="5"/>
      <c r="EE279" s="5"/>
      <c r="EF279" s="5"/>
      <c r="EG279" s="5"/>
      <c r="EH279" s="5"/>
      <c r="EI279" s="5"/>
      <c r="EJ279" s="5"/>
      <c r="EK279" s="5"/>
    </row>
    <row r="280" spans="1:141">
      <c r="A280" s="5"/>
      <c r="B280" s="5"/>
      <c r="C280" s="5"/>
      <c r="D280" s="5"/>
      <c r="E280" s="5"/>
      <c r="F280" s="5"/>
      <c r="G280" s="5"/>
      <c r="H280" s="5"/>
      <c r="I280" s="5"/>
      <c r="J280" s="5"/>
      <c r="K280" s="5"/>
      <c r="L280" s="5"/>
      <c r="M280" s="5"/>
      <c r="N280" s="5"/>
      <c r="O280" s="5"/>
      <c r="P280" s="5"/>
      <c r="Q280" s="5"/>
      <c r="R280" s="5"/>
      <c r="S280" s="5"/>
      <c r="T280" s="374"/>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R280" s="5"/>
      <c r="DS280" s="5"/>
      <c r="DT280" s="5"/>
      <c r="DU280" s="5"/>
      <c r="DV280" s="5"/>
      <c r="DW280" s="5"/>
      <c r="DX280" s="5"/>
      <c r="DY280" s="5"/>
      <c r="DZ280" s="5"/>
      <c r="EA280" s="5"/>
      <c r="EB280" s="5"/>
      <c r="EC280" s="5"/>
      <c r="ED280" s="5"/>
      <c r="EE280" s="5"/>
      <c r="EF280" s="5"/>
      <c r="EG280" s="5"/>
      <c r="EH280" s="5"/>
      <c r="EI280" s="5"/>
      <c r="EJ280" s="5"/>
      <c r="EK280" s="5"/>
    </row>
    <row r="281" spans="1:141">
      <c r="A281" s="5"/>
      <c r="B281" s="5"/>
      <c r="C281" s="5"/>
      <c r="D281" s="5"/>
      <c r="E281" s="5"/>
      <c r="F281" s="5"/>
      <c r="G281" s="5"/>
      <c r="H281" s="5"/>
      <c r="I281" s="5"/>
      <c r="J281" s="5"/>
      <c r="K281" s="5"/>
      <c r="L281" s="5"/>
      <c r="M281" s="5"/>
      <c r="N281" s="5"/>
      <c r="O281" s="5"/>
      <c r="P281" s="5"/>
      <c r="Q281" s="5"/>
      <c r="R281" s="5"/>
      <c r="S281" s="5"/>
      <c r="T281" s="374"/>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R281" s="5"/>
      <c r="DS281" s="5"/>
      <c r="DT281" s="5"/>
      <c r="DU281" s="5"/>
      <c r="DV281" s="5"/>
      <c r="DW281" s="5"/>
      <c r="DX281" s="5"/>
      <c r="DY281" s="5"/>
      <c r="DZ281" s="5"/>
      <c r="EA281" s="5"/>
      <c r="EB281" s="5"/>
      <c r="EC281" s="5"/>
      <c r="ED281" s="5"/>
      <c r="EE281" s="5"/>
      <c r="EF281" s="5"/>
      <c r="EG281" s="5"/>
      <c r="EH281" s="5"/>
      <c r="EI281" s="5"/>
      <c r="EJ281" s="5"/>
      <c r="EK281" s="5"/>
    </row>
    <row r="282" spans="1:141">
      <c r="A282" s="5"/>
      <c r="B282" s="5"/>
      <c r="C282" s="5"/>
      <c r="D282" s="5"/>
      <c r="E282" s="5"/>
      <c r="F282" s="5"/>
      <c r="G282" s="5"/>
      <c r="H282" s="5"/>
      <c r="I282" s="5"/>
      <c r="J282" s="5"/>
      <c r="K282" s="5"/>
      <c r="L282" s="5"/>
      <c r="M282" s="5"/>
      <c r="N282" s="5"/>
      <c r="O282" s="5"/>
      <c r="P282" s="5"/>
      <c r="Q282" s="5"/>
      <c r="R282" s="5"/>
      <c r="S282" s="5"/>
      <c r="T282" s="374"/>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R282" s="5"/>
      <c r="DS282" s="5"/>
      <c r="DT282" s="5"/>
      <c r="DU282" s="5"/>
      <c r="DV282" s="5"/>
      <c r="DW282" s="5"/>
      <c r="DX282" s="5"/>
      <c r="DY282" s="5"/>
      <c r="DZ282" s="5"/>
      <c r="EA282" s="5"/>
      <c r="EB282" s="5"/>
      <c r="EC282" s="5"/>
      <c r="ED282" s="5"/>
      <c r="EE282" s="5"/>
      <c r="EF282" s="5"/>
      <c r="EG282" s="5"/>
      <c r="EH282" s="5"/>
      <c r="EI282" s="5"/>
      <c r="EJ282" s="5"/>
      <c r="EK282" s="5"/>
    </row>
    <row r="283" spans="1:141">
      <c r="A283" s="5"/>
      <c r="B283" s="5"/>
      <c r="C283" s="5"/>
      <c r="D283" s="5"/>
      <c r="E283" s="5"/>
      <c r="F283" s="5"/>
      <c r="G283" s="5"/>
      <c r="H283" s="5"/>
      <c r="I283" s="5"/>
      <c r="J283" s="5"/>
      <c r="K283" s="5"/>
      <c r="L283" s="5"/>
      <c r="M283" s="5"/>
      <c r="N283" s="5"/>
      <c r="O283" s="5"/>
      <c r="P283" s="5"/>
      <c r="Q283" s="5"/>
      <c r="R283" s="5"/>
      <c r="S283" s="5"/>
      <c r="T283" s="374"/>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R283" s="5"/>
      <c r="DS283" s="5"/>
      <c r="DT283" s="5"/>
      <c r="DU283" s="5"/>
      <c r="DV283" s="5"/>
      <c r="DW283" s="5"/>
      <c r="DX283" s="5"/>
      <c r="DY283" s="5"/>
      <c r="DZ283" s="5"/>
      <c r="EA283" s="5"/>
      <c r="EB283" s="5"/>
      <c r="EC283" s="5"/>
      <c r="ED283" s="5"/>
      <c r="EE283" s="5"/>
      <c r="EF283" s="5"/>
      <c r="EG283" s="5"/>
      <c r="EH283" s="5"/>
      <c r="EI283" s="5"/>
      <c r="EJ283" s="5"/>
      <c r="EK283" s="5"/>
    </row>
    <row r="284" spans="1:141">
      <c r="A284" s="5"/>
      <c r="B284" s="5"/>
      <c r="C284" s="5"/>
      <c r="D284" s="5"/>
      <c r="E284" s="5"/>
      <c r="F284" s="5"/>
      <c r="G284" s="5"/>
      <c r="H284" s="5"/>
      <c r="I284" s="5"/>
      <c r="J284" s="5"/>
      <c r="K284" s="5"/>
      <c r="L284" s="5"/>
      <c r="M284" s="5"/>
      <c r="N284" s="5"/>
      <c r="O284" s="5"/>
      <c r="P284" s="5"/>
      <c r="Q284" s="5"/>
      <c r="R284" s="5"/>
      <c r="S284" s="5"/>
      <c r="T284" s="374"/>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R284" s="5"/>
      <c r="DS284" s="5"/>
      <c r="DT284" s="5"/>
      <c r="DU284" s="5"/>
      <c r="DV284" s="5"/>
      <c r="DW284" s="5"/>
      <c r="DX284" s="5"/>
      <c r="DY284" s="5"/>
      <c r="DZ284" s="5"/>
      <c r="EA284" s="5"/>
      <c r="EB284" s="5"/>
      <c r="EC284" s="5"/>
      <c r="ED284" s="5"/>
      <c r="EE284" s="5"/>
      <c r="EF284" s="5"/>
      <c r="EG284" s="5"/>
      <c r="EH284" s="5"/>
      <c r="EI284" s="5"/>
      <c r="EJ284" s="5"/>
      <c r="EK284" s="5"/>
    </row>
    <row r="285" spans="1:141">
      <c r="A285" s="5"/>
      <c r="B285" s="5"/>
      <c r="C285" s="5"/>
      <c r="D285" s="5"/>
      <c r="E285" s="5"/>
      <c r="F285" s="5"/>
      <c r="G285" s="5"/>
      <c r="H285" s="5"/>
      <c r="I285" s="5"/>
      <c r="J285" s="5"/>
      <c r="K285" s="5"/>
      <c r="L285" s="5"/>
      <c r="M285" s="5"/>
      <c r="N285" s="5"/>
      <c r="O285" s="5"/>
      <c r="P285" s="5"/>
      <c r="Q285" s="5"/>
      <c r="R285" s="5"/>
      <c r="S285" s="5"/>
      <c r="T285" s="374"/>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R285" s="5"/>
      <c r="DS285" s="5"/>
      <c r="DT285" s="5"/>
      <c r="DU285" s="5"/>
      <c r="DV285" s="5"/>
      <c r="DW285" s="5"/>
      <c r="DX285" s="5"/>
      <c r="DY285" s="5"/>
      <c r="DZ285" s="5"/>
      <c r="EA285" s="5"/>
      <c r="EB285" s="5"/>
      <c r="EC285" s="5"/>
      <c r="ED285" s="5"/>
      <c r="EE285" s="5"/>
      <c r="EF285" s="5"/>
      <c r="EG285" s="5"/>
      <c r="EH285" s="5"/>
      <c r="EI285" s="5"/>
      <c r="EJ285" s="5"/>
      <c r="EK285" s="5"/>
    </row>
    <row r="286" spans="1:141">
      <c r="A286" s="5"/>
      <c r="B286" s="5"/>
      <c r="C286" s="5"/>
      <c r="D286" s="5"/>
      <c r="E286" s="5"/>
      <c r="F286" s="5"/>
      <c r="G286" s="5"/>
      <c r="H286" s="5"/>
      <c r="I286" s="5"/>
      <c r="J286" s="5"/>
      <c r="K286" s="5"/>
      <c r="L286" s="5"/>
      <c r="M286" s="5"/>
      <c r="N286" s="5"/>
      <c r="O286" s="5"/>
      <c r="P286" s="5"/>
      <c r="Q286" s="5"/>
      <c r="R286" s="5"/>
      <c r="S286" s="5"/>
      <c r="T286" s="374"/>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R286" s="5"/>
      <c r="DS286" s="5"/>
      <c r="DT286" s="5"/>
      <c r="DU286" s="5"/>
      <c r="DV286" s="5"/>
      <c r="DW286" s="5"/>
      <c r="DX286" s="5"/>
      <c r="DY286" s="5"/>
      <c r="DZ286" s="5"/>
      <c r="EA286" s="5"/>
      <c r="EB286" s="5"/>
      <c r="EC286" s="5"/>
      <c r="ED286" s="5"/>
      <c r="EE286" s="5"/>
      <c r="EF286" s="5"/>
      <c r="EG286" s="5"/>
      <c r="EH286" s="5"/>
      <c r="EI286" s="5"/>
      <c r="EJ286" s="5"/>
      <c r="EK286" s="5"/>
    </row>
    <row r="287" spans="1:141">
      <c r="A287" s="5"/>
      <c r="B287" s="5"/>
      <c r="C287" s="5"/>
      <c r="D287" s="5"/>
      <c r="E287" s="5"/>
      <c r="F287" s="5"/>
      <c r="G287" s="5"/>
      <c r="H287" s="5"/>
      <c r="I287" s="5"/>
      <c r="J287" s="5"/>
      <c r="K287" s="5"/>
      <c r="L287" s="5"/>
      <c r="M287" s="5"/>
      <c r="N287" s="5"/>
      <c r="O287" s="5"/>
      <c r="P287" s="5"/>
      <c r="Q287" s="5"/>
      <c r="R287" s="5"/>
      <c r="S287" s="5"/>
      <c r="T287" s="374"/>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row>
    <row r="288" spans="1:141">
      <c r="A288" s="5"/>
      <c r="B288" s="5"/>
      <c r="C288" s="5"/>
      <c r="D288" s="5"/>
      <c r="E288" s="5"/>
      <c r="F288" s="5"/>
      <c r="G288" s="5"/>
      <c r="H288" s="5"/>
      <c r="I288" s="5"/>
      <c r="J288" s="5"/>
      <c r="K288" s="5"/>
      <c r="L288" s="5"/>
      <c r="M288" s="5"/>
      <c r="N288" s="5"/>
      <c r="O288" s="5"/>
      <c r="P288" s="5"/>
      <c r="Q288" s="5"/>
      <c r="R288" s="5"/>
      <c r="S288" s="5"/>
      <c r="T288" s="374"/>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row>
  </sheetData>
  <mergeCells count="566">
    <mergeCell ref="B28:F28"/>
    <mergeCell ref="B29:F29"/>
    <mergeCell ref="A24:A25"/>
    <mergeCell ref="B24:F25"/>
    <mergeCell ref="G24:G25"/>
    <mergeCell ref="H24:H25"/>
    <mergeCell ref="B26:F26"/>
    <mergeCell ref="B27:F27"/>
    <mergeCell ref="A14:H14"/>
    <mergeCell ref="B18:F18"/>
    <mergeCell ref="B19:F19"/>
    <mergeCell ref="B20:F20"/>
    <mergeCell ref="B21:F21"/>
    <mergeCell ref="A22:A23"/>
    <mergeCell ref="B22:F23"/>
    <mergeCell ref="A37:S37"/>
    <mergeCell ref="AM37:BE37"/>
    <mergeCell ref="BF37:BX37"/>
    <mergeCell ref="DS37:EK37"/>
    <mergeCell ref="D47:E47"/>
    <mergeCell ref="AP47:AQ47"/>
    <mergeCell ref="BI47:BJ47"/>
    <mergeCell ref="DV47:DW47"/>
    <mergeCell ref="J31:K32"/>
    <mergeCell ref="B32:F32"/>
    <mergeCell ref="A36:S36"/>
    <mergeCell ref="AM36:BE36"/>
    <mergeCell ref="BF36:BX36"/>
    <mergeCell ref="A30:A31"/>
    <mergeCell ref="B30:F31"/>
    <mergeCell ref="G30:G31"/>
    <mergeCell ref="H30:H31"/>
    <mergeCell ref="H47:I47"/>
    <mergeCell ref="BJ53:BK53"/>
    <mergeCell ref="BR53:BX54"/>
    <mergeCell ref="DW53:DX53"/>
    <mergeCell ref="E54:F54"/>
    <mergeCell ref="AQ54:AR54"/>
    <mergeCell ref="BJ54:BK54"/>
    <mergeCell ref="DW54:DX54"/>
    <mergeCell ref="BI48:BJ48"/>
    <mergeCell ref="BR48:BX49"/>
    <mergeCell ref="DV48:DW48"/>
    <mergeCell ref="DX51:DY51"/>
    <mergeCell ref="E53:F53"/>
    <mergeCell ref="M53:S54"/>
    <mergeCell ref="AQ53:AR53"/>
    <mergeCell ref="AY53:BE54"/>
    <mergeCell ref="D48:E48"/>
    <mergeCell ref="M48:S49"/>
    <mergeCell ref="AP48:AQ48"/>
    <mergeCell ref="AY48:BE49"/>
    <mergeCell ref="DW58:DX58"/>
    <mergeCell ref="E59:F59"/>
    <mergeCell ref="AQ59:AR59"/>
    <mergeCell ref="BJ59:BK59"/>
    <mergeCell ref="DW59:DX59"/>
    <mergeCell ref="B57:C57"/>
    <mergeCell ref="AN57:AO57"/>
    <mergeCell ref="BG57:BH57"/>
    <mergeCell ref="DT57:DU57"/>
    <mergeCell ref="E58:F58"/>
    <mergeCell ref="AQ58:AR58"/>
    <mergeCell ref="BJ58:BK58"/>
    <mergeCell ref="DW62:DX62"/>
    <mergeCell ref="E63:F63"/>
    <mergeCell ref="AQ63:AR63"/>
    <mergeCell ref="BJ63:BK63"/>
    <mergeCell ref="DW63:DX63"/>
    <mergeCell ref="B61:C61"/>
    <mergeCell ref="AN61:AO61"/>
    <mergeCell ref="BG61:BH61"/>
    <mergeCell ref="DT61:DU61"/>
    <mergeCell ref="E62:F62"/>
    <mergeCell ref="AQ62:AR62"/>
    <mergeCell ref="BJ62:BK62"/>
    <mergeCell ref="BK65:BL65"/>
    <mergeCell ref="BR65:BX66"/>
    <mergeCell ref="DX65:DY65"/>
    <mergeCell ref="F66:G66"/>
    <mergeCell ref="AR66:AS66"/>
    <mergeCell ref="BK66:BL66"/>
    <mergeCell ref="DX66:DY66"/>
    <mergeCell ref="F65:G65"/>
    <mergeCell ref="M65:S66"/>
    <mergeCell ref="AR65:AS65"/>
    <mergeCell ref="AY65:BE66"/>
    <mergeCell ref="B75:C75"/>
    <mergeCell ref="AR75:AS75"/>
    <mergeCell ref="BK75:BL75"/>
    <mergeCell ref="DX75:DY75"/>
    <mergeCell ref="B77:C77"/>
    <mergeCell ref="M77:S78"/>
    <mergeCell ref="AN77:AO77"/>
    <mergeCell ref="DV71:DW71"/>
    <mergeCell ref="B74:C74"/>
    <mergeCell ref="AN74:AO74"/>
    <mergeCell ref="BG74:BH74"/>
    <mergeCell ref="DT74:DU74"/>
    <mergeCell ref="M70:S71"/>
    <mergeCell ref="AY70:BE71"/>
    <mergeCell ref="BR70:BX71"/>
    <mergeCell ref="D71:E71"/>
    <mergeCell ref="AP71:AQ71"/>
    <mergeCell ref="BI71:BJ71"/>
    <mergeCell ref="DW78:DX78"/>
    <mergeCell ref="E79:F79"/>
    <mergeCell ref="AQ79:AR79"/>
    <mergeCell ref="BJ79:BK79"/>
    <mergeCell ref="DW79:DX79"/>
    <mergeCell ref="AY77:BE78"/>
    <mergeCell ref="BG77:BH77"/>
    <mergeCell ref="BR77:BX78"/>
    <mergeCell ref="DT77:DU77"/>
    <mergeCell ref="E78:F78"/>
    <mergeCell ref="AQ78:AR78"/>
    <mergeCell ref="BJ78:BK78"/>
    <mergeCell ref="BK85:BL85"/>
    <mergeCell ref="BR85:BX86"/>
    <mergeCell ref="DX85:DY85"/>
    <mergeCell ref="F86:G86"/>
    <mergeCell ref="AR86:AS86"/>
    <mergeCell ref="BK86:BL86"/>
    <mergeCell ref="DX86:DY86"/>
    <mergeCell ref="F85:G85"/>
    <mergeCell ref="M85:S86"/>
    <mergeCell ref="AR85:AS85"/>
    <mergeCell ref="AY85:BE86"/>
    <mergeCell ref="DV97:DW97"/>
    <mergeCell ref="E104:F104"/>
    <mergeCell ref="L104:R105"/>
    <mergeCell ref="AQ104:AR104"/>
    <mergeCell ref="AX104:BD105"/>
    <mergeCell ref="BJ104:BK104"/>
    <mergeCell ref="BQ104:BW105"/>
    <mergeCell ref="DW104:DX104"/>
    <mergeCell ref="L95:R96"/>
    <mergeCell ref="AX95:BD96"/>
    <mergeCell ref="BQ95:BW96"/>
    <mergeCell ref="D97:E97"/>
    <mergeCell ref="AP97:AQ97"/>
    <mergeCell ref="BI97:BJ97"/>
    <mergeCell ref="AX109:BD110"/>
    <mergeCell ref="BK109:BL109"/>
    <mergeCell ref="BQ109:BW110"/>
    <mergeCell ref="DX109:DY109"/>
    <mergeCell ref="F110:G110"/>
    <mergeCell ref="AR110:AS110"/>
    <mergeCell ref="BK110:BL110"/>
    <mergeCell ref="DX110:DY110"/>
    <mergeCell ref="E105:F105"/>
    <mergeCell ref="AQ105:AR105"/>
    <mergeCell ref="BJ105:BK105"/>
    <mergeCell ref="DW105:DX105"/>
    <mergeCell ref="F109:G109"/>
    <mergeCell ref="L109:R110"/>
    <mergeCell ref="AR109:AS109"/>
    <mergeCell ref="AY116:BE117"/>
    <mergeCell ref="BI116:BJ116"/>
    <mergeCell ref="BR116:BX117"/>
    <mergeCell ref="DV116:DW116"/>
    <mergeCell ref="D117:E117"/>
    <mergeCell ref="AP117:AQ117"/>
    <mergeCell ref="BI117:BJ117"/>
    <mergeCell ref="DV117:DW117"/>
    <mergeCell ref="A112:S112"/>
    <mergeCell ref="AM112:BE112"/>
    <mergeCell ref="BF112:BX112"/>
    <mergeCell ref="DS112:EK112"/>
    <mergeCell ref="D116:E116"/>
    <mergeCell ref="M116:S117"/>
    <mergeCell ref="AP116:AQ116"/>
    <mergeCell ref="D127:E127"/>
    <mergeCell ref="AP127:AQ127"/>
    <mergeCell ref="BI127:BJ127"/>
    <mergeCell ref="DV127:DW127"/>
    <mergeCell ref="D128:E128"/>
    <mergeCell ref="AP128:AQ128"/>
    <mergeCell ref="BI128:BJ128"/>
    <mergeCell ref="DV128:DW128"/>
    <mergeCell ref="D122:F122"/>
    <mergeCell ref="AP122:AR122"/>
    <mergeCell ref="BI122:BK122"/>
    <mergeCell ref="DV122:DW122"/>
    <mergeCell ref="D123:F123"/>
    <mergeCell ref="AP123:AQ123"/>
    <mergeCell ref="BI123:BJ123"/>
    <mergeCell ref="DV123:DW123"/>
    <mergeCell ref="A137:S137"/>
    <mergeCell ref="AM137:BE137"/>
    <mergeCell ref="BF137:BX137"/>
    <mergeCell ref="DS137:EK137"/>
    <mergeCell ref="M138:S139"/>
    <mergeCell ref="AY138:BE139"/>
    <mergeCell ref="BR138:BX139"/>
    <mergeCell ref="D139:E139"/>
    <mergeCell ref="D132:F132"/>
    <mergeCell ref="AP132:AR132"/>
    <mergeCell ref="BI132:BK132"/>
    <mergeCell ref="DV132:DW132"/>
    <mergeCell ref="D133:F133"/>
    <mergeCell ref="AP133:AR133"/>
    <mergeCell ref="BI133:BK133"/>
    <mergeCell ref="DV133:DW133"/>
    <mergeCell ref="A142:S142"/>
    <mergeCell ref="AM142:BE142"/>
    <mergeCell ref="BF142:BX142"/>
    <mergeCell ref="DS142:EK142"/>
    <mergeCell ref="D147:E147"/>
    <mergeCell ref="AP147:AQ147"/>
    <mergeCell ref="BI147:BJ147"/>
    <mergeCell ref="DV147:DW147"/>
    <mergeCell ref="AP139:AQ139"/>
    <mergeCell ref="BI139:BJ139"/>
    <mergeCell ref="DV139:DW139"/>
    <mergeCell ref="D140:E140"/>
    <mergeCell ref="AP140:AQ140"/>
    <mergeCell ref="BI140:BJ140"/>
    <mergeCell ref="DV140:DW140"/>
    <mergeCell ref="D153:E153"/>
    <mergeCell ref="AP153:AQ153"/>
    <mergeCell ref="BI153:BJ153"/>
    <mergeCell ref="DV153:DW153"/>
    <mergeCell ref="A154:S154"/>
    <mergeCell ref="AM154:BE154"/>
    <mergeCell ref="BF154:BX154"/>
    <mergeCell ref="DS154:EK154"/>
    <mergeCell ref="D148:E148"/>
    <mergeCell ref="AP148:AQ148"/>
    <mergeCell ref="BI148:BJ148"/>
    <mergeCell ref="DV148:DW148"/>
    <mergeCell ref="A150:S150"/>
    <mergeCell ref="AM150:BE150"/>
    <mergeCell ref="BF150:BX150"/>
    <mergeCell ref="DS150:EK150"/>
    <mergeCell ref="A158:S158"/>
    <mergeCell ref="AM158:BE158"/>
    <mergeCell ref="BF158:BX158"/>
    <mergeCell ref="DS158:EK158"/>
    <mergeCell ref="A160:S161"/>
    <mergeCell ref="AM160:BE161"/>
    <mergeCell ref="BF160:BX161"/>
    <mergeCell ref="DS160:EK161"/>
    <mergeCell ref="D156:E156"/>
    <mergeCell ref="AP156:AQ156"/>
    <mergeCell ref="BI156:BJ156"/>
    <mergeCell ref="DV156:DW156"/>
    <mergeCell ref="D157:E157"/>
    <mergeCell ref="AP157:AQ157"/>
    <mergeCell ref="BI157:BJ157"/>
    <mergeCell ref="DV157:DW157"/>
    <mergeCell ref="EB166:EC166"/>
    <mergeCell ref="J167:K167"/>
    <mergeCell ref="AV167:AW167"/>
    <mergeCell ref="BO167:BP167"/>
    <mergeCell ref="EB167:EC167"/>
    <mergeCell ref="J164:K164"/>
    <mergeCell ref="AV164:AW164"/>
    <mergeCell ref="BO164:BP164"/>
    <mergeCell ref="EB164:EC164"/>
    <mergeCell ref="J165:K165"/>
    <mergeCell ref="AV165:AW165"/>
    <mergeCell ref="BO165:BP165"/>
    <mergeCell ref="EB165:EC165"/>
    <mergeCell ref="C171:D171"/>
    <mergeCell ref="AO171:AP171"/>
    <mergeCell ref="BH171:BI171"/>
    <mergeCell ref="DU171:DV171"/>
    <mergeCell ref="I196:J196"/>
    <mergeCell ref="AU196:AV196"/>
    <mergeCell ref="BN196:BO196"/>
    <mergeCell ref="J166:K166"/>
    <mergeCell ref="AV166:AW166"/>
    <mergeCell ref="BO166:BP166"/>
    <mergeCell ref="A201:B201"/>
    <mergeCell ref="AM201:AN201"/>
    <mergeCell ref="BF201:BG201"/>
    <mergeCell ref="DS201:DT201"/>
    <mergeCell ref="D202:E202"/>
    <mergeCell ref="AP202:AQ202"/>
    <mergeCell ref="BI202:BJ202"/>
    <mergeCell ref="EA196:EB196"/>
    <mergeCell ref="C198:D198"/>
    <mergeCell ref="AO198:AP198"/>
    <mergeCell ref="BH198:BI198"/>
    <mergeCell ref="DU198:DV198"/>
    <mergeCell ref="D206:E206"/>
    <mergeCell ref="AP206:AQ206"/>
    <mergeCell ref="BI206:BJ206"/>
    <mergeCell ref="DV206:DW206"/>
    <mergeCell ref="A208:S211"/>
    <mergeCell ref="AM208:BE211"/>
    <mergeCell ref="BF208:BX211"/>
    <mergeCell ref="DS208:EK211"/>
    <mergeCell ref="DV202:DW202"/>
    <mergeCell ref="L205:M205"/>
    <mergeCell ref="AX205:AY205"/>
    <mergeCell ref="BQ205:BR205"/>
    <mergeCell ref="ED205:EE205"/>
    <mergeCell ref="A218:S218"/>
    <mergeCell ref="AM218:BE218"/>
    <mergeCell ref="BF218:BX218"/>
    <mergeCell ref="DS218:EK218"/>
    <mergeCell ref="A219:S220"/>
    <mergeCell ref="AM219:BE220"/>
    <mergeCell ref="BF219:BX220"/>
    <mergeCell ref="DS219:EK220"/>
    <mergeCell ref="D213:E213"/>
    <mergeCell ref="AP213:AQ213"/>
    <mergeCell ref="BI213:BJ213"/>
    <mergeCell ref="DV213:DW213"/>
    <mergeCell ref="D216:E216"/>
    <mergeCell ref="AP216:AQ216"/>
    <mergeCell ref="BI216:BJ216"/>
    <mergeCell ref="DV216:DW216"/>
    <mergeCell ref="N227:O227"/>
    <mergeCell ref="AZ227:BA227"/>
    <mergeCell ref="BS227:BT227"/>
    <mergeCell ref="EF227:EG227"/>
    <mergeCell ref="E228:F228"/>
    <mergeCell ref="AQ228:AR228"/>
    <mergeCell ref="BJ228:BK228"/>
    <mergeCell ref="DW228:DX228"/>
    <mergeCell ref="C221:D221"/>
    <mergeCell ref="AO221:AP221"/>
    <mergeCell ref="BH221:BI221"/>
    <mergeCell ref="DU221:DV221"/>
    <mergeCell ref="D224:E224"/>
    <mergeCell ref="AP224:AQ224"/>
    <mergeCell ref="BI224:BJ224"/>
    <mergeCell ref="DV224:DW224"/>
    <mergeCell ref="A234:S234"/>
    <mergeCell ref="AM234:BE234"/>
    <mergeCell ref="BF234:BX234"/>
    <mergeCell ref="DS234:EK234"/>
    <mergeCell ref="D236:E236"/>
    <mergeCell ref="AP236:AQ236"/>
    <mergeCell ref="BI236:BJ236"/>
    <mergeCell ref="DV236:DW236"/>
    <mergeCell ref="A230:S231"/>
    <mergeCell ref="AM230:BE231"/>
    <mergeCell ref="BF230:BX231"/>
    <mergeCell ref="DS230:EK231"/>
    <mergeCell ref="E233:F233"/>
    <mergeCell ref="AQ233:AR233"/>
    <mergeCell ref="BJ233:BK233"/>
    <mergeCell ref="DW233:DX233"/>
    <mergeCell ref="A242:S242"/>
    <mergeCell ref="AM242:BE242"/>
    <mergeCell ref="BF242:BX242"/>
    <mergeCell ref="DS242:EK242"/>
    <mergeCell ref="D244:E244"/>
    <mergeCell ref="AP244:AQ244"/>
    <mergeCell ref="BI244:BJ244"/>
    <mergeCell ref="A238:S238"/>
    <mergeCell ref="AM238:BE238"/>
    <mergeCell ref="BF238:BX238"/>
    <mergeCell ref="DS238:EK238"/>
    <mergeCell ref="D240:E240"/>
    <mergeCell ref="AP240:AQ240"/>
    <mergeCell ref="BI240:BJ240"/>
    <mergeCell ref="DV240:DW240"/>
    <mergeCell ref="AR249:AT249"/>
    <mergeCell ref="BF249:BG249"/>
    <mergeCell ref="BH249:BJ249"/>
    <mergeCell ref="BK249:BM249"/>
    <mergeCell ref="A250:B250"/>
    <mergeCell ref="C250:E250"/>
    <mergeCell ref="F250:H250"/>
    <mergeCell ref="DW247:DX247"/>
    <mergeCell ref="DW248:DX248"/>
    <mergeCell ref="A249:B249"/>
    <mergeCell ref="C249:E249"/>
    <mergeCell ref="F249:H249"/>
    <mergeCell ref="AM249:AN249"/>
    <mergeCell ref="AO249:AQ249"/>
    <mergeCell ref="AM247:AN248"/>
    <mergeCell ref="AO247:AQ248"/>
    <mergeCell ref="AR247:AT248"/>
    <mergeCell ref="BF247:BG248"/>
    <mergeCell ref="BH247:BJ248"/>
    <mergeCell ref="BK247:BM248"/>
    <mergeCell ref="A247:B248"/>
    <mergeCell ref="C247:E248"/>
    <mergeCell ref="F247:H248"/>
    <mergeCell ref="DS250:DT250"/>
    <mergeCell ref="AO251:AQ251"/>
    <mergeCell ref="AR251:AT251"/>
    <mergeCell ref="BF251:BG251"/>
    <mergeCell ref="BH251:BJ251"/>
    <mergeCell ref="DU250:DW250"/>
    <mergeCell ref="DX250:DZ250"/>
    <mergeCell ref="A251:B251"/>
    <mergeCell ref="C251:E251"/>
    <mergeCell ref="F251:H251"/>
    <mergeCell ref="AM251:AN251"/>
    <mergeCell ref="AM250:AN250"/>
    <mergeCell ref="AO250:AQ250"/>
    <mergeCell ref="AR250:AT250"/>
    <mergeCell ref="BF250:BG250"/>
    <mergeCell ref="BH250:BJ250"/>
    <mergeCell ref="BK250:BM250"/>
    <mergeCell ref="DU251:DW251"/>
    <mergeCell ref="DX251:DZ251"/>
    <mergeCell ref="BK251:BM251"/>
    <mergeCell ref="DS251:DT251"/>
    <mergeCell ref="BF253:BG253"/>
    <mergeCell ref="BH253:BJ253"/>
    <mergeCell ref="BK253:BM253"/>
    <mergeCell ref="DS253:DT253"/>
    <mergeCell ref="DU253:DW253"/>
    <mergeCell ref="DX253:DZ253"/>
    <mergeCell ref="DX252:DZ252"/>
    <mergeCell ref="A253:B253"/>
    <mergeCell ref="C253:E253"/>
    <mergeCell ref="F253:H253"/>
    <mergeCell ref="AM253:AN253"/>
    <mergeCell ref="AO253:AQ253"/>
    <mergeCell ref="AR253:AT253"/>
    <mergeCell ref="AR252:AT252"/>
    <mergeCell ref="BF252:BG252"/>
    <mergeCell ref="BH252:BJ252"/>
    <mergeCell ref="BK252:BM252"/>
    <mergeCell ref="DS252:DT252"/>
    <mergeCell ref="DU252:DW252"/>
    <mergeCell ref="A252:B252"/>
    <mergeCell ref="C252:E252"/>
    <mergeCell ref="F252:H252"/>
    <mergeCell ref="AM252:AN252"/>
    <mergeCell ref="AO252:AQ252"/>
    <mergeCell ref="AO255:AQ255"/>
    <mergeCell ref="AR255:AT255"/>
    <mergeCell ref="BF255:BG255"/>
    <mergeCell ref="BH255:BJ255"/>
    <mergeCell ref="DS254:DT254"/>
    <mergeCell ref="DU254:DW254"/>
    <mergeCell ref="DX254:DZ254"/>
    <mergeCell ref="A255:B255"/>
    <mergeCell ref="C255:E255"/>
    <mergeCell ref="F255:H255"/>
    <mergeCell ref="AM255:AN255"/>
    <mergeCell ref="AM254:AN254"/>
    <mergeCell ref="AO254:AQ254"/>
    <mergeCell ref="AR254:AT254"/>
    <mergeCell ref="BF254:BG254"/>
    <mergeCell ref="BH254:BJ254"/>
    <mergeCell ref="BK254:BM254"/>
    <mergeCell ref="A254:B254"/>
    <mergeCell ref="C254:E254"/>
    <mergeCell ref="F254:H254"/>
    <mergeCell ref="DU255:DW255"/>
    <mergeCell ref="DX255:DZ255"/>
    <mergeCell ref="BK255:BM255"/>
    <mergeCell ref="DS255:DT255"/>
    <mergeCell ref="BF257:BG257"/>
    <mergeCell ref="BH257:BJ257"/>
    <mergeCell ref="BK257:BM257"/>
    <mergeCell ref="DS257:DT257"/>
    <mergeCell ref="DU257:DW257"/>
    <mergeCell ref="DX257:DZ257"/>
    <mergeCell ref="DX256:DZ256"/>
    <mergeCell ref="A257:B257"/>
    <mergeCell ref="C257:E257"/>
    <mergeCell ref="F257:H257"/>
    <mergeCell ref="AM257:AN257"/>
    <mergeCell ref="AO257:AQ257"/>
    <mergeCell ref="AR257:AT257"/>
    <mergeCell ref="AR256:AT256"/>
    <mergeCell ref="BF256:BG256"/>
    <mergeCell ref="BH256:BJ256"/>
    <mergeCell ref="BK256:BM256"/>
    <mergeCell ref="DS256:DT256"/>
    <mergeCell ref="DU256:DW256"/>
    <mergeCell ref="A256:B256"/>
    <mergeCell ref="C256:E256"/>
    <mergeCell ref="F256:H256"/>
    <mergeCell ref="AM256:AN256"/>
    <mergeCell ref="AO256:AQ256"/>
    <mergeCell ref="DX258:DZ258"/>
    <mergeCell ref="DS259:DT259"/>
    <mergeCell ref="DU259:DW259"/>
    <mergeCell ref="DX259:DZ259"/>
    <mergeCell ref="AM258:AN258"/>
    <mergeCell ref="AO258:AQ258"/>
    <mergeCell ref="AR258:AT258"/>
    <mergeCell ref="BF258:BG258"/>
    <mergeCell ref="BH258:BJ258"/>
    <mergeCell ref="BK258:BM258"/>
    <mergeCell ref="B261:C261"/>
    <mergeCell ref="AN261:AO261"/>
    <mergeCell ref="AY261:BA261"/>
    <mergeCell ref="BG261:BH261"/>
    <mergeCell ref="B262:C262"/>
    <mergeCell ref="AN262:AO262"/>
    <mergeCell ref="BG262:BH262"/>
    <mergeCell ref="DS258:DT258"/>
    <mergeCell ref="DU258:DW258"/>
    <mergeCell ref="A258:B258"/>
    <mergeCell ref="C258:E258"/>
    <mergeCell ref="F258:H258"/>
    <mergeCell ref="B264:C264"/>
    <mergeCell ref="AN264:AO264"/>
    <mergeCell ref="BG264:BH264"/>
    <mergeCell ref="DT264:DU264"/>
    <mergeCell ref="B265:C265"/>
    <mergeCell ref="AN265:AO265"/>
    <mergeCell ref="BG265:BH265"/>
    <mergeCell ref="DT265:DU265"/>
    <mergeCell ref="DT262:DU262"/>
    <mergeCell ref="B263:C263"/>
    <mergeCell ref="AN263:AO263"/>
    <mergeCell ref="BG263:BH263"/>
    <mergeCell ref="DT263:DU263"/>
    <mergeCell ref="J272:K272"/>
    <mergeCell ref="T272:V272"/>
    <mergeCell ref="Y272:Z272"/>
    <mergeCell ref="AC272:AD272"/>
    <mergeCell ref="DZ265:EA265"/>
    <mergeCell ref="I266:J266"/>
    <mergeCell ref="DT266:DU266"/>
    <mergeCell ref="DZ266:EA266"/>
    <mergeCell ref="EA268:EB268"/>
    <mergeCell ref="DS270:EJ270"/>
    <mergeCell ref="BF273:BH273"/>
    <mergeCell ref="BK273:BL273"/>
    <mergeCell ref="BP273:BQ273"/>
    <mergeCell ref="DS273:DU273"/>
    <mergeCell ref="DX273:DY273"/>
    <mergeCell ref="EC273:ED273"/>
    <mergeCell ref="DX272:DY272"/>
    <mergeCell ref="EB272:EC272"/>
    <mergeCell ref="A273:C273"/>
    <mergeCell ref="F273:G273"/>
    <mergeCell ref="K273:L273"/>
    <mergeCell ref="T273:V273"/>
    <mergeCell ref="Y273:Z273"/>
    <mergeCell ref="AD273:AE273"/>
    <mergeCell ref="AR273:AS273"/>
    <mergeCell ref="AW273:AX273"/>
    <mergeCell ref="AR272:AS272"/>
    <mergeCell ref="AV272:AW272"/>
    <mergeCell ref="BF272:BH272"/>
    <mergeCell ref="BK272:BL272"/>
    <mergeCell ref="BO272:BP272"/>
    <mergeCell ref="DS272:DU272"/>
    <mergeCell ref="A272:C272"/>
    <mergeCell ref="F272:G272"/>
    <mergeCell ref="B277:F277"/>
    <mergeCell ref="B278:D278"/>
    <mergeCell ref="F278:G278"/>
    <mergeCell ref="B279:D279"/>
    <mergeCell ref="F279:G279"/>
    <mergeCell ref="BK274:BL274"/>
    <mergeCell ref="DS274:DV274"/>
    <mergeCell ref="DX274:DY274"/>
    <mergeCell ref="F275:G275"/>
    <mergeCell ref="Y275:Z275"/>
    <mergeCell ref="AR275:AS275"/>
    <mergeCell ref="BK275:BL275"/>
    <mergeCell ref="DX275:DY275"/>
    <mergeCell ref="A274:D274"/>
    <mergeCell ref="F274:G274"/>
    <mergeCell ref="T274:W274"/>
    <mergeCell ref="Y274:Z274"/>
    <mergeCell ref="AR274:AS274"/>
    <mergeCell ref="BF274:BI274"/>
  </mergeCells>
  <pageMargins left="0.7" right="0.7" top="0.75" bottom="0.75" header="0.3" footer="0.3"/>
  <pageSetup scale="54" orientation="portrait" horizontalDpi="4294967293" verticalDpi="300" r:id="rId1"/>
  <colBreaks count="1" manualBreakCount="1">
    <brk id="18" min="34" max="278"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28C6-5C36-420B-956E-A6CD03B8C395}">
  <dimension ref="A1:X175"/>
  <sheetViews>
    <sheetView topLeftCell="A155" zoomScale="115" zoomScaleNormal="115" workbookViewId="0">
      <selection activeCell="M67" sqref="M67"/>
    </sheetView>
  </sheetViews>
  <sheetFormatPr defaultRowHeight="14.4"/>
  <cols>
    <col min="16" max="16" width="12" bestFit="1" customWidth="1"/>
  </cols>
  <sheetData>
    <row r="1" spans="1:17">
      <c r="A1" t="s">
        <v>827</v>
      </c>
    </row>
    <row r="2" spans="1:17">
      <c r="A2" t="s">
        <v>588</v>
      </c>
      <c r="B2">
        <v>18974.456719255908</v>
      </c>
      <c r="C2" t="s">
        <v>151</v>
      </c>
      <c r="D2">
        <f>B2/0.98</f>
        <v>19361.690529852967</v>
      </c>
    </row>
    <row r="4" spans="1:17">
      <c r="A4" t="s">
        <v>828</v>
      </c>
    </row>
    <row r="5" spans="1:17">
      <c r="A5" t="s">
        <v>588</v>
      </c>
      <c r="B5">
        <v>5028.0072717656703</v>
      </c>
      <c r="C5" t="s">
        <v>151</v>
      </c>
    </row>
    <row r="7" spans="1:17">
      <c r="A7" t="s">
        <v>829</v>
      </c>
      <c r="B7">
        <f>B2+B5</f>
        <v>24002.463991021577</v>
      </c>
      <c r="C7" t="s">
        <v>151</v>
      </c>
    </row>
    <row r="9" spans="1:17">
      <c r="A9" t="s">
        <v>835</v>
      </c>
      <c r="H9" t="s">
        <v>833</v>
      </c>
      <c r="M9" t="s">
        <v>837</v>
      </c>
      <c r="P9">
        <f>K15+H81</f>
        <v>5713.153666666667</v>
      </c>
      <c r="Q9" t="s">
        <v>151</v>
      </c>
    </row>
    <row r="10" spans="1:17">
      <c r="A10" t="s">
        <v>579</v>
      </c>
      <c r="B10" t="s">
        <v>836</v>
      </c>
      <c r="C10" t="s">
        <v>830</v>
      </c>
      <c r="D10" t="s">
        <v>831</v>
      </c>
      <c r="H10" s="437" t="s">
        <v>579</v>
      </c>
      <c r="I10" s="437" t="s">
        <v>836</v>
      </c>
      <c r="J10" s="437" t="s">
        <v>830</v>
      </c>
      <c r="K10" s="437" t="s">
        <v>831</v>
      </c>
    </row>
    <row r="11" spans="1:17">
      <c r="A11">
        <v>0</v>
      </c>
      <c r="B11">
        <v>922.49</v>
      </c>
      <c r="C11">
        <v>1</v>
      </c>
      <c r="D11">
        <f>B11*C11</f>
        <v>922.49</v>
      </c>
      <c r="H11" s="437">
        <v>0</v>
      </c>
      <c r="I11" s="437">
        <v>872.09</v>
      </c>
      <c r="J11" s="437">
        <v>1</v>
      </c>
      <c r="K11" s="437">
        <f>I11*J11</f>
        <v>872.09</v>
      </c>
      <c r="M11" t="s">
        <v>838</v>
      </c>
      <c r="O11">
        <f>D29-P9</f>
        <v>21947.282833333331</v>
      </c>
      <c r="P11" t="s">
        <v>151</v>
      </c>
    </row>
    <row r="12" spans="1:17">
      <c r="A12">
        <v>1</v>
      </c>
      <c r="B12">
        <v>1077.69</v>
      </c>
      <c r="C12">
        <v>3</v>
      </c>
      <c r="D12">
        <f t="shared" ref="D12:D20" si="0">B12*C12</f>
        <v>3233.07</v>
      </c>
      <c r="H12" s="437">
        <v>0.67</v>
      </c>
      <c r="I12" s="437">
        <v>1050.46</v>
      </c>
      <c r="J12" s="437">
        <v>4</v>
      </c>
      <c r="K12" s="437">
        <f t="shared" ref="K12:K13" si="1">I12*J12</f>
        <v>4201.84</v>
      </c>
    </row>
    <row r="13" spans="1:17">
      <c r="A13">
        <v>2</v>
      </c>
      <c r="B13">
        <v>1116.54</v>
      </c>
      <c r="C13">
        <v>3</v>
      </c>
      <c r="D13">
        <f t="shared" si="0"/>
        <v>3349.62</v>
      </c>
      <c r="H13" s="437">
        <v>1.33</v>
      </c>
      <c r="I13" s="437">
        <v>1096.6400000000001</v>
      </c>
      <c r="J13" s="437">
        <v>1</v>
      </c>
      <c r="K13" s="437">
        <f t="shared" si="1"/>
        <v>1096.6400000000001</v>
      </c>
      <c r="M13" t="s">
        <v>840</v>
      </c>
      <c r="O13">
        <f>O11-B2</f>
        <v>2972.826114077423</v>
      </c>
      <c r="P13" t="s">
        <v>151</v>
      </c>
    </row>
    <row r="14" spans="1:17">
      <c r="A14">
        <v>3</v>
      </c>
      <c r="B14">
        <v>1116.72</v>
      </c>
      <c r="C14">
        <v>2</v>
      </c>
      <c r="D14">
        <f t="shared" si="0"/>
        <v>2233.44</v>
      </c>
      <c r="K14" s="437">
        <f>SUM(K11:K13)</f>
        <v>6170.5700000000006</v>
      </c>
    </row>
    <row r="15" spans="1:17">
      <c r="A15">
        <v>4</v>
      </c>
      <c r="B15">
        <v>1128.03</v>
      </c>
      <c r="C15">
        <v>3</v>
      </c>
      <c r="D15">
        <f t="shared" si="0"/>
        <v>3384.09</v>
      </c>
      <c r="J15" t="s">
        <v>832</v>
      </c>
      <c r="K15" s="437">
        <f>2*1/3*(1.33/2)*K14</f>
        <v>2735.6193666666672</v>
      </c>
      <c r="L15" t="s">
        <v>151</v>
      </c>
      <c r="M15" t="s">
        <v>841</v>
      </c>
      <c r="O15">
        <f>0.03*B2</f>
        <v>569.23370157767727</v>
      </c>
      <c r="P15" t="s">
        <v>151</v>
      </c>
    </row>
    <row r="16" spans="1:17">
      <c r="A16">
        <v>5</v>
      </c>
      <c r="B16">
        <v>1130.6500000000001</v>
      </c>
      <c r="C16">
        <v>3</v>
      </c>
      <c r="D16">
        <f t="shared" si="0"/>
        <v>3391.9500000000003</v>
      </c>
    </row>
    <row r="17" spans="1:19">
      <c r="A17">
        <v>6</v>
      </c>
      <c r="B17">
        <v>1132.8800000000001</v>
      </c>
      <c r="C17">
        <v>2</v>
      </c>
      <c r="D17">
        <f t="shared" si="0"/>
        <v>2265.7600000000002</v>
      </c>
      <c r="M17" t="s">
        <v>842</v>
      </c>
      <c r="O17">
        <v>341.70430557279354</v>
      </c>
      <c r="P17" t="s">
        <v>151</v>
      </c>
    </row>
    <row r="18" spans="1:19">
      <c r="A18">
        <v>7</v>
      </c>
      <c r="B18">
        <v>1135.52</v>
      </c>
      <c r="C18">
        <v>3</v>
      </c>
      <c r="D18">
        <f t="shared" si="0"/>
        <v>3406.56</v>
      </c>
      <c r="M18" t="s">
        <v>843</v>
      </c>
      <c r="O18">
        <v>30.218778947368421</v>
      </c>
      <c r="P18" t="s">
        <v>151</v>
      </c>
      <c r="Q18" t="s">
        <v>1058</v>
      </c>
      <c r="R18">
        <f>2*3.75*3*2</f>
        <v>45</v>
      </c>
    </row>
    <row r="19" spans="1:19">
      <c r="A19">
        <v>8</v>
      </c>
      <c r="B19">
        <v>1138.92</v>
      </c>
      <c r="C19">
        <v>3</v>
      </c>
      <c r="D19">
        <f t="shared" si="0"/>
        <v>3416.76</v>
      </c>
      <c r="M19" t="s">
        <v>844</v>
      </c>
      <c r="O19">
        <f>'SARAT KOSONG'!U44</f>
        <v>10.792421052631578</v>
      </c>
      <c r="P19" t="s">
        <v>151</v>
      </c>
      <c r="Q19" t="s">
        <v>1058</v>
      </c>
      <c r="R19">
        <f>3*4*2.1</f>
        <v>25.200000000000003</v>
      </c>
      <c r="S19">
        <f>R19/2</f>
        <v>12.600000000000001</v>
      </c>
    </row>
    <row r="20" spans="1:19">
      <c r="A20">
        <v>9</v>
      </c>
      <c r="B20">
        <v>1143.07</v>
      </c>
      <c r="C20">
        <v>1</v>
      </c>
      <c r="D20">
        <f t="shared" si="0"/>
        <v>1143.07</v>
      </c>
    </row>
    <row r="21" spans="1:19">
      <c r="D21">
        <f>SUM(D11:D20)</f>
        <v>26746.809999999998</v>
      </c>
      <c r="M21" t="s">
        <v>1045</v>
      </c>
      <c r="O21">
        <f>0.15*O17</f>
        <v>51.255645835919033</v>
      </c>
      <c r="P21" t="s">
        <v>151</v>
      </c>
    </row>
    <row r="22" spans="1:19">
      <c r="C22" t="s">
        <v>832</v>
      </c>
      <c r="D22">
        <f>2*3/8*1*D21</f>
        <v>20060.107499999998</v>
      </c>
      <c r="E22" t="s">
        <v>151</v>
      </c>
      <c r="M22" t="s">
        <v>1044</v>
      </c>
      <c r="O22">
        <f>0.2*O19</f>
        <v>2.1584842105263156</v>
      </c>
      <c r="P22" t="s">
        <v>151</v>
      </c>
      <c r="Q22" t="s">
        <v>1058</v>
      </c>
      <c r="R22">
        <f>2*1*1*2</f>
        <v>4</v>
      </c>
    </row>
    <row r="24" spans="1:19">
      <c r="A24">
        <v>9.0500000000000007</v>
      </c>
      <c r="B24">
        <v>1143.07</v>
      </c>
      <c r="C24">
        <v>0.5</v>
      </c>
      <c r="D24">
        <f>B24*C24</f>
        <v>571.53499999999997</v>
      </c>
      <c r="M24" t="s">
        <v>1046</v>
      </c>
      <c r="O24">
        <v>1.4043864177777781</v>
      </c>
      <c r="P24" t="s">
        <v>151</v>
      </c>
      <c r="Q24" t="s">
        <v>277</v>
      </c>
      <c r="R24">
        <f>2*1.5*1*1</f>
        <v>3</v>
      </c>
    </row>
    <row r="25" spans="1:19">
      <c r="A25">
        <v>12.35</v>
      </c>
      <c r="B25">
        <v>1160.06</v>
      </c>
      <c r="C25">
        <v>0.5</v>
      </c>
      <c r="D25">
        <f>B25*C25</f>
        <v>580.03</v>
      </c>
    </row>
    <row r="26" spans="1:19">
      <c r="D26">
        <f>SUM(D24:D25)</f>
        <v>1151.5650000000001</v>
      </c>
      <c r="M26" t="s">
        <v>1047</v>
      </c>
      <c r="O26">
        <v>52.496157948717958</v>
      </c>
      <c r="P26" t="s">
        <v>151</v>
      </c>
      <c r="Q26" t="s">
        <v>1058</v>
      </c>
      <c r="R26">
        <f>3.75*10.5</f>
        <v>39.375</v>
      </c>
    </row>
    <row r="27" spans="1:19">
      <c r="C27" t="s">
        <v>832</v>
      </c>
      <c r="D27">
        <f>3.3*D26*2</f>
        <v>7600.3289999999997</v>
      </c>
      <c r="E27" t="s">
        <v>151</v>
      </c>
    </row>
    <row r="28" spans="1:19">
      <c r="M28" t="s">
        <v>1048</v>
      </c>
      <c r="O28" s="443">
        <v>5.742</v>
      </c>
      <c r="P28" t="s">
        <v>151</v>
      </c>
      <c r="R28">
        <f>2*1.325*4.2*1.5</f>
        <v>16.695</v>
      </c>
    </row>
    <row r="29" spans="1:19">
      <c r="C29" t="s">
        <v>834</v>
      </c>
      <c r="D29">
        <f>D27+D22</f>
        <v>27660.436499999996</v>
      </c>
      <c r="E29" t="s">
        <v>151</v>
      </c>
    </row>
    <row r="30" spans="1:19">
      <c r="M30" t="s">
        <v>1049</v>
      </c>
      <c r="O30">
        <f>4480/250</f>
        <v>17.920000000000002</v>
      </c>
      <c r="P30" t="s">
        <v>151</v>
      </c>
    </row>
    <row r="32" spans="1:19">
      <c r="A32" t="s">
        <v>1028</v>
      </c>
      <c r="M32" t="s">
        <v>1050</v>
      </c>
      <c r="O32">
        <v>6</v>
      </c>
      <c r="P32" t="s">
        <v>151</v>
      </c>
    </row>
    <row r="33" spans="1:16">
      <c r="A33" t="s">
        <v>579</v>
      </c>
      <c r="B33" t="s">
        <v>836</v>
      </c>
      <c r="C33" t="s">
        <v>830</v>
      </c>
      <c r="D33" t="s">
        <v>831</v>
      </c>
    </row>
    <row r="34" spans="1:16">
      <c r="A34">
        <v>0</v>
      </c>
      <c r="B34">
        <v>15.79</v>
      </c>
      <c r="C34">
        <v>1</v>
      </c>
      <c r="D34">
        <f>B34*C34</f>
        <v>15.79</v>
      </c>
      <c r="M34" t="s">
        <v>1051</v>
      </c>
      <c r="O34">
        <f>4800/750</f>
        <v>6.4</v>
      </c>
      <c r="P34" t="s">
        <v>151</v>
      </c>
    </row>
    <row r="35" spans="1:16">
      <c r="A35">
        <v>1</v>
      </c>
      <c r="B35">
        <v>24.64</v>
      </c>
      <c r="C35">
        <v>3</v>
      </c>
      <c r="D35">
        <f t="shared" ref="D35:D43" si="2">B35*C35</f>
        <v>73.92</v>
      </c>
    </row>
    <row r="36" spans="1:16">
      <c r="A36">
        <v>2</v>
      </c>
      <c r="B36">
        <v>26.55</v>
      </c>
      <c r="C36">
        <v>3</v>
      </c>
      <c r="D36">
        <f t="shared" si="2"/>
        <v>79.650000000000006</v>
      </c>
    </row>
    <row r="37" spans="1:16">
      <c r="A37">
        <v>3</v>
      </c>
      <c r="B37">
        <v>27.52</v>
      </c>
      <c r="C37">
        <v>2</v>
      </c>
      <c r="D37">
        <f t="shared" si="2"/>
        <v>55.04</v>
      </c>
    </row>
    <row r="38" spans="1:16">
      <c r="A38">
        <v>4</v>
      </c>
      <c r="B38">
        <v>28.17</v>
      </c>
      <c r="C38">
        <v>3</v>
      </c>
      <c r="D38">
        <f t="shared" si="2"/>
        <v>84.51</v>
      </c>
    </row>
    <row r="39" spans="1:16">
      <c r="A39">
        <v>5</v>
      </c>
      <c r="B39">
        <v>28.77</v>
      </c>
      <c r="C39">
        <v>3</v>
      </c>
      <c r="D39">
        <f t="shared" si="2"/>
        <v>86.31</v>
      </c>
    </row>
    <row r="40" spans="1:16">
      <c r="A40">
        <v>6</v>
      </c>
      <c r="B40">
        <v>29.45</v>
      </c>
      <c r="C40">
        <v>2</v>
      </c>
      <c r="D40">
        <f t="shared" si="2"/>
        <v>58.9</v>
      </c>
    </row>
    <row r="41" spans="1:16">
      <c r="A41">
        <v>7</v>
      </c>
      <c r="B41">
        <v>30.25</v>
      </c>
      <c r="C41">
        <v>3</v>
      </c>
      <c r="D41">
        <f t="shared" si="2"/>
        <v>90.75</v>
      </c>
    </row>
    <row r="42" spans="1:16">
      <c r="A42">
        <v>8</v>
      </c>
      <c r="B42">
        <v>31.19</v>
      </c>
      <c r="C42">
        <v>3</v>
      </c>
      <c r="D42">
        <f t="shared" si="2"/>
        <v>93.570000000000007</v>
      </c>
    </row>
    <row r="43" spans="1:16">
      <c r="A43">
        <v>9</v>
      </c>
      <c r="B43">
        <v>32.29</v>
      </c>
      <c r="C43">
        <v>1</v>
      </c>
      <c r="D43">
        <f t="shared" si="2"/>
        <v>32.29</v>
      </c>
    </row>
    <row r="44" spans="1:16">
      <c r="D44">
        <f>SUM(D34:D43)</f>
        <v>670.73</v>
      </c>
    </row>
    <row r="45" spans="1:16">
      <c r="C45" t="s">
        <v>832</v>
      </c>
      <c r="D45">
        <f>2*3/8*1*D44</f>
        <v>503.04750000000001</v>
      </c>
      <c r="E45" t="s">
        <v>151</v>
      </c>
    </row>
    <row r="47" spans="1:16">
      <c r="A47">
        <v>9.0500000000000007</v>
      </c>
      <c r="B47">
        <v>32.29</v>
      </c>
      <c r="C47">
        <v>0.5</v>
      </c>
      <c r="D47">
        <f>B47*C47</f>
        <v>16.145</v>
      </c>
    </row>
    <row r="48" spans="1:16">
      <c r="A48">
        <v>12.35</v>
      </c>
      <c r="B48">
        <v>32.46</v>
      </c>
      <c r="C48">
        <v>0.5</v>
      </c>
      <c r="D48">
        <f>B48*C48</f>
        <v>16.23</v>
      </c>
    </row>
    <row r="49" spans="1:15">
      <c r="D49">
        <f>SUM(D47:D48)</f>
        <v>32.375</v>
      </c>
    </row>
    <row r="50" spans="1:15">
      <c r="C50" t="s">
        <v>832</v>
      </c>
      <c r="D50">
        <f>3.3*D49*2</f>
        <v>213.67499999999998</v>
      </c>
      <c r="E50" t="s">
        <v>151</v>
      </c>
    </row>
    <row r="52" spans="1:15">
      <c r="C52" t="s">
        <v>834</v>
      </c>
      <c r="D52">
        <f>D50+D45</f>
        <v>716.72249999999997</v>
      </c>
      <c r="E52" t="s">
        <v>151</v>
      </c>
    </row>
    <row r="54" spans="1:15">
      <c r="A54" s="969" t="s">
        <v>1029</v>
      </c>
      <c r="B54" s="969"/>
      <c r="C54" s="969"/>
      <c r="D54" s="969"/>
      <c r="E54" s="969"/>
      <c r="F54" s="969"/>
      <c r="G54" s="969"/>
      <c r="H54" s="969"/>
      <c r="I54" s="969"/>
      <c r="K54" s="970" t="s">
        <v>839</v>
      </c>
      <c r="L54" s="970"/>
      <c r="M54" s="970"/>
      <c r="N54" s="970"/>
    </row>
    <row r="55" spans="1:15">
      <c r="A55" s="968" t="s">
        <v>1030</v>
      </c>
      <c r="B55" s="968"/>
      <c r="C55" s="968"/>
      <c r="D55" s="968"/>
      <c r="F55" s="968" t="s">
        <v>1031</v>
      </c>
      <c r="G55" s="968"/>
      <c r="H55" s="968"/>
      <c r="I55" s="968"/>
      <c r="K55" s="437" t="s">
        <v>579</v>
      </c>
      <c r="L55" s="437" t="s">
        <v>836</v>
      </c>
      <c r="M55" s="437" t="s">
        <v>830</v>
      </c>
      <c r="N55" s="437" t="s">
        <v>831</v>
      </c>
    </row>
    <row r="56" spans="1:15">
      <c r="A56" s="437" t="s">
        <v>579</v>
      </c>
      <c r="B56" s="437" t="s">
        <v>836</v>
      </c>
      <c r="C56" s="437" t="s">
        <v>830</v>
      </c>
      <c r="D56" s="437" t="s">
        <v>831</v>
      </c>
      <c r="F56" s="437" t="s">
        <v>579</v>
      </c>
      <c r="G56" s="437" t="s">
        <v>836</v>
      </c>
      <c r="H56" s="437" t="s">
        <v>830</v>
      </c>
      <c r="I56" s="437" t="s">
        <v>831</v>
      </c>
      <c r="K56" s="437">
        <v>1.33</v>
      </c>
      <c r="L56" s="437">
        <v>134.37</v>
      </c>
      <c r="M56" s="437">
        <v>0.5</v>
      </c>
      <c r="N56" s="437">
        <f>L56*M56</f>
        <v>67.185000000000002</v>
      </c>
    </row>
    <row r="57" spans="1:15">
      <c r="A57" s="437">
        <v>0</v>
      </c>
      <c r="B57" s="437">
        <v>82.3</v>
      </c>
      <c r="C57" s="437">
        <v>1</v>
      </c>
      <c r="D57" s="437">
        <f>B57*C57</f>
        <v>82.3</v>
      </c>
      <c r="F57" s="437">
        <v>0</v>
      </c>
      <c r="G57" s="437">
        <v>129.30000000000001</v>
      </c>
      <c r="H57" s="437">
        <v>1</v>
      </c>
      <c r="I57" s="437">
        <f>G57*H57</f>
        <v>129.30000000000001</v>
      </c>
      <c r="K57" s="437">
        <v>2</v>
      </c>
      <c r="L57" s="437">
        <v>136.27000000000001</v>
      </c>
      <c r="M57" s="437">
        <v>0.5</v>
      </c>
      <c r="N57" s="437">
        <f>L57*M57</f>
        <v>68.135000000000005</v>
      </c>
    </row>
    <row r="58" spans="1:15">
      <c r="A58" s="437">
        <v>0.67</v>
      </c>
      <c r="B58" s="437">
        <v>111.13</v>
      </c>
      <c r="C58" s="437">
        <v>4</v>
      </c>
      <c r="D58" s="437">
        <f t="shared" ref="D58:D59" si="3">B58*C58</f>
        <v>444.52</v>
      </c>
      <c r="F58" s="437">
        <v>0.67</v>
      </c>
      <c r="G58" s="437">
        <v>150.6</v>
      </c>
      <c r="H58" s="437">
        <v>4</v>
      </c>
      <c r="I58" s="437">
        <f t="shared" ref="I58:I59" si="4">G58*H58</f>
        <v>602.4</v>
      </c>
      <c r="N58" s="437">
        <f>SUM(N56:N57)</f>
        <v>135.32</v>
      </c>
    </row>
    <row r="59" spans="1:15">
      <c r="A59" s="437">
        <v>1.33</v>
      </c>
      <c r="B59" s="437">
        <v>114.07</v>
      </c>
      <c r="C59" s="437">
        <v>1</v>
      </c>
      <c r="D59" s="437">
        <f t="shared" si="3"/>
        <v>114.07</v>
      </c>
      <c r="F59" s="437">
        <v>1.33</v>
      </c>
      <c r="G59" s="437">
        <v>156.51</v>
      </c>
      <c r="H59" s="437">
        <v>1</v>
      </c>
      <c r="I59" s="437">
        <f t="shared" si="4"/>
        <v>156.51</v>
      </c>
      <c r="K59">
        <v>424</v>
      </c>
      <c r="M59" t="s">
        <v>832</v>
      </c>
      <c r="N59" s="437">
        <f>N58*0.67*2</f>
        <v>181.3288</v>
      </c>
      <c r="O59" t="s">
        <v>151</v>
      </c>
    </row>
    <row r="60" spans="1:15">
      <c r="D60" s="437">
        <f>SUM(D57:D59)</f>
        <v>640.88999999999987</v>
      </c>
      <c r="I60" s="437">
        <f>SUM(I57:I59)</f>
        <v>888.21</v>
      </c>
    </row>
    <row r="61" spans="1:15">
      <c r="B61">
        <f>D61/2</f>
        <v>142.06394999999998</v>
      </c>
      <c r="C61" t="s">
        <v>832</v>
      </c>
      <c r="D61" s="437">
        <f>2*1/3*(1.33/2)*D60</f>
        <v>284.12789999999995</v>
      </c>
      <c r="E61" t="s">
        <v>151</v>
      </c>
      <c r="G61">
        <f>I61/2</f>
        <v>196.88655000000003</v>
      </c>
      <c r="H61" t="s">
        <v>832</v>
      </c>
      <c r="I61" s="437">
        <f>2*1/3*(1.33/2)*I60</f>
        <v>393.77310000000006</v>
      </c>
      <c r="J61" t="s">
        <v>151</v>
      </c>
      <c r="K61" s="437">
        <v>2</v>
      </c>
      <c r="L61" s="437">
        <v>136.27000000000001</v>
      </c>
      <c r="M61" s="437">
        <v>1</v>
      </c>
      <c r="N61" s="437">
        <f>L61*M61</f>
        <v>136.27000000000001</v>
      </c>
    </row>
    <row r="62" spans="1:15">
      <c r="K62" s="437">
        <v>3</v>
      </c>
      <c r="L62" s="437">
        <v>136.21</v>
      </c>
      <c r="M62" s="437">
        <v>3</v>
      </c>
      <c r="N62" s="437">
        <f t="shared" ref="N62:N67" si="5">L62*M62</f>
        <v>408.63</v>
      </c>
    </row>
    <row r="63" spans="1:15">
      <c r="A63" s="968" t="s">
        <v>1032</v>
      </c>
      <c r="B63" s="968"/>
      <c r="C63" s="968"/>
      <c r="D63" s="968"/>
      <c r="F63" s="968" t="s">
        <v>1033</v>
      </c>
      <c r="G63" s="968"/>
      <c r="H63" s="968"/>
      <c r="I63" s="968"/>
      <c r="K63" s="437">
        <v>4</v>
      </c>
      <c r="L63" s="437">
        <v>136.18</v>
      </c>
      <c r="M63" s="437">
        <v>3</v>
      </c>
      <c r="N63" s="437">
        <f t="shared" si="5"/>
        <v>408.54</v>
      </c>
    </row>
    <row r="64" spans="1:15">
      <c r="A64" s="437" t="s">
        <v>579</v>
      </c>
      <c r="B64" s="437" t="s">
        <v>836</v>
      </c>
      <c r="C64" s="437" t="s">
        <v>830</v>
      </c>
      <c r="D64" s="437" t="s">
        <v>831</v>
      </c>
      <c r="F64" s="437" t="s">
        <v>579</v>
      </c>
      <c r="G64" s="437" t="s">
        <v>836</v>
      </c>
      <c r="H64" s="437" t="s">
        <v>830</v>
      </c>
      <c r="I64" s="437" t="s">
        <v>831</v>
      </c>
      <c r="K64" s="437">
        <v>5</v>
      </c>
      <c r="L64" s="437">
        <v>136.18</v>
      </c>
      <c r="M64" s="437">
        <v>2</v>
      </c>
      <c r="N64" s="437">
        <f t="shared" si="5"/>
        <v>272.36</v>
      </c>
    </row>
    <row r="65" spans="1:15">
      <c r="A65" s="437">
        <v>0</v>
      </c>
      <c r="B65" s="437">
        <v>138.61000000000001</v>
      </c>
      <c r="C65" s="437">
        <v>1</v>
      </c>
      <c r="D65" s="437">
        <f>B65*C65</f>
        <v>138.61000000000001</v>
      </c>
      <c r="F65" s="437">
        <v>0</v>
      </c>
      <c r="G65" s="437">
        <v>138.61000000000001</v>
      </c>
      <c r="H65" s="437">
        <v>1</v>
      </c>
      <c r="I65" s="437">
        <f>G65*H65</f>
        <v>138.61000000000001</v>
      </c>
      <c r="K65" s="437">
        <v>6</v>
      </c>
      <c r="L65" s="437">
        <v>136.18</v>
      </c>
      <c r="M65" s="437">
        <v>3</v>
      </c>
      <c r="N65" s="437">
        <f t="shared" si="5"/>
        <v>408.54</v>
      </c>
    </row>
    <row r="66" spans="1:15">
      <c r="A66" s="437">
        <v>0.67</v>
      </c>
      <c r="B66" s="437">
        <v>162.58000000000001</v>
      </c>
      <c r="C66" s="437">
        <v>4</v>
      </c>
      <c r="D66" s="437">
        <f t="shared" ref="D66:D67" si="6">B66*C66</f>
        <v>650.32000000000005</v>
      </c>
      <c r="F66" s="437">
        <v>0.67</v>
      </c>
      <c r="G66" s="437">
        <v>162.58000000000001</v>
      </c>
      <c r="H66" s="437">
        <v>4</v>
      </c>
      <c r="I66" s="437">
        <f t="shared" ref="I66:I67" si="7">G66*H66</f>
        <v>650.32000000000005</v>
      </c>
      <c r="K66" s="437">
        <v>7</v>
      </c>
      <c r="L66" s="437">
        <v>134.27000000000001</v>
      </c>
      <c r="M66" s="437">
        <v>3</v>
      </c>
      <c r="N66" s="437">
        <f t="shared" si="5"/>
        <v>402.81000000000006</v>
      </c>
    </row>
    <row r="67" spans="1:15">
      <c r="A67" s="437">
        <v>1.33</v>
      </c>
      <c r="B67" s="437">
        <v>169.7</v>
      </c>
      <c r="C67" s="437">
        <v>1</v>
      </c>
      <c r="D67" s="437">
        <f t="shared" si="6"/>
        <v>169.7</v>
      </c>
      <c r="F67" s="437">
        <v>1.33</v>
      </c>
      <c r="G67" s="437">
        <v>169.59</v>
      </c>
      <c r="H67" s="437">
        <v>1</v>
      </c>
      <c r="I67" s="437">
        <f t="shared" si="7"/>
        <v>169.59</v>
      </c>
      <c r="K67" s="437">
        <v>8</v>
      </c>
      <c r="L67" s="437">
        <v>135.97999999999999</v>
      </c>
      <c r="M67" s="437">
        <v>1</v>
      </c>
      <c r="N67" s="437">
        <f t="shared" si="5"/>
        <v>135.97999999999999</v>
      </c>
    </row>
    <row r="68" spans="1:15">
      <c r="D68" s="437">
        <f>SUM(D65:D67)</f>
        <v>958.63000000000011</v>
      </c>
      <c r="I68" s="437">
        <f>SUM(I65:I67)</f>
        <v>958.5200000000001</v>
      </c>
      <c r="N68" s="437">
        <f>SUM(N61:N67)</f>
        <v>2173.13</v>
      </c>
    </row>
    <row r="69" spans="1:15">
      <c r="B69">
        <f>D69/2</f>
        <v>212.4963166666667</v>
      </c>
      <c r="C69" t="s">
        <v>832</v>
      </c>
      <c r="D69" s="437">
        <f>2*1/3*(1.33/2)*D68</f>
        <v>424.9926333333334</v>
      </c>
      <c r="E69" t="s">
        <v>151</v>
      </c>
      <c r="G69">
        <f>I69/2</f>
        <v>212.47193333333337</v>
      </c>
      <c r="H69" t="s">
        <v>832</v>
      </c>
      <c r="I69" s="437">
        <f>2*1/3*(1.33/2)*I68</f>
        <v>424.94386666666674</v>
      </c>
      <c r="J69" t="s">
        <v>151</v>
      </c>
      <c r="M69" t="s">
        <v>832</v>
      </c>
      <c r="N69" s="437">
        <f>2*1*3/8*N68</f>
        <v>1629.8475000000001</v>
      </c>
      <c r="O69" t="s">
        <v>151</v>
      </c>
    </row>
    <row r="71" spans="1:15">
      <c r="A71" s="968" t="s">
        <v>1034</v>
      </c>
      <c r="B71" s="968"/>
      <c r="C71" s="968"/>
      <c r="D71" s="968"/>
      <c r="F71" s="968" t="s">
        <v>1035</v>
      </c>
      <c r="G71" s="968"/>
      <c r="H71" s="968"/>
      <c r="I71" s="968"/>
      <c r="K71" s="437">
        <v>8</v>
      </c>
      <c r="L71" s="437">
        <v>135.97999999999999</v>
      </c>
      <c r="M71" s="437">
        <v>0.5</v>
      </c>
      <c r="N71" s="437">
        <f t="shared" ref="N71:N72" si="8">L71*M71</f>
        <v>67.989999999999995</v>
      </c>
    </row>
    <row r="72" spans="1:15">
      <c r="A72" s="437" t="s">
        <v>579</v>
      </c>
      <c r="B72" s="437" t="s">
        <v>836</v>
      </c>
      <c r="C72" s="437" t="s">
        <v>830</v>
      </c>
      <c r="D72" s="437" t="s">
        <v>831</v>
      </c>
      <c r="F72" s="437" t="s">
        <v>579</v>
      </c>
      <c r="G72" s="437" t="s">
        <v>836</v>
      </c>
      <c r="H72" s="437" t="s">
        <v>830</v>
      </c>
      <c r="I72" s="437" t="s">
        <v>831</v>
      </c>
      <c r="K72" s="437">
        <v>9</v>
      </c>
      <c r="L72" s="437">
        <v>135.88</v>
      </c>
      <c r="M72" s="437">
        <v>0.5</v>
      </c>
      <c r="N72" s="437">
        <f t="shared" si="8"/>
        <v>67.94</v>
      </c>
    </row>
    <row r="73" spans="1:15">
      <c r="A73" s="437">
        <v>0</v>
      </c>
      <c r="B73" s="437">
        <v>138.61000000000001</v>
      </c>
      <c r="C73" s="437">
        <v>1</v>
      </c>
      <c r="D73" s="437">
        <f>B73*C73</f>
        <v>138.61000000000001</v>
      </c>
      <c r="F73" s="437">
        <v>0</v>
      </c>
      <c r="G73" s="437">
        <v>136.03</v>
      </c>
      <c r="H73" s="437">
        <v>1</v>
      </c>
      <c r="I73" s="437">
        <f>G73*H73</f>
        <v>136.03</v>
      </c>
      <c r="N73" s="437">
        <f>SUM(N71:N72)</f>
        <v>135.93</v>
      </c>
    </row>
    <row r="74" spans="1:15">
      <c r="A74" s="437">
        <v>0.67</v>
      </c>
      <c r="B74" s="437">
        <v>162.58000000000001</v>
      </c>
      <c r="C74" s="437">
        <v>4</v>
      </c>
      <c r="D74" s="437">
        <f t="shared" ref="D74:D75" si="9">B74*C74</f>
        <v>650.32000000000005</v>
      </c>
      <c r="F74" s="437">
        <v>0.67</v>
      </c>
      <c r="G74" s="437">
        <v>130.34</v>
      </c>
      <c r="H74" s="437">
        <v>4</v>
      </c>
      <c r="I74" s="437">
        <f t="shared" ref="I74:I75" si="10">G74*H74</f>
        <v>521.36</v>
      </c>
      <c r="M74" t="s">
        <v>832</v>
      </c>
      <c r="N74" s="437">
        <f>N73*1*2</f>
        <v>271.86</v>
      </c>
      <c r="O74" t="s">
        <v>151</v>
      </c>
    </row>
    <row r="75" spans="1:15">
      <c r="A75" s="437">
        <v>1.33</v>
      </c>
      <c r="B75" s="437">
        <v>169.59</v>
      </c>
      <c r="C75" s="437">
        <v>1</v>
      </c>
      <c r="D75" s="437">
        <f t="shared" si="9"/>
        <v>169.59</v>
      </c>
      <c r="F75" s="437">
        <v>1.33</v>
      </c>
      <c r="G75" s="437">
        <v>167.39</v>
      </c>
      <c r="H75" s="437">
        <v>1</v>
      </c>
      <c r="I75" s="437">
        <f t="shared" si="10"/>
        <v>167.39</v>
      </c>
    </row>
    <row r="76" spans="1:15">
      <c r="D76" s="437">
        <f>SUM(D73:D75)</f>
        <v>958.5200000000001</v>
      </c>
      <c r="I76" s="437">
        <f>SUM(I73:I75)</f>
        <v>824.78</v>
      </c>
      <c r="K76" s="437">
        <v>9</v>
      </c>
      <c r="L76" s="437">
        <v>135.88</v>
      </c>
      <c r="M76" s="437">
        <v>0.5</v>
      </c>
      <c r="N76" s="437">
        <f t="shared" ref="N76:N77" si="11">L76*M76</f>
        <v>67.94</v>
      </c>
    </row>
    <row r="77" spans="1:15">
      <c r="B77">
        <f>D77/2</f>
        <v>212.47193333333337</v>
      </c>
      <c r="C77" t="s">
        <v>832</v>
      </c>
      <c r="D77" s="437">
        <f>2*1/3*(1.33/2)*D76</f>
        <v>424.94386666666674</v>
      </c>
      <c r="E77" t="s">
        <v>151</v>
      </c>
      <c r="G77">
        <f>I77/2</f>
        <v>182.82623333333333</v>
      </c>
      <c r="H77" t="s">
        <v>832</v>
      </c>
      <c r="I77" s="437">
        <f>2*1/3*(1.33/2)*I76</f>
        <v>365.65246666666667</v>
      </c>
      <c r="J77" t="s">
        <v>151</v>
      </c>
      <c r="K77" s="437">
        <v>12.3</v>
      </c>
      <c r="L77" s="437">
        <v>135.18</v>
      </c>
      <c r="M77" s="437">
        <v>0.5</v>
      </c>
      <c r="N77" s="437">
        <f t="shared" si="11"/>
        <v>67.59</v>
      </c>
    </row>
    <row r="78" spans="1:15">
      <c r="N78" s="437">
        <f>SUM(N76:N77)</f>
        <v>135.53</v>
      </c>
    </row>
    <row r="79" spans="1:15">
      <c r="A79" s="968" t="s">
        <v>1036</v>
      </c>
      <c r="B79" s="968"/>
      <c r="C79" s="968"/>
      <c r="D79" s="968"/>
      <c r="M79" t="s">
        <v>832</v>
      </c>
      <c r="N79" s="437">
        <f>N78*3.3*2</f>
        <v>894.49799999999993</v>
      </c>
      <c r="O79" t="s">
        <v>151</v>
      </c>
    </row>
    <row r="80" spans="1:15">
      <c r="A80" s="437" t="s">
        <v>579</v>
      </c>
      <c r="B80" s="437" t="s">
        <v>836</v>
      </c>
      <c r="C80" s="437" t="s">
        <v>830</v>
      </c>
      <c r="D80" s="437" t="s">
        <v>831</v>
      </c>
      <c r="F80" t="s">
        <v>1037</v>
      </c>
      <c r="H80">
        <f>D61+I61+D69+I69+D77+I77+D85</f>
        <v>2632.7616000000003</v>
      </c>
      <c r="I80" t="s">
        <v>151</v>
      </c>
      <c r="L80">
        <f>N80/2</f>
        <v>1488.7671500000001</v>
      </c>
      <c r="M80" s="438" t="s">
        <v>834</v>
      </c>
      <c r="N80">
        <f>N59+N69+N74+N79</f>
        <v>2977.5343000000003</v>
      </c>
      <c r="O80" t="s">
        <v>151</v>
      </c>
    </row>
    <row r="81" spans="1:24">
      <c r="A81" s="437">
        <v>0</v>
      </c>
      <c r="B81" s="437">
        <v>97.56</v>
      </c>
      <c r="C81" s="437">
        <v>1</v>
      </c>
      <c r="D81" s="437">
        <f>B81*C81</f>
        <v>97.56</v>
      </c>
      <c r="F81" t="s">
        <v>1038</v>
      </c>
      <c r="H81" s="438">
        <f>N79+N74+N69+N59</f>
        <v>2977.5343000000003</v>
      </c>
      <c r="I81" t="s">
        <v>151</v>
      </c>
    </row>
    <row r="82" spans="1:24">
      <c r="A82" s="437">
        <v>0.67</v>
      </c>
      <c r="B82" s="437">
        <v>120.95</v>
      </c>
      <c r="C82" s="437">
        <v>4</v>
      </c>
      <c r="D82" s="437">
        <f t="shared" ref="D82:D83" si="12">B82*C82</f>
        <v>483.8</v>
      </c>
      <c r="F82" t="s">
        <v>1040</v>
      </c>
      <c r="H82">
        <f>SUM(H80:H81)</f>
        <v>5610.295900000001</v>
      </c>
      <c r="I82" t="s">
        <v>151</v>
      </c>
    </row>
    <row r="83" spans="1:24">
      <c r="A83" s="437">
        <v>1.33</v>
      </c>
      <c r="B83" s="437">
        <v>127.65</v>
      </c>
      <c r="C83" s="437">
        <v>1</v>
      </c>
      <c r="D83" s="437">
        <f t="shared" si="12"/>
        <v>127.65</v>
      </c>
    </row>
    <row r="84" spans="1:24">
      <c r="D84" s="437">
        <f>SUM(D81:D83)</f>
        <v>709.01</v>
      </c>
    </row>
    <row r="85" spans="1:24">
      <c r="B85">
        <f>D85/2</f>
        <v>157.16388333333333</v>
      </c>
      <c r="C85" t="s">
        <v>832</v>
      </c>
      <c r="D85" s="437">
        <f>2*1/3*(1.33/2)*D84</f>
        <v>314.32776666666666</v>
      </c>
      <c r="E85" t="s">
        <v>151</v>
      </c>
    </row>
    <row r="87" spans="1:24">
      <c r="A87" s="969" t="s">
        <v>1039</v>
      </c>
      <c r="B87" s="969"/>
      <c r="C87" s="969"/>
      <c r="D87" s="969"/>
      <c r="E87" s="969"/>
      <c r="F87" s="969"/>
      <c r="G87" s="969"/>
      <c r="H87" s="969"/>
      <c r="I87" s="969"/>
      <c r="J87" s="969"/>
      <c r="K87" s="969"/>
      <c r="L87" s="969"/>
      <c r="M87" s="969"/>
      <c r="N87" s="969"/>
      <c r="O87" s="969"/>
      <c r="P87" s="969"/>
      <c r="Q87" s="969"/>
      <c r="R87" s="969"/>
      <c r="S87" s="969"/>
    </row>
    <row r="88" spans="1:24">
      <c r="A88" s="968" t="s">
        <v>1030</v>
      </c>
      <c r="B88" s="968"/>
      <c r="C88" s="968"/>
      <c r="D88" s="968"/>
      <c r="F88" s="968" t="s">
        <v>1031</v>
      </c>
      <c r="G88" s="968"/>
      <c r="H88" s="968"/>
      <c r="I88" s="968"/>
      <c r="K88" s="968" t="s">
        <v>1032</v>
      </c>
      <c r="L88" s="968"/>
      <c r="M88" s="968"/>
      <c r="N88" s="968"/>
      <c r="P88" s="968" t="s">
        <v>1033</v>
      </c>
      <c r="Q88" s="968"/>
      <c r="R88" s="968"/>
      <c r="S88" s="968"/>
      <c r="U88">
        <v>2</v>
      </c>
      <c r="V88">
        <v>1</v>
      </c>
      <c r="W88" s="437">
        <v>139.97</v>
      </c>
      <c r="X88">
        <f>V88*W88</f>
        <v>139.97</v>
      </c>
    </row>
    <row r="89" spans="1:24">
      <c r="A89" s="437" t="s">
        <v>579</v>
      </c>
      <c r="B89" s="437" t="s">
        <v>836</v>
      </c>
      <c r="C89" s="437" t="s">
        <v>830</v>
      </c>
      <c r="D89" s="437" t="s">
        <v>831</v>
      </c>
      <c r="F89" s="437" t="s">
        <v>579</v>
      </c>
      <c r="G89" s="437" t="s">
        <v>836</v>
      </c>
      <c r="H89" s="437" t="s">
        <v>830</v>
      </c>
      <c r="I89" s="437" t="s">
        <v>831</v>
      </c>
      <c r="K89" s="437" t="s">
        <v>579</v>
      </c>
      <c r="L89" s="437" t="s">
        <v>836</v>
      </c>
      <c r="M89" s="437" t="s">
        <v>830</v>
      </c>
      <c r="N89" s="437" t="s">
        <v>831</v>
      </c>
      <c r="P89" s="437" t="s">
        <v>579</v>
      </c>
      <c r="Q89" s="437" t="s">
        <v>836</v>
      </c>
      <c r="R89" s="437" t="s">
        <v>830</v>
      </c>
      <c r="S89" s="437" t="s">
        <v>831</v>
      </c>
      <c r="U89">
        <v>3</v>
      </c>
      <c r="V89">
        <v>4</v>
      </c>
      <c r="W89" s="437">
        <v>139.99</v>
      </c>
      <c r="X89">
        <f t="shared" ref="X89:X94" si="13">V89*W89</f>
        <v>559.96</v>
      </c>
    </row>
    <row r="90" spans="1:24">
      <c r="A90" s="437">
        <v>1.33</v>
      </c>
      <c r="B90" s="437">
        <v>94.47</v>
      </c>
      <c r="C90" s="437">
        <v>0.5</v>
      </c>
      <c r="D90" s="437">
        <f>B90*C90</f>
        <v>47.234999999999999</v>
      </c>
      <c r="F90" s="437">
        <v>1.33</v>
      </c>
      <c r="G90" s="437">
        <v>136.91</v>
      </c>
      <c r="H90" s="437">
        <v>0.5</v>
      </c>
      <c r="I90" s="437">
        <f>G90*H90</f>
        <v>68.454999999999998</v>
      </c>
      <c r="K90" s="437">
        <v>1.33</v>
      </c>
      <c r="L90" s="437">
        <v>149.12</v>
      </c>
      <c r="M90" s="437">
        <v>0.5</v>
      </c>
      <c r="N90" s="437">
        <f>L90*M90</f>
        <v>74.56</v>
      </c>
      <c r="P90" s="437">
        <v>1.33</v>
      </c>
      <c r="Q90" s="437">
        <v>149.12</v>
      </c>
      <c r="R90" s="437">
        <v>0.5</v>
      </c>
      <c r="S90" s="437">
        <f>Q90*R90</f>
        <v>74.56</v>
      </c>
      <c r="U90">
        <v>4</v>
      </c>
      <c r="V90">
        <v>2</v>
      </c>
      <c r="W90" s="437">
        <v>140.08000000000001</v>
      </c>
      <c r="X90">
        <f t="shared" si="13"/>
        <v>280.16000000000003</v>
      </c>
    </row>
    <row r="91" spans="1:24">
      <c r="A91" s="437">
        <v>2</v>
      </c>
      <c r="B91" s="437">
        <v>93.7</v>
      </c>
      <c r="C91" s="437">
        <v>0.5</v>
      </c>
      <c r="D91" s="437">
        <f>B91*C91</f>
        <v>46.85</v>
      </c>
      <c r="F91" s="437">
        <v>2</v>
      </c>
      <c r="G91" s="437">
        <v>139.97</v>
      </c>
      <c r="H91" s="437">
        <v>0.5</v>
      </c>
      <c r="I91" s="437">
        <f>G91*H91</f>
        <v>69.984999999999999</v>
      </c>
      <c r="K91" s="437">
        <v>2</v>
      </c>
      <c r="L91" s="437">
        <v>152.04</v>
      </c>
      <c r="M91" s="437">
        <v>0.5</v>
      </c>
      <c r="N91" s="437">
        <f>L91*M91</f>
        <v>76.02</v>
      </c>
      <c r="P91" s="437">
        <v>2</v>
      </c>
      <c r="Q91" s="437">
        <v>152.04</v>
      </c>
      <c r="R91" s="437">
        <v>0.5</v>
      </c>
      <c r="S91" s="437">
        <f>Q91*R91</f>
        <v>76.02</v>
      </c>
      <c r="U91">
        <v>5</v>
      </c>
      <c r="V91">
        <v>4</v>
      </c>
      <c r="W91" s="437">
        <v>140.41</v>
      </c>
      <c r="X91">
        <f t="shared" si="13"/>
        <v>561.64</v>
      </c>
    </row>
    <row r="92" spans="1:24">
      <c r="D92" s="437">
        <f>SUM(D90:D91)</f>
        <v>94.085000000000008</v>
      </c>
      <c r="I92" s="437">
        <f>SUM(I90:I91)</f>
        <v>138.44</v>
      </c>
      <c r="N92" s="437">
        <f>SUM(N90:N91)</f>
        <v>150.57999999999998</v>
      </c>
      <c r="S92" s="437">
        <f>SUM(S90:S91)</f>
        <v>150.57999999999998</v>
      </c>
      <c r="U92">
        <v>6</v>
      </c>
      <c r="V92">
        <v>2</v>
      </c>
      <c r="W92" s="437">
        <v>140.65</v>
      </c>
      <c r="X92">
        <f t="shared" si="13"/>
        <v>281.3</v>
      </c>
    </row>
    <row r="93" spans="1:24">
      <c r="C93" t="s">
        <v>832</v>
      </c>
      <c r="D93" s="437">
        <f>D92*0.67*2</f>
        <v>126.07390000000002</v>
      </c>
      <c r="E93" t="s">
        <v>151</v>
      </c>
      <c r="H93" t="s">
        <v>832</v>
      </c>
      <c r="I93" s="437">
        <f>I92*0.67*2</f>
        <v>185.50960000000001</v>
      </c>
      <c r="J93" t="s">
        <v>151</v>
      </c>
      <c r="M93" t="s">
        <v>832</v>
      </c>
      <c r="N93" s="437">
        <f>N92*0.67*2</f>
        <v>201.77719999999999</v>
      </c>
      <c r="O93" t="s">
        <v>151</v>
      </c>
      <c r="R93" t="s">
        <v>832</v>
      </c>
      <c r="S93" s="437">
        <f>S92*0.67*2</f>
        <v>201.77719999999999</v>
      </c>
      <c r="T93" t="s">
        <v>151</v>
      </c>
      <c r="U93">
        <v>7</v>
      </c>
      <c r="V93">
        <v>4</v>
      </c>
      <c r="W93" s="437">
        <v>141.08000000000001</v>
      </c>
      <c r="X93">
        <f t="shared" si="13"/>
        <v>564.32000000000005</v>
      </c>
    </row>
    <row r="94" spans="1:24">
      <c r="U94">
        <v>8</v>
      </c>
      <c r="V94">
        <v>1</v>
      </c>
      <c r="W94" s="437">
        <v>141.49</v>
      </c>
      <c r="X94">
        <f t="shared" si="13"/>
        <v>141.49</v>
      </c>
    </row>
    <row r="95" spans="1:24">
      <c r="A95" s="437">
        <v>2</v>
      </c>
      <c r="B95" s="437">
        <v>93.7</v>
      </c>
      <c r="C95" s="437">
        <v>1</v>
      </c>
      <c r="D95" s="437">
        <f>B95*C95</f>
        <v>93.7</v>
      </c>
      <c r="F95" s="437">
        <v>2</v>
      </c>
      <c r="G95" s="437">
        <v>139.97</v>
      </c>
      <c r="H95" s="437">
        <v>1</v>
      </c>
      <c r="I95" s="437">
        <f>G95*H95</f>
        <v>139.97</v>
      </c>
      <c r="K95" s="437">
        <v>2</v>
      </c>
      <c r="L95" s="437">
        <v>152.04</v>
      </c>
      <c r="M95" s="437">
        <v>1</v>
      </c>
      <c r="N95" s="437">
        <f>L95*M95</f>
        <v>152.04</v>
      </c>
      <c r="P95" s="437">
        <v>2</v>
      </c>
      <c r="Q95" s="437">
        <v>152.04</v>
      </c>
      <c r="R95" s="437">
        <v>1</v>
      </c>
      <c r="S95" s="437">
        <f>Q95*R95</f>
        <v>152.04</v>
      </c>
      <c r="X95">
        <f>SUM(X88:X94)</f>
        <v>2528.84</v>
      </c>
    </row>
    <row r="96" spans="1:24">
      <c r="A96" s="437">
        <v>3</v>
      </c>
      <c r="B96" s="437">
        <v>94.47</v>
      </c>
      <c r="C96" s="437">
        <v>3</v>
      </c>
      <c r="D96" s="437">
        <f t="shared" ref="D96:D101" si="14">B96*C96</f>
        <v>283.40999999999997</v>
      </c>
      <c r="F96" s="437">
        <v>3</v>
      </c>
      <c r="G96" s="437">
        <v>139.99</v>
      </c>
      <c r="H96" s="437">
        <v>3</v>
      </c>
      <c r="I96" s="437">
        <f t="shared" ref="I96:I101" si="15">G96*H96</f>
        <v>419.97</v>
      </c>
      <c r="K96" s="437">
        <v>3</v>
      </c>
      <c r="L96" s="437">
        <v>152.4</v>
      </c>
      <c r="M96" s="437">
        <v>3</v>
      </c>
      <c r="N96" s="437">
        <f t="shared" ref="N96:N101" si="16">L96*M96</f>
        <v>457.20000000000005</v>
      </c>
      <c r="P96" s="437">
        <v>3</v>
      </c>
      <c r="Q96" s="437">
        <v>152.4</v>
      </c>
      <c r="R96" s="437">
        <v>3</v>
      </c>
      <c r="S96" s="437">
        <f t="shared" ref="S96:S101" si="17">Q96*R96</f>
        <v>457.20000000000005</v>
      </c>
      <c r="X96">
        <f>1/3*1*X95*2</f>
        <v>1685.8933333333334</v>
      </c>
    </row>
    <row r="97" spans="1:24">
      <c r="A97" s="437">
        <v>4</v>
      </c>
      <c r="B97" s="437">
        <v>94.59</v>
      </c>
      <c r="C97" s="437">
        <v>3</v>
      </c>
      <c r="D97" s="437">
        <f t="shared" si="14"/>
        <v>283.77</v>
      </c>
      <c r="F97" s="437">
        <v>4</v>
      </c>
      <c r="G97" s="437">
        <v>140.08000000000001</v>
      </c>
      <c r="H97" s="437">
        <v>3</v>
      </c>
      <c r="I97" s="437">
        <f t="shared" si="15"/>
        <v>420.24</v>
      </c>
      <c r="K97" s="437">
        <v>4</v>
      </c>
      <c r="L97" s="437">
        <v>152.4</v>
      </c>
      <c r="M97" s="437">
        <v>3</v>
      </c>
      <c r="N97" s="437">
        <f t="shared" si="16"/>
        <v>457.20000000000005</v>
      </c>
      <c r="P97" s="437">
        <v>4</v>
      </c>
      <c r="Q97" s="437">
        <v>152.4</v>
      </c>
      <c r="R97" s="437">
        <v>3</v>
      </c>
      <c r="S97" s="437">
        <f t="shared" si="17"/>
        <v>457.20000000000005</v>
      </c>
    </row>
    <row r="98" spans="1:24">
      <c r="A98" s="437">
        <v>5</v>
      </c>
      <c r="B98" s="437">
        <v>94.89</v>
      </c>
      <c r="C98" s="437">
        <v>2</v>
      </c>
      <c r="D98" s="437">
        <f t="shared" si="14"/>
        <v>189.78</v>
      </c>
      <c r="F98" s="437">
        <v>5</v>
      </c>
      <c r="G98" s="437">
        <v>140.41</v>
      </c>
      <c r="H98" s="437">
        <v>2</v>
      </c>
      <c r="I98" s="437">
        <f t="shared" si="15"/>
        <v>280.82</v>
      </c>
      <c r="K98" s="437">
        <v>5</v>
      </c>
      <c r="L98" s="437">
        <v>152.4</v>
      </c>
      <c r="M98" s="437">
        <v>2</v>
      </c>
      <c r="N98" s="437">
        <f t="shared" si="16"/>
        <v>304.8</v>
      </c>
      <c r="P98" s="437">
        <v>5</v>
      </c>
      <c r="Q98" s="437">
        <v>152.4</v>
      </c>
      <c r="R98" s="437">
        <v>2</v>
      </c>
      <c r="S98" s="437">
        <f t="shared" si="17"/>
        <v>304.8</v>
      </c>
      <c r="U98">
        <v>2</v>
      </c>
      <c r="V98">
        <v>1</v>
      </c>
      <c r="W98" s="437">
        <v>139.97</v>
      </c>
      <c r="X98">
        <f>V98*W98</f>
        <v>139.97</v>
      </c>
    </row>
    <row r="99" spans="1:24">
      <c r="A99" s="437">
        <v>6</v>
      </c>
      <c r="B99" s="437">
        <v>95.49</v>
      </c>
      <c r="C99" s="437">
        <v>3</v>
      </c>
      <c r="D99" s="437">
        <f t="shared" si="14"/>
        <v>286.46999999999997</v>
      </c>
      <c r="F99" s="437">
        <v>6</v>
      </c>
      <c r="G99" s="437">
        <v>140.65</v>
      </c>
      <c r="H99" s="437">
        <v>3</v>
      </c>
      <c r="I99" s="437">
        <f t="shared" si="15"/>
        <v>421.95000000000005</v>
      </c>
      <c r="K99" s="437">
        <v>6</v>
      </c>
      <c r="L99" s="437">
        <v>152.4</v>
      </c>
      <c r="M99" s="437">
        <v>3</v>
      </c>
      <c r="N99" s="437">
        <f t="shared" si="16"/>
        <v>457.20000000000005</v>
      </c>
      <c r="P99" s="437">
        <v>6</v>
      </c>
      <c r="Q99" s="437">
        <v>152.4</v>
      </c>
      <c r="R99" s="437">
        <v>3</v>
      </c>
      <c r="S99" s="437">
        <f t="shared" si="17"/>
        <v>457.20000000000005</v>
      </c>
      <c r="U99">
        <v>5</v>
      </c>
      <c r="V99">
        <v>4</v>
      </c>
      <c r="W99" s="437">
        <v>140.41</v>
      </c>
      <c r="X99">
        <f t="shared" ref="X99:X100" si="18">V99*W99</f>
        <v>561.64</v>
      </c>
    </row>
    <row r="100" spans="1:24">
      <c r="A100" s="437">
        <v>7</v>
      </c>
      <c r="B100" s="437">
        <v>98.28</v>
      </c>
      <c r="C100" s="437">
        <v>3</v>
      </c>
      <c r="D100" s="437">
        <f t="shared" si="14"/>
        <v>294.84000000000003</v>
      </c>
      <c r="F100" s="437">
        <v>7</v>
      </c>
      <c r="G100" s="437">
        <v>141.08000000000001</v>
      </c>
      <c r="H100" s="437">
        <v>3</v>
      </c>
      <c r="I100" s="437">
        <f t="shared" si="15"/>
        <v>423.24</v>
      </c>
      <c r="K100" s="437">
        <v>7</v>
      </c>
      <c r="L100" s="437">
        <v>152.4</v>
      </c>
      <c r="M100" s="437">
        <v>3</v>
      </c>
      <c r="N100" s="437">
        <f t="shared" si="16"/>
        <v>457.20000000000005</v>
      </c>
      <c r="P100" s="437">
        <v>7</v>
      </c>
      <c r="Q100" s="437">
        <v>152.4</v>
      </c>
      <c r="R100" s="437">
        <v>3</v>
      </c>
      <c r="S100" s="437">
        <f t="shared" si="17"/>
        <v>457.20000000000005</v>
      </c>
      <c r="U100">
        <v>8</v>
      </c>
      <c r="V100">
        <v>1</v>
      </c>
      <c r="W100" s="437">
        <v>141.49</v>
      </c>
      <c r="X100">
        <f t="shared" si="18"/>
        <v>141.49</v>
      </c>
    </row>
    <row r="101" spans="1:24">
      <c r="A101" s="437">
        <v>8</v>
      </c>
      <c r="B101" s="437">
        <v>98.27</v>
      </c>
      <c r="C101" s="437">
        <v>1</v>
      </c>
      <c r="D101" s="437">
        <f t="shared" si="14"/>
        <v>98.27</v>
      </c>
      <c r="F101" s="437">
        <v>8</v>
      </c>
      <c r="G101" s="437">
        <v>141.49</v>
      </c>
      <c r="H101" s="437">
        <v>1</v>
      </c>
      <c r="I101" s="437">
        <f t="shared" si="15"/>
        <v>141.49</v>
      </c>
      <c r="K101" s="437">
        <v>8</v>
      </c>
      <c r="L101" s="437">
        <v>152.4</v>
      </c>
      <c r="M101" s="437">
        <v>1</v>
      </c>
      <c r="N101" s="437">
        <f t="shared" si="16"/>
        <v>152.4</v>
      </c>
      <c r="P101" s="437">
        <v>8</v>
      </c>
      <c r="Q101" s="437">
        <v>152.4</v>
      </c>
      <c r="R101" s="437">
        <v>1</v>
      </c>
      <c r="S101" s="437">
        <f t="shared" si="17"/>
        <v>152.4</v>
      </c>
      <c r="X101">
        <f>SUM(X98:X100)</f>
        <v>843.1</v>
      </c>
    </row>
    <row r="102" spans="1:24">
      <c r="D102" s="437">
        <f>SUM(D95:D101)</f>
        <v>1530.2399999999998</v>
      </c>
      <c r="I102" s="437">
        <f>SUM(I95:I101)</f>
        <v>2247.6800000000003</v>
      </c>
      <c r="N102" s="437">
        <f>SUM(N95:N101)</f>
        <v>2438.0400000000004</v>
      </c>
      <c r="S102" s="437">
        <f>SUM(S95:S101)</f>
        <v>2438.0400000000004</v>
      </c>
      <c r="X102">
        <f>1/3*3*X101*2</f>
        <v>1686.2</v>
      </c>
    </row>
    <row r="103" spans="1:24">
      <c r="C103" t="s">
        <v>832</v>
      </c>
      <c r="D103" s="437">
        <f>2*1*3/8*D102</f>
        <v>1147.6799999999998</v>
      </c>
      <c r="E103" t="s">
        <v>151</v>
      </c>
      <c r="H103" t="s">
        <v>832</v>
      </c>
      <c r="I103" s="437">
        <f>2*1*3/8*I102</f>
        <v>1685.7600000000002</v>
      </c>
      <c r="J103" t="s">
        <v>151</v>
      </c>
      <c r="M103" t="s">
        <v>832</v>
      </c>
      <c r="N103" s="437">
        <f>2*1*3/8*N102</f>
        <v>1828.5300000000002</v>
      </c>
      <c r="O103" t="s">
        <v>151</v>
      </c>
      <c r="R103" t="s">
        <v>832</v>
      </c>
      <c r="S103" s="437">
        <f>2*1*3/8*S102</f>
        <v>1828.5300000000002</v>
      </c>
      <c r="T103" t="s">
        <v>151</v>
      </c>
    </row>
    <row r="104" spans="1:24">
      <c r="X104">
        <f>X102-I103</f>
        <v>0.4399999999998272</v>
      </c>
    </row>
    <row r="105" spans="1:24">
      <c r="A105" s="437">
        <v>8</v>
      </c>
      <c r="B105" s="437">
        <v>98.27</v>
      </c>
      <c r="C105" s="437">
        <v>0.5</v>
      </c>
      <c r="D105" s="437">
        <f t="shared" ref="D105:D106" si="19">B105*C105</f>
        <v>49.134999999999998</v>
      </c>
      <c r="F105" s="437">
        <v>8</v>
      </c>
      <c r="G105" s="437">
        <v>141.49</v>
      </c>
      <c r="H105" s="437">
        <v>0.5</v>
      </c>
      <c r="I105" s="437">
        <f t="shared" ref="I105:I106" si="20">G105*H105</f>
        <v>70.745000000000005</v>
      </c>
      <c r="K105" s="437">
        <v>8</v>
      </c>
      <c r="L105" s="437">
        <v>152.4</v>
      </c>
      <c r="M105" s="437">
        <v>0.5</v>
      </c>
      <c r="N105" s="437">
        <f t="shared" ref="N105:N106" si="21">L105*M105</f>
        <v>76.2</v>
      </c>
      <c r="P105" s="437">
        <v>8</v>
      </c>
      <c r="Q105" s="437">
        <v>152.4</v>
      </c>
      <c r="R105" s="437">
        <v>0.5</v>
      </c>
      <c r="S105" s="437">
        <f t="shared" ref="S105:S106" si="22">Q105*R105</f>
        <v>76.2</v>
      </c>
    </row>
    <row r="106" spans="1:24">
      <c r="A106" s="437">
        <v>9</v>
      </c>
      <c r="B106" s="437">
        <v>100.5</v>
      </c>
      <c r="C106" s="437">
        <v>0.5</v>
      </c>
      <c r="D106" s="437">
        <f t="shared" si="19"/>
        <v>50.25</v>
      </c>
      <c r="F106" s="437">
        <v>9</v>
      </c>
      <c r="G106" s="437">
        <v>142.18</v>
      </c>
      <c r="H106" s="437">
        <v>0.5</v>
      </c>
      <c r="I106" s="437">
        <f t="shared" si="20"/>
        <v>71.09</v>
      </c>
      <c r="K106" s="437">
        <v>9</v>
      </c>
      <c r="L106" s="437">
        <v>152.4</v>
      </c>
      <c r="M106" s="437">
        <v>0.5</v>
      </c>
      <c r="N106" s="437">
        <f t="shared" si="21"/>
        <v>76.2</v>
      </c>
      <c r="P106" s="437">
        <v>9</v>
      </c>
      <c r="Q106" s="437">
        <v>152.4</v>
      </c>
      <c r="R106" s="437">
        <v>0.5</v>
      </c>
      <c r="S106" s="437">
        <f t="shared" si="22"/>
        <v>76.2</v>
      </c>
    </row>
    <row r="107" spans="1:24">
      <c r="D107" s="437">
        <f>SUM(D105:D106)</f>
        <v>99.384999999999991</v>
      </c>
      <c r="I107" s="437">
        <f>SUM(I105:I106)</f>
        <v>141.83500000000001</v>
      </c>
      <c r="N107" s="437">
        <f>SUM(N105:N106)</f>
        <v>152.4</v>
      </c>
      <c r="S107" s="437">
        <f>SUM(S105:S106)</f>
        <v>152.4</v>
      </c>
    </row>
    <row r="108" spans="1:24">
      <c r="C108" t="s">
        <v>832</v>
      </c>
      <c r="D108" s="437">
        <f>D107*1*2</f>
        <v>198.76999999999998</v>
      </c>
      <c r="E108" t="s">
        <v>151</v>
      </c>
      <c r="H108" t="s">
        <v>832</v>
      </c>
      <c r="I108" s="437">
        <f>I107*1*2</f>
        <v>283.67</v>
      </c>
      <c r="J108" t="s">
        <v>151</v>
      </c>
      <c r="M108" t="s">
        <v>832</v>
      </c>
      <c r="N108" s="437">
        <f>N107*1*2</f>
        <v>304.8</v>
      </c>
      <c r="O108" t="s">
        <v>151</v>
      </c>
      <c r="R108" t="s">
        <v>832</v>
      </c>
      <c r="S108" s="437">
        <f>S107*1*2</f>
        <v>304.8</v>
      </c>
      <c r="T108" t="s">
        <v>151</v>
      </c>
    </row>
    <row r="110" spans="1:24">
      <c r="A110" s="437">
        <v>9</v>
      </c>
      <c r="B110" s="437">
        <v>100.5</v>
      </c>
      <c r="C110" s="437">
        <v>0.5</v>
      </c>
      <c r="D110" s="437">
        <f t="shared" ref="D110:D111" si="23">B110*C110</f>
        <v>50.25</v>
      </c>
      <c r="F110" s="437">
        <v>9</v>
      </c>
      <c r="G110" s="437">
        <v>142.18</v>
      </c>
      <c r="H110" s="437">
        <v>0.5</v>
      </c>
      <c r="I110" s="437">
        <f t="shared" ref="I110:I111" si="24">G110*H110</f>
        <v>71.09</v>
      </c>
      <c r="K110" s="437">
        <v>9</v>
      </c>
      <c r="L110" s="437">
        <v>152.4</v>
      </c>
      <c r="M110" s="437">
        <v>0.5</v>
      </c>
      <c r="N110" s="437">
        <f t="shared" ref="N110:N111" si="25">L110*M110</f>
        <v>76.2</v>
      </c>
      <c r="P110" s="437">
        <v>9</v>
      </c>
      <c r="Q110" s="437">
        <v>152.4</v>
      </c>
      <c r="R110" s="437">
        <v>0.5</v>
      </c>
      <c r="S110" s="437">
        <f t="shared" ref="S110:S111" si="26">Q110*R110</f>
        <v>76.2</v>
      </c>
    </row>
    <row r="111" spans="1:24">
      <c r="A111" s="437">
        <v>12.3</v>
      </c>
      <c r="B111" s="437">
        <v>113.08</v>
      </c>
      <c r="C111" s="437">
        <v>0.5</v>
      </c>
      <c r="D111" s="437">
        <f t="shared" si="23"/>
        <v>56.54</v>
      </c>
      <c r="F111" s="437">
        <v>12.3</v>
      </c>
      <c r="G111" s="437">
        <v>143.53</v>
      </c>
      <c r="H111" s="437">
        <v>0.5</v>
      </c>
      <c r="I111" s="437">
        <f t="shared" si="24"/>
        <v>71.765000000000001</v>
      </c>
      <c r="K111" s="437">
        <v>12.3</v>
      </c>
      <c r="L111" s="437">
        <v>152.4</v>
      </c>
      <c r="M111" s="437">
        <v>0.5</v>
      </c>
      <c r="N111" s="437">
        <f t="shared" si="25"/>
        <v>76.2</v>
      </c>
      <c r="P111" s="437">
        <v>12.3</v>
      </c>
      <c r="Q111" s="437">
        <v>152.4</v>
      </c>
      <c r="R111" s="437">
        <v>0.5</v>
      </c>
      <c r="S111" s="437">
        <f t="shared" si="26"/>
        <v>76.2</v>
      </c>
    </row>
    <row r="112" spans="1:24">
      <c r="D112" s="437">
        <f>SUM(D110:D111)</f>
        <v>106.78999999999999</v>
      </c>
      <c r="I112" s="437">
        <f>SUM(I110:I111)</f>
        <v>142.85500000000002</v>
      </c>
      <c r="N112" s="437">
        <f>SUM(N110:N111)</f>
        <v>152.4</v>
      </c>
      <c r="S112" s="437">
        <f>SUM(S110:S111)</f>
        <v>152.4</v>
      </c>
    </row>
    <row r="113" spans="1:21">
      <c r="C113" t="s">
        <v>832</v>
      </c>
      <c r="D113" s="437">
        <f>D112*3.3*2</f>
        <v>704.81399999999996</v>
      </c>
      <c r="E113" t="s">
        <v>151</v>
      </c>
      <c r="H113" t="s">
        <v>832</v>
      </c>
      <c r="I113" s="437">
        <f>I112*3.3*2</f>
        <v>942.84300000000007</v>
      </c>
      <c r="J113" t="s">
        <v>151</v>
      </c>
      <c r="M113" t="s">
        <v>832</v>
      </c>
      <c r="N113" s="437">
        <f>N112*3.3*2</f>
        <v>1005.84</v>
      </c>
      <c r="O113" t="s">
        <v>151</v>
      </c>
      <c r="R113" t="s">
        <v>832</v>
      </c>
      <c r="S113" s="437">
        <f>S112*3.3*2</f>
        <v>1005.84</v>
      </c>
      <c r="T113" t="s">
        <v>151</v>
      </c>
    </row>
    <row r="114" spans="1:21">
      <c r="B114">
        <f>D114/2</f>
        <v>1088.66895</v>
      </c>
      <c r="C114" s="438" t="s">
        <v>834</v>
      </c>
      <c r="D114">
        <f>D93+D103+D108+D113</f>
        <v>2177.3379</v>
      </c>
      <c r="E114" t="s">
        <v>151</v>
      </c>
      <c r="G114">
        <f>I114/2</f>
        <v>1548.8913000000002</v>
      </c>
      <c r="H114" s="438" t="s">
        <v>834</v>
      </c>
      <c r="I114">
        <f>I93+I103+I108+I113</f>
        <v>3097.7826000000005</v>
      </c>
      <c r="J114" t="s">
        <v>151</v>
      </c>
      <c r="L114">
        <f>N114/2</f>
        <v>1670.4736000000003</v>
      </c>
      <c r="M114" s="438" t="s">
        <v>834</v>
      </c>
      <c r="N114">
        <f>N93+N103+N108+N113</f>
        <v>3340.9472000000005</v>
      </c>
      <c r="O114" t="s">
        <v>151</v>
      </c>
      <c r="Q114">
        <f>S114/2</f>
        <v>1670.4736000000003</v>
      </c>
      <c r="R114" s="438" t="s">
        <v>834</v>
      </c>
      <c r="S114">
        <f>S93+S103+S108+S113</f>
        <v>3340.9472000000005</v>
      </c>
      <c r="T114" t="s">
        <v>151</v>
      </c>
    </row>
    <row r="116" spans="1:21">
      <c r="A116" s="968" t="s">
        <v>1034</v>
      </c>
      <c r="B116" s="968"/>
      <c r="C116" s="968"/>
      <c r="D116" s="968"/>
      <c r="F116" s="968" t="s">
        <v>1035</v>
      </c>
      <c r="G116" s="968"/>
      <c r="H116" s="968"/>
      <c r="I116" s="968"/>
      <c r="K116" s="968" t="s">
        <v>1036</v>
      </c>
      <c r="L116" s="968"/>
      <c r="M116" s="968"/>
      <c r="N116" s="968"/>
    </row>
    <row r="117" spans="1:21">
      <c r="A117" s="437" t="s">
        <v>579</v>
      </c>
      <c r="B117" s="437" t="s">
        <v>836</v>
      </c>
      <c r="C117" s="437" t="s">
        <v>830</v>
      </c>
      <c r="D117" s="437" t="s">
        <v>831</v>
      </c>
      <c r="F117" s="437" t="s">
        <v>579</v>
      </c>
      <c r="G117" s="437" t="s">
        <v>836</v>
      </c>
      <c r="H117" s="437" t="s">
        <v>830</v>
      </c>
      <c r="I117" s="437" t="s">
        <v>831</v>
      </c>
      <c r="K117" s="437" t="s">
        <v>579</v>
      </c>
      <c r="L117" s="437" t="s">
        <v>836</v>
      </c>
      <c r="M117" s="437" t="s">
        <v>830</v>
      </c>
      <c r="N117" s="437" t="s">
        <v>831</v>
      </c>
      <c r="P117" s="971" t="s">
        <v>1067</v>
      </c>
      <c r="Q117" s="971"/>
      <c r="R117" s="971"/>
    </row>
    <row r="118" spans="1:21">
      <c r="A118" s="437">
        <v>1.33</v>
      </c>
      <c r="B118" s="437">
        <v>149.12</v>
      </c>
      <c r="C118" s="437">
        <v>0.5</v>
      </c>
      <c r="D118" s="437">
        <f>B118*C118</f>
        <v>74.56</v>
      </c>
      <c r="F118" s="437">
        <v>1.33</v>
      </c>
      <c r="G118" s="437">
        <v>119.36</v>
      </c>
      <c r="H118" s="437">
        <v>0.5</v>
      </c>
      <c r="I118" s="437">
        <f>G118*H118</f>
        <v>59.68</v>
      </c>
      <c r="K118" s="437">
        <v>1.33</v>
      </c>
      <c r="L118" s="437">
        <v>110.88</v>
      </c>
      <c r="M118" s="437">
        <v>0.5</v>
      </c>
      <c r="N118" s="437">
        <f>L118*M118</f>
        <v>55.44</v>
      </c>
      <c r="P118" s="441" t="s">
        <v>1059</v>
      </c>
      <c r="Q118" s="441">
        <f>D114</f>
        <v>2177.3379</v>
      </c>
      <c r="R118" s="441" t="s">
        <v>151</v>
      </c>
    </row>
    <row r="119" spans="1:21">
      <c r="A119" s="437">
        <v>2</v>
      </c>
      <c r="B119" s="437">
        <v>152.04</v>
      </c>
      <c r="C119" s="437">
        <v>0.5</v>
      </c>
      <c r="D119" s="437">
        <f>B119*C119</f>
        <v>76.02</v>
      </c>
      <c r="F119" s="437">
        <v>2</v>
      </c>
      <c r="G119" s="437">
        <v>121.86</v>
      </c>
      <c r="H119" s="437">
        <v>0.5</v>
      </c>
      <c r="I119" s="437">
        <f>G119*H119</f>
        <v>60.93</v>
      </c>
      <c r="K119" s="437">
        <v>2</v>
      </c>
      <c r="L119" s="437">
        <v>114.46</v>
      </c>
      <c r="M119" s="437">
        <v>0.5</v>
      </c>
      <c r="N119" s="437">
        <f>L119*M119</f>
        <v>57.23</v>
      </c>
      <c r="P119" s="441" t="s">
        <v>1060</v>
      </c>
      <c r="Q119" s="441">
        <f>I114</f>
        <v>3097.7826000000005</v>
      </c>
      <c r="R119" s="441" t="s">
        <v>151</v>
      </c>
    </row>
    <row r="120" spans="1:21">
      <c r="D120" s="437">
        <f>SUM(D118:D119)</f>
        <v>150.57999999999998</v>
      </c>
      <c r="I120" s="437">
        <f>SUM(I118:I119)</f>
        <v>120.61</v>
      </c>
      <c r="N120" s="437">
        <f>SUM(N118:N119)</f>
        <v>112.66999999999999</v>
      </c>
      <c r="P120" s="441" t="s">
        <v>1065</v>
      </c>
      <c r="Q120" s="441">
        <f>N114</f>
        <v>3340.9472000000005</v>
      </c>
      <c r="R120" s="441" t="s">
        <v>151</v>
      </c>
    </row>
    <row r="121" spans="1:21">
      <c r="C121" t="s">
        <v>832</v>
      </c>
      <c r="D121" s="437">
        <f>D120*0.67*2</f>
        <v>201.77719999999999</v>
      </c>
      <c r="E121" t="s">
        <v>151</v>
      </c>
      <c r="H121" t="s">
        <v>832</v>
      </c>
      <c r="I121" s="437">
        <f>I120*0.67*2</f>
        <v>161.6174</v>
      </c>
      <c r="J121" t="s">
        <v>151</v>
      </c>
      <c r="M121" t="s">
        <v>832</v>
      </c>
      <c r="N121" s="437">
        <f>N120*0.67*2</f>
        <v>150.9778</v>
      </c>
      <c r="O121" t="s">
        <v>151</v>
      </c>
      <c r="P121" s="441" t="s">
        <v>1061</v>
      </c>
      <c r="Q121" s="441">
        <f>S114</f>
        <v>3340.9472000000005</v>
      </c>
      <c r="R121" s="441" t="s">
        <v>151</v>
      </c>
    </row>
    <row r="122" spans="1:21">
      <c r="P122" s="441" t="s">
        <v>1062</v>
      </c>
      <c r="Q122" s="441">
        <f>D142</f>
        <v>3340.9472000000005</v>
      </c>
      <c r="R122" s="441" t="s">
        <v>151</v>
      </c>
    </row>
    <row r="123" spans="1:21">
      <c r="A123" s="437">
        <v>2</v>
      </c>
      <c r="B123" s="437">
        <v>152.04</v>
      </c>
      <c r="C123" s="437">
        <v>1</v>
      </c>
      <c r="D123" s="437">
        <f>B123*C123</f>
        <v>152.04</v>
      </c>
      <c r="F123" s="437">
        <v>2</v>
      </c>
      <c r="G123" s="437">
        <v>121.86</v>
      </c>
      <c r="H123" s="437">
        <v>1</v>
      </c>
      <c r="I123" s="437">
        <f>G123*H123</f>
        <v>121.86</v>
      </c>
      <c r="K123" s="437">
        <v>2</v>
      </c>
      <c r="L123" s="437">
        <v>114.46</v>
      </c>
      <c r="M123" s="437">
        <v>1</v>
      </c>
      <c r="N123" s="437">
        <f>L123*M123</f>
        <v>114.46</v>
      </c>
      <c r="P123" s="441" t="s">
        <v>1063</v>
      </c>
      <c r="Q123" s="441">
        <f>I142</f>
        <v>2693.7289000000001</v>
      </c>
      <c r="R123" s="441" t="s">
        <v>151</v>
      </c>
      <c r="T123" t="s">
        <v>1315</v>
      </c>
      <c r="U123">
        <v>0.92</v>
      </c>
    </row>
    <row r="124" spans="1:21">
      <c r="A124" s="437">
        <v>3</v>
      </c>
      <c r="B124" s="437">
        <v>152.4</v>
      </c>
      <c r="C124" s="437">
        <v>3</v>
      </c>
      <c r="D124" s="437">
        <f t="shared" ref="D124:D129" si="27">B124*C124</f>
        <v>457.20000000000005</v>
      </c>
      <c r="F124" s="437">
        <v>3</v>
      </c>
      <c r="G124" s="437">
        <v>122.5</v>
      </c>
      <c r="H124" s="437">
        <v>3</v>
      </c>
      <c r="I124" s="437">
        <f>G124*H124</f>
        <v>367.5</v>
      </c>
      <c r="K124" s="437">
        <v>3</v>
      </c>
      <c r="L124" s="437">
        <v>117.77</v>
      </c>
      <c r="M124" s="437">
        <v>3</v>
      </c>
      <c r="N124" s="437">
        <f t="shared" ref="N124:N129" si="28">L124*M124</f>
        <v>353.31</v>
      </c>
      <c r="P124" s="441" t="s">
        <v>1064</v>
      </c>
      <c r="Q124" s="441">
        <f>N142</f>
        <v>2632.3262999999997</v>
      </c>
      <c r="R124" s="441" t="s">
        <v>151</v>
      </c>
    </row>
    <row r="125" spans="1:21">
      <c r="A125" s="437">
        <v>4</v>
      </c>
      <c r="B125" s="437">
        <v>152.4</v>
      </c>
      <c r="C125" s="437">
        <v>3</v>
      </c>
      <c r="D125" s="437">
        <f t="shared" si="27"/>
        <v>457.20000000000005</v>
      </c>
      <c r="F125" s="437">
        <v>4</v>
      </c>
      <c r="G125" s="437">
        <v>122.7</v>
      </c>
      <c r="H125" s="437">
        <v>3</v>
      </c>
      <c r="I125" s="437">
        <f>G125*H125</f>
        <v>368.1</v>
      </c>
      <c r="K125" s="437">
        <v>4</v>
      </c>
      <c r="L125" s="437">
        <v>119.24</v>
      </c>
      <c r="M125" s="437">
        <v>3</v>
      </c>
      <c r="N125" s="437">
        <f t="shared" si="28"/>
        <v>357.71999999999997</v>
      </c>
      <c r="P125" s="441" t="s">
        <v>1066</v>
      </c>
      <c r="Q125" s="441">
        <f>SUM(Q118:Q124)</f>
        <v>20624.017300000003</v>
      </c>
      <c r="R125" s="441" t="s">
        <v>151</v>
      </c>
      <c r="T125" s="501" cm="1">
        <f t="array" ref="T125:U125">Q125/'DOC 2 ATTACH'!O8:P8</f>
        <v>0.92066821252667452</v>
      </c>
      <c r="U125" t="e">
        <v>#DIV/0!</v>
      </c>
    </row>
    <row r="126" spans="1:21">
      <c r="A126" s="437">
        <v>5</v>
      </c>
      <c r="B126" s="437">
        <v>152.4</v>
      </c>
      <c r="C126" s="437">
        <v>2</v>
      </c>
      <c r="D126" s="437">
        <f t="shared" si="27"/>
        <v>304.8</v>
      </c>
      <c r="F126" s="437">
        <v>5</v>
      </c>
      <c r="G126" s="437">
        <v>122.81</v>
      </c>
      <c r="H126" s="437">
        <v>2</v>
      </c>
      <c r="I126" s="437">
        <f t="shared" ref="I126:I129" si="29">G126*H126</f>
        <v>245.62</v>
      </c>
      <c r="K126" s="437">
        <v>5</v>
      </c>
      <c r="L126" s="437">
        <v>120.17</v>
      </c>
      <c r="M126" s="437">
        <v>2</v>
      </c>
      <c r="N126" s="437">
        <f t="shared" si="28"/>
        <v>240.34</v>
      </c>
      <c r="Q126">
        <f>U123*Q125</f>
        <v>18974.095916000002</v>
      </c>
      <c r="R126" s="500" t="s">
        <v>361</v>
      </c>
    </row>
    <row r="127" spans="1:21">
      <c r="A127" s="437">
        <v>6</v>
      </c>
      <c r="B127" s="437">
        <v>152.4</v>
      </c>
      <c r="C127" s="437">
        <v>3</v>
      </c>
      <c r="D127" s="437">
        <f t="shared" si="27"/>
        <v>457.20000000000005</v>
      </c>
      <c r="F127" s="437">
        <v>6</v>
      </c>
      <c r="G127" s="437">
        <v>122.86</v>
      </c>
      <c r="H127" s="437">
        <v>3</v>
      </c>
      <c r="I127" s="437">
        <f t="shared" si="29"/>
        <v>368.58</v>
      </c>
      <c r="K127" s="437">
        <v>6</v>
      </c>
      <c r="L127" s="437">
        <v>120.67</v>
      </c>
      <c r="M127" s="437">
        <v>3</v>
      </c>
      <c r="N127" s="437">
        <f t="shared" si="28"/>
        <v>362.01</v>
      </c>
    </row>
    <row r="128" spans="1:21">
      <c r="A128" s="437">
        <v>7</v>
      </c>
      <c r="B128" s="437">
        <v>152.4</v>
      </c>
      <c r="C128" s="437">
        <v>3</v>
      </c>
      <c r="D128" s="437">
        <f t="shared" si="27"/>
        <v>457.20000000000005</v>
      </c>
      <c r="F128" s="437">
        <v>7</v>
      </c>
      <c r="G128" s="437">
        <v>122.98</v>
      </c>
      <c r="H128" s="437">
        <v>3</v>
      </c>
      <c r="I128" s="437">
        <f t="shared" si="29"/>
        <v>368.94</v>
      </c>
      <c r="K128" s="437">
        <v>7</v>
      </c>
      <c r="L128" s="437">
        <v>120.93</v>
      </c>
      <c r="M128" s="437">
        <v>3</v>
      </c>
      <c r="N128" s="437">
        <f t="shared" si="28"/>
        <v>362.79</v>
      </c>
    </row>
    <row r="129" spans="1:15">
      <c r="A129" s="437">
        <v>8</v>
      </c>
      <c r="B129" s="437">
        <v>152.4</v>
      </c>
      <c r="C129" s="437">
        <v>1</v>
      </c>
      <c r="D129" s="437">
        <f t="shared" si="27"/>
        <v>152.4</v>
      </c>
      <c r="F129" s="437">
        <v>8</v>
      </c>
      <c r="G129" s="437">
        <v>123.07</v>
      </c>
      <c r="H129" s="437">
        <v>1</v>
      </c>
      <c r="I129" s="437">
        <f t="shared" si="29"/>
        <v>123.07</v>
      </c>
      <c r="K129" s="437">
        <v>8</v>
      </c>
      <c r="L129" s="437">
        <v>121.16</v>
      </c>
      <c r="M129" s="437">
        <v>1</v>
      </c>
      <c r="N129" s="437">
        <f t="shared" si="28"/>
        <v>121.16</v>
      </c>
    </row>
    <row r="130" spans="1:15">
      <c r="D130" s="437">
        <f>SUM(D123:D129)</f>
        <v>2438.0400000000004</v>
      </c>
      <c r="I130" s="437">
        <f>SUM(I123:I129)</f>
        <v>1963.6699999999998</v>
      </c>
      <c r="N130" s="437">
        <f>SUM(N123:N129)</f>
        <v>1911.79</v>
      </c>
    </row>
    <row r="131" spans="1:15">
      <c r="C131" t="s">
        <v>832</v>
      </c>
      <c r="D131" s="437">
        <f>2*1*3/8*D130</f>
        <v>1828.5300000000002</v>
      </c>
      <c r="E131" t="s">
        <v>151</v>
      </c>
      <c r="H131" t="s">
        <v>832</v>
      </c>
      <c r="I131" s="437">
        <f>2*1*3/8*I130</f>
        <v>1472.7524999999998</v>
      </c>
      <c r="J131" t="s">
        <v>151</v>
      </c>
      <c r="M131" t="s">
        <v>832</v>
      </c>
      <c r="N131" s="437">
        <f>2*1*3/8*N130</f>
        <v>1433.8425</v>
      </c>
      <c r="O131" t="s">
        <v>151</v>
      </c>
    </row>
    <row r="133" spans="1:15">
      <c r="A133" s="437">
        <v>8</v>
      </c>
      <c r="B133" s="437">
        <v>152.4</v>
      </c>
      <c r="C133" s="437">
        <v>0.5</v>
      </c>
      <c r="D133" s="437">
        <f t="shared" ref="D133:D134" si="30">B133*C133</f>
        <v>76.2</v>
      </c>
      <c r="F133" s="437">
        <v>8</v>
      </c>
      <c r="G133" s="437">
        <v>123.07</v>
      </c>
      <c r="H133" s="437">
        <v>0.5</v>
      </c>
      <c r="I133" s="437">
        <f t="shared" ref="I133:I134" si="31">G133*H133</f>
        <v>61.534999999999997</v>
      </c>
      <c r="K133" s="437">
        <v>8</v>
      </c>
      <c r="L133" s="437">
        <v>121.16</v>
      </c>
      <c r="M133" s="437">
        <v>0.5</v>
      </c>
      <c r="N133" s="437">
        <f t="shared" ref="N133:N134" si="32">L133*M133</f>
        <v>60.58</v>
      </c>
    </row>
    <row r="134" spans="1:15">
      <c r="A134" s="437">
        <v>9</v>
      </c>
      <c r="B134" s="437">
        <v>152.4</v>
      </c>
      <c r="C134" s="437">
        <v>0.5</v>
      </c>
      <c r="D134" s="437">
        <f t="shared" si="30"/>
        <v>76.2</v>
      </c>
      <c r="F134" s="437">
        <v>9</v>
      </c>
      <c r="G134" s="437">
        <v>123.07</v>
      </c>
      <c r="H134" s="437">
        <v>0.5</v>
      </c>
      <c r="I134" s="437">
        <f t="shared" si="31"/>
        <v>61.534999999999997</v>
      </c>
      <c r="K134" s="437">
        <v>9</v>
      </c>
      <c r="L134" s="437">
        <v>121.41</v>
      </c>
      <c r="M134" s="437">
        <v>0.5</v>
      </c>
      <c r="N134" s="437">
        <f t="shared" si="32"/>
        <v>60.704999999999998</v>
      </c>
    </row>
    <row r="135" spans="1:15">
      <c r="D135" s="437">
        <f>SUM(D133:D134)</f>
        <v>152.4</v>
      </c>
      <c r="I135" s="437">
        <f>SUM(I133:I134)</f>
        <v>123.07</v>
      </c>
      <c r="N135" s="437">
        <f>SUM(N133:N134)</f>
        <v>121.285</v>
      </c>
    </row>
    <row r="136" spans="1:15">
      <c r="C136" t="s">
        <v>832</v>
      </c>
      <c r="D136" s="437">
        <f>D135*1*2</f>
        <v>304.8</v>
      </c>
      <c r="E136" t="s">
        <v>151</v>
      </c>
      <c r="H136" t="s">
        <v>832</v>
      </c>
      <c r="I136" s="437">
        <f>I135*1*2</f>
        <v>246.14</v>
      </c>
      <c r="J136" t="s">
        <v>151</v>
      </c>
      <c r="M136" t="s">
        <v>832</v>
      </c>
      <c r="N136" s="437">
        <f>N135*1*2</f>
        <v>242.57</v>
      </c>
      <c r="O136" t="s">
        <v>151</v>
      </c>
    </row>
    <row r="138" spans="1:15">
      <c r="A138" s="437">
        <v>9</v>
      </c>
      <c r="B138" s="437">
        <v>152.4</v>
      </c>
      <c r="C138" s="437">
        <v>0.5</v>
      </c>
      <c r="D138" s="437">
        <f t="shared" ref="D138:D139" si="33">B138*C138</f>
        <v>76.2</v>
      </c>
      <c r="F138" s="437">
        <v>9</v>
      </c>
      <c r="G138" s="437">
        <v>123.07</v>
      </c>
      <c r="H138" s="437">
        <v>0.5</v>
      </c>
      <c r="I138" s="437">
        <f t="shared" ref="I138:I139" si="34">G138*H138</f>
        <v>61.534999999999997</v>
      </c>
      <c r="K138" s="437">
        <v>9</v>
      </c>
      <c r="L138" s="437">
        <v>121.41</v>
      </c>
      <c r="M138" s="437">
        <v>0.5</v>
      </c>
      <c r="N138" s="437">
        <f t="shared" ref="N138:N139" si="35">L138*M138</f>
        <v>60.704999999999998</v>
      </c>
    </row>
    <row r="139" spans="1:15">
      <c r="A139" s="437">
        <v>12.3</v>
      </c>
      <c r="B139" s="437">
        <v>152.4</v>
      </c>
      <c r="C139" s="437">
        <v>0.5</v>
      </c>
      <c r="D139" s="437">
        <f t="shared" si="33"/>
        <v>76.2</v>
      </c>
      <c r="F139" s="437">
        <v>12.3</v>
      </c>
      <c r="G139" s="437">
        <v>123.36</v>
      </c>
      <c r="H139" s="437">
        <v>0.5</v>
      </c>
      <c r="I139" s="437">
        <f t="shared" si="34"/>
        <v>61.68</v>
      </c>
      <c r="K139" s="437">
        <v>12.3</v>
      </c>
      <c r="L139" s="437">
        <v>122.51</v>
      </c>
      <c r="M139" s="437">
        <v>0.5</v>
      </c>
      <c r="N139" s="437">
        <f t="shared" si="35"/>
        <v>61.255000000000003</v>
      </c>
    </row>
    <row r="140" spans="1:15">
      <c r="D140" s="437">
        <f>SUM(D138:D139)</f>
        <v>152.4</v>
      </c>
      <c r="I140" s="437">
        <f>SUM(I138:I139)</f>
        <v>123.215</v>
      </c>
      <c r="N140" s="437">
        <f>SUM(N138:N139)</f>
        <v>121.96000000000001</v>
      </c>
    </row>
    <row r="141" spans="1:15">
      <c r="C141" t="s">
        <v>832</v>
      </c>
      <c r="D141" s="437">
        <f>D140*3.3*2</f>
        <v>1005.84</v>
      </c>
      <c r="E141" t="s">
        <v>151</v>
      </c>
      <c r="H141" t="s">
        <v>832</v>
      </c>
      <c r="I141" s="437">
        <f>I140*3.3*2</f>
        <v>813.21899999999994</v>
      </c>
      <c r="J141" t="s">
        <v>151</v>
      </c>
      <c r="M141" t="s">
        <v>832</v>
      </c>
      <c r="N141" s="437">
        <f>N140*3.3*2</f>
        <v>804.93600000000004</v>
      </c>
      <c r="O141" t="s">
        <v>151</v>
      </c>
    </row>
    <row r="142" spans="1:15">
      <c r="B142">
        <f>D142/2</f>
        <v>1670.4736000000003</v>
      </c>
      <c r="C142" s="438" t="s">
        <v>834</v>
      </c>
      <c r="D142">
        <f>D121+D131+D136+D141</f>
        <v>3340.9472000000005</v>
      </c>
      <c r="E142" t="s">
        <v>151</v>
      </c>
      <c r="G142">
        <f>I142/2</f>
        <v>1346.86445</v>
      </c>
      <c r="H142" s="438" t="s">
        <v>834</v>
      </c>
      <c r="I142">
        <f>I121+I131+I136+I141</f>
        <v>2693.7289000000001</v>
      </c>
      <c r="J142" t="s">
        <v>151</v>
      </c>
      <c r="L142">
        <f>N142/2</f>
        <v>1316.1631499999999</v>
      </c>
      <c r="M142" s="438" t="s">
        <v>834</v>
      </c>
      <c r="N142">
        <f>N121+N131+N136+N141</f>
        <v>2632.3262999999997</v>
      </c>
      <c r="O142" t="s">
        <v>151</v>
      </c>
    </row>
    <row r="145" spans="1:20">
      <c r="C145" t="s">
        <v>1041</v>
      </c>
      <c r="D145">
        <f>N142+I142+D142+S114+N114+I114+D114</f>
        <v>20624.0173</v>
      </c>
    </row>
    <row r="147" spans="1:20">
      <c r="A147" s="970" t="s">
        <v>1042</v>
      </c>
      <c r="B147" s="970"/>
      <c r="C147" s="970"/>
      <c r="D147" s="970"/>
      <c r="F147" s="970" t="s">
        <v>1043</v>
      </c>
      <c r="G147" s="970"/>
      <c r="H147" s="970"/>
      <c r="I147" s="970"/>
      <c r="K147" s="970" t="s">
        <v>1052</v>
      </c>
      <c r="L147" s="970"/>
      <c r="M147" s="970"/>
      <c r="N147" s="970"/>
      <c r="P147" s="970" t="s">
        <v>1056</v>
      </c>
      <c r="Q147" s="970"/>
      <c r="R147" s="970"/>
      <c r="S147" s="970"/>
    </row>
    <row r="148" spans="1:20">
      <c r="A148" s="968" t="s">
        <v>1030</v>
      </c>
      <c r="B148" s="968"/>
      <c r="C148" s="968"/>
      <c r="D148" s="968"/>
      <c r="F148" s="968" t="s">
        <v>1030</v>
      </c>
      <c r="G148" s="968"/>
      <c r="H148" s="968"/>
      <c r="I148" s="968"/>
      <c r="K148" s="968" t="s">
        <v>1030</v>
      </c>
      <c r="L148" s="968"/>
      <c r="M148" s="968"/>
      <c r="N148" s="968"/>
      <c r="P148" s="968" t="s">
        <v>1030</v>
      </c>
      <c r="Q148" s="968"/>
      <c r="R148" s="968"/>
      <c r="S148" s="968"/>
    </row>
    <row r="149" spans="1:20">
      <c r="A149" s="437" t="s">
        <v>579</v>
      </c>
      <c r="B149" s="437" t="s">
        <v>836</v>
      </c>
      <c r="C149" s="437" t="s">
        <v>830</v>
      </c>
      <c r="D149" s="437" t="s">
        <v>831</v>
      </c>
      <c r="F149" s="437" t="s">
        <v>579</v>
      </c>
      <c r="G149" s="437" t="s">
        <v>836</v>
      </c>
      <c r="H149" s="437" t="s">
        <v>830</v>
      </c>
      <c r="I149" s="437" t="s">
        <v>831</v>
      </c>
      <c r="K149" s="437" t="s">
        <v>579</v>
      </c>
      <c r="L149" s="437" t="s">
        <v>836</v>
      </c>
      <c r="M149" s="437" t="s">
        <v>830</v>
      </c>
      <c r="N149" s="437" t="s">
        <v>831</v>
      </c>
      <c r="P149" s="437" t="s">
        <v>579</v>
      </c>
      <c r="Q149" s="437" t="s">
        <v>836</v>
      </c>
      <c r="R149" s="437" t="s">
        <v>830</v>
      </c>
      <c r="S149" s="437" t="s">
        <v>831</v>
      </c>
    </row>
    <row r="150" spans="1:20">
      <c r="A150" s="437">
        <v>1.33</v>
      </c>
      <c r="B150" s="437">
        <v>23.41</v>
      </c>
      <c r="C150" s="437">
        <v>0.5</v>
      </c>
      <c r="D150" s="437">
        <f>B150*C150</f>
        <v>11.705</v>
      </c>
      <c r="F150" s="437">
        <v>1.33</v>
      </c>
      <c r="G150" s="437">
        <v>22.37</v>
      </c>
      <c r="H150" s="437">
        <v>0.5</v>
      </c>
      <c r="I150" s="437">
        <f>G150*H150</f>
        <v>11.185</v>
      </c>
      <c r="K150" s="437">
        <v>0</v>
      </c>
      <c r="L150" s="437">
        <v>1.24</v>
      </c>
      <c r="M150" s="437">
        <v>1</v>
      </c>
      <c r="N150" s="437">
        <f>L150*M150</f>
        <v>1.24</v>
      </c>
      <c r="P150" s="437">
        <v>0</v>
      </c>
      <c r="Q150" s="437">
        <v>3.59</v>
      </c>
      <c r="R150" s="437">
        <v>1</v>
      </c>
      <c r="S150" s="437">
        <f>Q150*R150</f>
        <v>3.59</v>
      </c>
    </row>
    <row r="151" spans="1:20">
      <c r="A151" s="437">
        <v>2</v>
      </c>
      <c r="B151" s="437">
        <v>24.5</v>
      </c>
      <c r="C151" s="437">
        <v>0.5</v>
      </c>
      <c r="D151" s="437">
        <f>B151*C151</f>
        <v>12.25</v>
      </c>
      <c r="F151" s="437">
        <v>2</v>
      </c>
      <c r="G151" s="437">
        <v>23.34</v>
      </c>
      <c r="H151" s="437">
        <v>0.5</v>
      </c>
      <c r="I151" s="437">
        <f>G151*H151</f>
        <v>11.67</v>
      </c>
      <c r="K151" s="437">
        <v>0.67</v>
      </c>
      <c r="L151" s="437">
        <v>7.14</v>
      </c>
      <c r="M151" s="437">
        <v>4</v>
      </c>
      <c r="N151" s="437">
        <f t="shared" ref="N151:N152" si="36">L151*M151</f>
        <v>28.56</v>
      </c>
      <c r="P151" s="437">
        <v>0.67</v>
      </c>
      <c r="Q151" s="437">
        <v>9.0299999999999994</v>
      </c>
      <c r="R151" s="437">
        <v>4</v>
      </c>
      <c r="S151" s="437">
        <f t="shared" ref="S151:S152" si="37">Q151*R151</f>
        <v>36.119999999999997</v>
      </c>
    </row>
    <row r="152" spans="1:20">
      <c r="D152" s="437">
        <f>SUM(D150:D151)</f>
        <v>23.954999999999998</v>
      </c>
      <c r="I152" s="437">
        <f>SUM(I150:I151)</f>
        <v>22.855</v>
      </c>
      <c r="K152" s="437">
        <v>1.33</v>
      </c>
      <c r="L152" s="437">
        <v>8.67</v>
      </c>
      <c r="M152" s="437">
        <v>1</v>
      </c>
      <c r="N152" s="437">
        <f t="shared" si="36"/>
        <v>8.67</v>
      </c>
      <c r="P152" s="437">
        <v>1.33</v>
      </c>
      <c r="Q152" s="437">
        <v>10.14</v>
      </c>
      <c r="R152" s="437">
        <v>1</v>
      </c>
      <c r="S152" s="437">
        <f t="shared" si="37"/>
        <v>10.14</v>
      </c>
    </row>
    <row r="153" spans="1:20">
      <c r="C153" t="s">
        <v>832</v>
      </c>
      <c r="D153" s="437">
        <f>D152*0.67*2</f>
        <v>32.099699999999999</v>
      </c>
      <c r="E153" t="s">
        <v>151</v>
      </c>
      <c r="H153" t="s">
        <v>832</v>
      </c>
      <c r="I153" s="437">
        <f>I152*0.67*2</f>
        <v>30.625700000000002</v>
      </c>
      <c r="J153" t="s">
        <v>151</v>
      </c>
      <c r="N153" s="437">
        <f>SUM(N150:N152)</f>
        <v>38.47</v>
      </c>
      <c r="S153" s="437">
        <f>SUM(S150:S152)</f>
        <v>49.849999999999994</v>
      </c>
    </row>
    <row r="154" spans="1:20">
      <c r="L154">
        <f>N154/2</f>
        <v>8.5275166666666671</v>
      </c>
      <c r="M154" t="s">
        <v>832</v>
      </c>
      <c r="N154" s="437">
        <f>2*1/3*(1.33/2)*N153</f>
        <v>17.055033333333334</v>
      </c>
      <c r="O154" t="s">
        <v>151</v>
      </c>
      <c r="Q154">
        <f>S154/2</f>
        <v>11.050083333333333</v>
      </c>
      <c r="R154" t="s">
        <v>832</v>
      </c>
      <c r="S154" s="437">
        <f>2*1/3*(1.33/2)*S153</f>
        <v>22.100166666666667</v>
      </c>
      <c r="T154" t="s">
        <v>151</v>
      </c>
    </row>
    <row r="155" spans="1:20">
      <c r="A155" s="437">
        <v>2</v>
      </c>
      <c r="B155" s="437">
        <v>24.5</v>
      </c>
      <c r="C155" s="437">
        <v>1</v>
      </c>
      <c r="D155" s="437">
        <f>B155*C155</f>
        <v>24.5</v>
      </c>
      <c r="F155" s="437">
        <v>2</v>
      </c>
      <c r="G155" s="437">
        <v>23.34</v>
      </c>
      <c r="H155" s="437">
        <v>1</v>
      </c>
      <c r="I155" s="437">
        <f>G155*H155</f>
        <v>23.34</v>
      </c>
    </row>
    <row r="156" spans="1:20">
      <c r="A156" s="437">
        <v>3</v>
      </c>
      <c r="B156" s="437">
        <v>25.55</v>
      </c>
      <c r="C156" s="437">
        <v>3</v>
      </c>
      <c r="D156" s="437">
        <f t="shared" ref="D156:D161" si="38">B156*C156</f>
        <v>76.650000000000006</v>
      </c>
      <c r="F156" s="437">
        <v>3</v>
      </c>
      <c r="G156" s="437">
        <v>24.5</v>
      </c>
      <c r="H156" s="437">
        <v>3</v>
      </c>
      <c r="I156" s="437">
        <f t="shared" ref="I156:I161" si="39">G156*H156</f>
        <v>73.5</v>
      </c>
      <c r="K156" s="970" t="s">
        <v>1054</v>
      </c>
      <c r="L156" s="970"/>
      <c r="M156" s="970"/>
      <c r="N156" s="970"/>
      <c r="P156" s="970" t="s">
        <v>1057</v>
      </c>
      <c r="Q156" s="970"/>
      <c r="R156" s="970"/>
      <c r="S156" s="970"/>
    </row>
    <row r="157" spans="1:20">
      <c r="A157" s="437">
        <v>4</v>
      </c>
      <c r="B157" s="437">
        <v>26.24</v>
      </c>
      <c r="C157" s="437">
        <v>3</v>
      </c>
      <c r="D157" s="437">
        <f t="shared" si="38"/>
        <v>78.72</v>
      </c>
      <c r="F157" s="437">
        <v>4</v>
      </c>
      <c r="G157" s="437">
        <v>24</v>
      </c>
      <c r="H157" s="437">
        <v>3</v>
      </c>
      <c r="I157" s="437">
        <f t="shared" si="39"/>
        <v>72</v>
      </c>
      <c r="K157" s="968" t="s">
        <v>1030</v>
      </c>
      <c r="L157" s="968"/>
      <c r="M157" s="968"/>
      <c r="N157" s="968"/>
      <c r="P157" s="968" t="s">
        <v>1030</v>
      </c>
      <c r="Q157" s="968"/>
      <c r="R157" s="968"/>
      <c r="S157" s="968"/>
    </row>
    <row r="158" spans="1:20">
      <c r="A158" s="437">
        <v>5</v>
      </c>
      <c r="B158" s="437">
        <v>26.71</v>
      </c>
      <c r="C158" s="437">
        <v>2</v>
      </c>
      <c r="D158" s="437">
        <f t="shared" si="38"/>
        <v>53.42</v>
      </c>
      <c r="F158" s="437">
        <v>5</v>
      </c>
      <c r="G158" s="437">
        <v>24.61</v>
      </c>
      <c r="H158" s="437">
        <v>2</v>
      </c>
      <c r="I158" s="437">
        <f t="shared" si="39"/>
        <v>49.22</v>
      </c>
      <c r="K158" s="437" t="s">
        <v>579</v>
      </c>
      <c r="L158" s="437" t="s">
        <v>836</v>
      </c>
      <c r="M158" s="437" t="s">
        <v>830</v>
      </c>
      <c r="N158" s="437" t="s">
        <v>831</v>
      </c>
      <c r="P158" s="437" t="s">
        <v>579</v>
      </c>
      <c r="Q158" s="437" t="s">
        <v>836</v>
      </c>
      <c r="R158" s="437" t="s">
        <v>830</v>
      </c>
      <c r="S158" s="437" t="s">
        <v>831</v>
      </c>
    </row>
    <row r="159" spans="1:20">
      <c r="A159" s="437">
        <v>6</v>
      </c>
      <c r="B159" s="437">
        <v>27.04</v>
      </c>
      <c r="C159" s="437">
        <v>3</v>
      </c>
      <c r="D159" s="437">
        <f t="shared" si="38"/>
        <v>81.12</v>
      </c>
      <c r="F159" s="437">
        <v>6</v>
      </c>
      <c r="G159" s="437">
        <v>25.31</v>
      </c>
      <c r="H159" s="437">
        <v>3</v>
      </c>
      <c r="I159" s="437">
        <f t="shared" si="39"/>
        <v>75.929999999999993</v>
      </c>
      <c r="K159" s="437">
        <v>0</v>
      </c>
      <c r="L159" s="437">
        <v>6.3</v>
      </c>
      <c r="M159" s="437">
        <v>1</v>
      </c>
      <c r="N159" s="437">
        <f>L159*M159</f>
        <v>6.3</v>
      </c>
      <c r="P159" s="437">
        <v>0</v>
      </c>
      <c r="Q159" s="437">
        <v>15.2</v>
      </c>
      <c r="R159" s="437">
        <v>1</v>
      </c>
      <c r="S159" s="437">
        <f>Q159*R159</f>
        <v>15.2</v>
      </c>
    </row>
    <row r="160" spans="1:20">
      <c r="A160" s="437">
        <v>7</v>
      </c>
      <c r="B160" s="437">
        <v>27.44</v>
      </c>
      <c r="C160" s="437">
        <v>3</v>
      </c>
      <c r="D160" s="437">
        <f t="shared" si="38"/>
        <v>82.320000000000007</v>
      </c>
      <c r="F160" s="437">
        <v>7</v>
      </c>
      <c r="G160" s="437">
        <v>26.13</v>
      </c>
      <c r="H160" s="437">
        <v>3</v>
      </c>
      <c r="I160" s="437">
        <f t="shared" si="39"/>
        <v>78.39</v>
      </c>
      <c r="K160" s="437">
        <v>0.67</v>
      </c>
      <c r="L160" s="437">
        <v>6.3</v>
      </c>
      <c r="M160" s="437">
        <v>4</v>
      </c>
      <c r="N160" s="437">
        <f t="shared" ref="N160:N161" si="40">L160*M160</f>
        <v>25.2</v>
      </c>
      <c r="P160" s="437">
        <v>0.67</v>
      </c>
      <c r="Q160" s="437">
        <v>22.44</v>
      </c>
      <c r="R160" s="437">
        <v>4</v>
      </c>
      <c r="S160" s="437">
        <f t="shared" ref="S160:S161" si="41">Q160*R160</f>
        <v>89.76</v>
      </c>
    </row>
    <row r="161" spans="1:20">
      <c r="A161" s="437">
        <v>8</v>
      </c>
      <c r="B161" s="437">
        <v>27.82</v>
      </c>
      <c r="C161" s="437">
        <v>1</v>
      </c>
      <c r="D161" s="437">
        <f t="shared" si="38"/>
        <v>27.82</v>
      </c>
      <c r="F161" s="437">
        <v>8</v>
      </c>
      <c r="G161" s="437">
        <v>27.09</v>
      </c>
      <c r="H161" s="437">
        <v>1</v>
      </c>
      <c r="I161" s="437">
        <f t="shared" si="39"/>
        <v>27.09</v>
      </c>
      <c r="K161" s="437">
        <v>1.33</v>
      </c>
      <c r="L161" s="437">
        <v>6.3</v>
      </c>
      <c r="M161" s="437">
        <v>1</v>
      </c>
      <c r="N161" s="437">
        <f t="shared" si="40"/>
        <v>6.3</v>
      </c>
      <c r="P161" s="437">
        <v>1.33</v>
      </c>
      <c r="Q161" s="437">
        <v>24.55</v>
      </c>
      <c r="R161" s="437">
        <v>1</v>
      </c>
      <c r="S161" s="437">
        <f t="shared" si="41"/>
        <v>24.55</v>
      </c>
    </row>
    <row r="162" spans="1:20">
      <c r="D162" s="437">
        <f>SUM(D155:D161)</f>
        <v>424.55</v>
      </c>
      <c r="I162" s="437">
        <f>SUM(I155:I161)</f>
        <v>399.46999999999997</v>
      </c>
      <c r="N162" s="437">
        <f>SUM(N159:N161)</f>
        <v>37.799999999999997</v>
      </c>
      <c r="S162" s="437">
        <f>SUM(S159:S161)</f>
        <v>129.51000000000002</v>
      </c>
    </row>
    <row r="163" spans="1:20">
      <c r="C163" t="s">
        <v>832</v>
      </c>
      <c r="D163" s="437">
        <f>2*1*3/8*D162</f>
        <v>318.41250000000002</v>
      </c>
      <c r="E163" t="s">
        <v>151</v>
      </c>
      <c r="H163" t="s">
        <v>832</v>
      </c>
      <c r="I163" s="437">
        <f>2*1*3/8*I162</f>
        <v>299.60249999999996</v>
      </c>
      <c r="J163" t="s">
        <v>151</v>
      </c>
      <c r="L163">
        <f>N163/2</f>
        <v>8.3789999999999996</v>
      </c>
      <c r="M163" t="s">
        <v>832</v>
      </c>
      <c r="N163" s="437">
        <f>2*1/3*(1.33/2)*N162</f>
        <v>16.757999999999999</v>
      </c>
      <c r="O163" t="s">
        <v>151</v>
      </c>
      <c r="Q163">
        <f>S163/2</f>
        <v>28.708050000000007</v>
      </c>
      <c r="R163" t="s">
        <v>832</v>
      </c>
      <c r="S163" s="437">
        <f>2*1/3*(1.33/2)*S162</f>
        <v>57.416100000000014</v>
      </c>
      <c r="T163" t="s">
        <v>151</v>
      </c>
    </row>
    <row r="165" spans="1:20">
      <c r="A165" s="437">
        <v>8</v>
      </c>
      <c r="B165" s="437">
        <v>27.82</v>
      </c>
      <c r="C165" s="437">
        <v>0.5</v>
      </c>
      <c r="D165" s="437">
        <f t="shared" ref="D165:D166" si="42">B165*C165</f>
        <v>13.91</v>
      </c>
      <c r="F165" s="437">
        <v>8</v>
      </c>
      <c r="G165" s="437">
        <v>27.09</v>
      </c>
      <c r="H165" s="437">
        <v>0.5</v>
      </c>
      <c r="I165" s="437">
        <f t="shared" ref="I165:I166" si="43">G165*H165</f>
        <v>13.545</v>
      </c>
      <c r="K165" s="970" t="s">
        <v>1055</v>
      </c>
      <c r="L165" s="970"/>
      <c r="M165" s="970"/>
      <c r="N165" s="970"/>
    </row>
    <row r="166" spans="1:20">
      <c r="A166" s="437">
        <v>9</v>
      </c>
      <c r="B166" s="437">
        <v>28.23</v>
      </c>
      <c r="C166" s="437">
        <v>0.5</v>
      </c>
      <c r="D166" s="437">
        <f t="shared" si="42"/>
        <v>14.115</v>
      </c>
      <c r="F166" s="437">
        <v>9</v>
      </c>
      <c r="G166" s="437">
        <v>28.21</v>
      </c>
      <c r="H166" s="437">
        <v>0.5</v>
      </c>
      <c r="I166" s="437">
        <f t="shared" si="43"/>
        <v>14.105</v>
      </c>
      <c r="K166" s="968" t="s">
        <v>1030</v>
      </c>
      <c r="L166" s="968"/>
      <c r="M166" s="968"/>
      <c r="N166" s="968"/>
    </row>
    <row r="167" spans="1:20">
      <c r="D167" s="437">
        <f>SUM(D165:D166)</f>
        <v>28.024999999999999</v>
      </c>
      <c r="I167" s="437">
        <f>SUM(I165:I166)</f>
        <v>27.65</v>
      </c>
      <c r="K167" s="437" t="s">
        <v>579</v>
      </c>
      <c r="L167" s="437" t="s">
        <v>836</v>
      </c>
      <c r="M167" s="437" t="s">
        <v>830</v>
      </c>
      <c r="N167" s="437" t="s">
        <v>831</v>
      </c>
    </row>
    <row r="168" spans="1:20">
      <c r="C168" t="s">
        <v>832</v>
      </c>
      <c r="D168" s="437">
        <f>D167*1*2</f>
        <v>56.05</v>
      </c>
      <c r="E168" t="s">
        <v>151</v>
      </c>
      <c r="H168" t="s">
        <v>832</v>
      </c>
      <c r="I168" s="437">
        <f>I167*1*2</f>
        <v>55.3</v>
      </c>
      <c r="J168" t="s">
        <v>151</v>
      </c>
      <c r="K168" s="437">
        <v>0</v>
      </c>
      <c r="L168" s="437">
        <v>3.92</v>
      </c>
      <c r="M168" s="437">
        <v>1</v>
      </c>
      <c r="N168" s="437">
        <f>L168*M168</f>
        <v>3.92</v>
      </c>
    </row>
    <row r="169" spans="1:20">
      <c r="K169" s="437">
        <v>0.67</v>
      </c>
      <c r="L169" s="437">
        <v>4.2</v>
      </c>
      <c r="M169" s="437">
        <v>4</v>
      </c>
      <c r="N169" s="437">
        <f t="shared" ref="N169:N170" si="44">L169*M169</f>
        <v>16.8</v>
      </c>
    </row>
    <row r="170" spans="1:20">
      <c r="A170" s="437">
        <v>9</v>
      </c>
      <c r="B170" s="437">
        <v>28.23</v>
      </c>
      <c r="C170" s="437">
        <v>0.5</v>
      </c>
      <c r="D170" s="437">
        <f t="shared" ref="D170:D171" si="45">B170*C170</f>
        <v>14.115</v>
      </c>
      <c r="F170" s="437">
        <v>9</v>
      </c>
      <c r="G170" s="437">
        <v>28.21</v>
      </c>
      <c r="H170" s="437">
        <v>0.5</v>
      </c>
      <c r="I170" s="437">
        <f t="shared" ref="I170:I171" si="46">G170*H170</f>
        <v>14.105</v>
      </c>
      <c r="K170" s="437">
        <v>1.33</v>
      </c>
      <c r="L170" s="437">
        <v>4.2</v>
      </c>
      <c r="M170" s="437">
        <v>1</v>
      </c>
      <c r="N170" s="437">
        <f t="shared" si="44"/>
        <v>4.2</v>
      </c>
    </row>
    <row r="171" spans="1:20">
      <c r="A171" s="437">
        <v>12.3</v>
      </c>
      <c r="B171" s="437">
        <v>28.27</v>
      </c>
      <c r="C171" s="437">
        <v>0.5</v>
      </c>
      <c r="D171" s="437">
        <f t="shared" si="45"/>
        <v>14.135</v>
      </c>
      <c r="F171" s="437">
        <v>12.3</v>
      </c>
      <c r="G171" s="437">
        <v>28.53</v>
      </c>
      <c r="H171" s="437">
        <v>0.5</v>
      </c>
      <c r="I171" s="437">
        <f t="shared" si="46"/>
        <v>14.265000000000001</v>
      </c>
      <c r="N171" s="437">
        <f>SUM(N168:N170)</f>
        <v>24.919999999999998</v>
      </c>
    </row>
    <row r="172" spans="1:20">
      <c r="D172" s="437">
        <f>SUM(D170:D171)</f>
        <v>28.25</v>
      </c>
      <c r="I172" s="437">
        <f>SUM(I170:I171)</f>
        <v>28.37</v>
      </c>
      <c r="L172">
        <f>N172/2</f>
        <v>5.5239333333333329</v>
      </c>
      <c r="M172" t="s">
        <v>832</v>
      </c>
      <c r="N172" s="437">
        <f>2*1/3*(1.33/2)*N171</f>
        <v>11.047866666666666</v>
      </c>
      <c r="O172" t="s">
        <v>151</v>
      </c>
    </row>
    <row r="173" spans="1:20">
      <c r="C173" t="s">
        <v>832</v>
      </c>
      <c r="D173" s="437">
        <f>D172*3.3*2</f>
        <v>186.45</v>
      </c>
      <c r="E173" t="s">
        <v>151</v>
      </c>
      <c r="H173" t="s">
        <v>832</v>
      </c>
      <c r="I173" s="437">
        <f>I172*3.3*2</f>
        <v>187.24199999999999</v>
      </c>
      <c r="J173" t="s">
        <v>151</v>
      </c>
    </row>
    <row r="174" spans="1:20">
      <c r="B174">
        <f>D174/2</f>
        <v>296.5061</v>
      </c>
      <c r="C174" s="438" t="s">
        <v>834</v>
      </c>
      <c r="D174">
        <f>D153+D163+D168+D173</f>
        <v>593.01220000000001</v>
      </c>
      <c r="E174" t="s">
        <v>151</v>
      </c>
      <c r="G174">
        <f>I174/2</f>
        <v>192.76409999999998</v>
      </c>
      <c r="H174" s="438" t="s">
        <v>834</v>
      </c>
      <c r="I174">
        <f>I153+I163+I168</f>
        <v>385.52819999999997</v>
      </c>
      <c r="J174" t="s">
        <v>151</v>
      </c>
    </row>
    <row r="175" spans="1:20">
      <c r="M175">
        <f>4.2*1.5*2</f>
        <v>12.600000000000001</v>
      </c>
    </row>
  </sheetData>
  <mergeCells count="32">
    <mergeCell ref="P117:R117"/>
    <mergeCell ref="K166:N166"/>
    <mergeCell ref="P147:S147"/>
    <mergeCell ref="P148:S148"/>
    <mergeCell ref="P156:S156"/>
    <mergeCell ref="P157:S157"/>
    <mergeCell ref="K147:N147"/>
    <mergeCell ref="K148:N148"/>
    <mergeCell ref="K156:N156"/>
    <mergeCell ref="K157:N157"/>
    <mergeCell ref="K165:N165"/>
    <mergeCell ref="A148:D148"/>
    <mergeCell ref="A147:D147"/>
    <mergeCell ref="F147:I147"/>
    <mergeCell ref="F148:I148"/>
    <mergeCell ref="A116:D116"/>
    <mergeCell ref="F116:I116"/>
    <mergeCell ref="K116:N116"/>
    <mergeCell ref="A79:D79"/>
    <mergeCell ref="A55:D55"/>
    <mergeCell ref="F55:I55"/>
    <mergeCell ref="A63:D63"/>
    <mergeCell ref="F63:I63"/>
    <mergeCell ref="A71:D71"/>
    <mergeCell ref="F71:I71"/>
    <mergeCell ref="P88:S88"/>
    <mergeCell ref="A87:S87"/>
    <mergeCell ref="A54:I54"/>
    <mergeCell ref="K54:N54"/>
    <mergeCell ref="A88:D88"/>
    <mergeCell ref="F88:I88"/>
    <mergeCell ref="K88:N88"/>
  </mergeCells>
  <phoneticPr fontId="6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F5C5-ECDC-47A7-809A-EF637A45629E}">
  <sheetPr>
    <pageSetUpPr fitToPage="1"/>
  </sheetPr>
  <dimension ref="A1:N297"/>
  <sheetViews>
    <sheetView topLeftCell="A166" zoomScale="115" zoomScaleNormal="115" zoomScalePageLayoutView="42" workbookViewId="0">
      <selection activeCell="C86" sqref="C86"/>
    </sheetView>
  </sheetViews>
  <sheetFormatPr defaultColWidth="12.5546875" defaultRowHeight="15.6"/>
  <cols>
    <col min="1" max="1" width="21.109375" style="1" customWidth="1"/>
    <col min="2" max="2" width="15.44140625" style="1" bestFit="1" customWidth="1"/>
    <col min="3" max="3" width="12.5546875" style="1"/>
    <col min="4" max="4" width="14.33203125" style="1" customWidth="1"/>
    <col min="5" max="5" width="15.6640625" style="1" customWidth="1"/>
    <col min="6" max="6" width="12.5546875" style="1"/>
    <col min="7" max="7" width="17.109375" style="1" customWidth="1"/>
    <col min="8" max="8" width="18" style="1" customWidth="1"/>
    <col min="9" max="10" width="13.33203125" style="1" bestFit="1" customWidth="1"/>
    <col min="11" max="11" width="14.109375" style="1" customWidth="1"/>
    <col min="12" max="13" width="12.5546875" style="1"/>
    <col min="14" max="14" width="12.5546875" style="2" customWidth="1"/>
    <col min="15" max="16384" width="12.5546875" style="1"/>
  </cols>
  <sheetData>
    <row r="1" spans="1:14">
      <c r="A1" s="815" t="s">
        <v>0</v>
      </c>
      <c r="B1" s="815"/>
      <c r="C1" s="815"/>
      <c r="D1" s="815"/>
      <c r="E1" s="815"/>
      <c r="F1" s="815"/>
      <c r="G1" s="815"/>
      <c r="H1" s="815"/>
    </row>
    <row r="2" spans="1:14" ht="15.6" customHeight="1"/>
    <row r="3" spans="1:14">
      <c r="A3" s="804" t="s">
        <v>1</v>
      </c>
      <c r="B3" s="804"/>
      <c r="C3" s="804"/>
      <c r="D3" s="804"/>
      <c r="E3" s="804"/>
      <c r="F3" s="804"/>
      <c r="G3" s="3" t="str" cm="1">
        <f t="array" ref="G3:H3">[5]HARVARLD!$F$4:$G$4</f>
        <v>Product Oil Tanker</v>
      </c>
      <c r="H3" s="4">
        <v>0</v>
      </c>
    </row>
    <row r="4" spans="1:14">
      <c r="A4" s="804" t="s">
        <v>3</v>
      </c>
      <c r="B4" s="804"/>
      <c r="C4" s="804"/>
      <c r="D4" s="804"/>
      <c r="E4" s="804"/>
      <c r="F4" s="804"/>
      <c r="G4" s="4">
        <f>[5]HARVARLD!$F$6</f>
        <v>137</v>
      </c>
      <c r="H4" s="4" t="s">
        <v>4</v>
      </c>
    </row>
    <row r="5" spans="1:14">
      <c r="A5" s="804" t="s">
        <v>5</v>
      </c>
      <c r="B5" s="804"/>
      <c r="C5" s="804"/>
      <c r="D5" s="804"/>
      <c r="E5" s="804"/>
      <c r="F5" s="804"/>
      <c r="G5" s="4">
        <f>[5]HARVARLD!$F$8</f>
        <v>142.47999999999999</v>
      </c>
      <c r="H5" s="4" t="s">
        <v>4</v>
      </c>
    </row>
    <row r="6" spans="1:14">
      <c r="A6" s="804" t="s">
        <v>6</v>
      </c>
      <c r="B6" s="804"/>
      <c r="C6" s="804"/>
      <c r="D6" s="804"/>
      <c r="E6" s="804"/>
      <c r="F6" s="804"/>
      <c r="G6" s="4">
        <f>[5]HARVARLD!$F$16</f>
        <v>23.7</v>
      </c>
      <c r="H6" s="4" t="s">
        <v>4</v>
      </c>
    </row>
    <row r="7" spans="1:14">
      <c r="A7" s="804" t="s">
        <v>7</v>
      </c>
      <c r="B7" s="804"/>
      <c r="C7" s="804"/>
      <c r="D7" s="804"/>
      <c r="E7" s="804"/>
      <c r="F7" s="804"/>
      <c r="G7" s="4">
        <f>[5]HARVARLD!$F$25</f>
        <v>13.34</v>
      </c>
      <c r="H7" s="4" t="s">
        <v>4</v>
      </c>
    </row>
    <row r="8" spans="1:14">
      <c r="A8" s="804" t="s">
        <v>8</v>
      </c>
      <c r="B8" s="804"/>
      <c r="C8" s="804"/>
      <c r="D8" s="804"/>
      <c r="E8" s="804"/>
      <c r="F8" s="804"/>
      <c r="G8" s="4">
        <f>[5]HARVARLD!$F$23</f>
        <v>9.9469999999999992</v>
      </c>
      <c r="H8" s="4" t="s">
        <v>4</v>
      </c>
      <c r="J8" s="5" t="s">
        <v>9</v>
      </c>
      <c r="K8" s="5"/>
      <c r="L8" s="5"/>
      <c r="M8" s="5"/>
      <c r="N8" s="5"/>
    </row>
    <row r="9" spans="1:14">
      <c r="A9" s="804" t="s">
        <v>10</v>
      </c>
      <c r="B9" s="804"/>
      <c r="C9" s="804"/>
      <c r="D9" s="804"/>
      <c r="E9" s="804"/>
      <c r="F9" s="804"/>
      <c r="G9" s="4">
        <f>[5]HARVARLD!$F$27</f>
        <v>16</v>
      </c>
      <c r="H9" s="4" t="s">
        <v>11</v>
      </c>
    </row>
    <row r="10" spans="1:14">
      <c r="A10" s="804" t="s">
        <v>12</v>
      </c>
      <c r="B10" s="804"/>
      <c r="C10" s="804"/>
      <c r="D10" s="804"/>
      <c r="E10" s="804"/>
      <c r="F10" s="804"/>
      <c r="G10" s="4">
        <f>[5]HARVARLD!$F$31</f>
        <v>0.68</v>
      </c>
      <c r="H10" s="4"/>
    </row>
    <row r="11" spans="1:14">
      <c r="A11" s="804" t="s">
        <v>13</v>
      </c>
      <c r="B11" s="804"/>
      <c r="C11" s="804"/>
      <c r="D11" s="804"/>
      <c r="E11" s="804"/>
      <c r="F11" s="804"/>
      <c r="G11" s="4">
        <f>[5]HARVARLD!$F$30</f>
        <v>0.98199999999999998</v>
      </c>
      <c r="H11" s="4"/>
    </row>
    <row r="12" spans="1:14">
      <c r="A12" s="804" t="s">
        <v>14</v>
      </c>
      <c r="B12" s="804"/>
      <c r="C12" s="804"/>
      <c r="D12" s="804"/>
      <c r="E12" s="804"/>
      <c r="F12" s="804"/>
      <c r="G12" s="6">
        <f>[5]HARVARLD!$F$32</f>
        <v>0.69</v>
      </c>
      <c r="H12" s="4"/>
    </row>
    <row r="13" spans="1:14" ht="16.2">
      <c r="A13" s="804" t="s">
        <v>15</v>
      </c>
      <c r="B13" s="804"/>
      <c r="C13" s="804"/>
      <c r="D13" s="804"/>
      <c r="E13" s="804"/>
      <c r="F13" s="804"/>
      <c r="G13" s="4">
        <f>G28</f>
        <v>22401.13975848</v>
      </c>
      <c r="H13" s="4" t="s">
        <v>16</v>
      </c>
      <c r="J13" s="1">
        <v>23583.523788769598</v>
      </c>
    </row>
    <row r="14" spans="1:14">
      <c r="K14" s="1">
        <f>G5*G6*G8*G10</f>
        <v>22840.37779296</v>
      </c>
      <c r="M14" s="1">
        <f>K14-G28</f>
        <v>439.23803448000035</v>
      </c>
    </row>
    <row r="15" spans="1:14">
      <c r="A15" s="815" t="s">
        <v>17</v>
      </c>
      <c r="B15" s="815"/>
      <c r="C15" s="815"/>
      <c r="D15" s="815"/>
      <c r="E15" s="815"/>
      <c r="F15" s="815"/>
      <c r="G15" s="815"/>
      <c r="H15" s="815"/>
    </row>
    <row r="17" spans="1:13">
      <c r="A17" s="1" t="s">
        <v>18</v>
      </c>
    </row>
    <row r="19" spans="1:13">
      <c r="A19" s="4" t="s">
        <v>12</v>
      </c>
      <c r="B19" s="687"/>
      <c r="C19" s="806"/>
      <c r="D19" s="806"/>
      <c r="E19" s="806"/>
      <c r="F19" s="688"/>
      <c r="G19" s="4">
        <f>G10</f>
        <v>0.68</v>
      </c>
      <c r="H19" s="4"/>
    </row>
    <row r="20" spans="1:13" ht="15.6" customHeight="1">
      <c r="A20" s="4" t="s">
        <v>13</v>
      </c>
      <c r="B20" s="687"/>
      <c r="C20" s="806"/>
      <c r="D20" s="806"/>
      <c r="E20" s="806"/>
      <c r="F20" s="688"/>
      <c r="G20" s="4">
        <f>G11</f>
        <v>0.98199999999999998</v>
      </c>
      <c r="H20" s="4"/>
      <c r="K20" s="1" t="s">
        <v>19</v>
      </c>
      <c r="L20" s="1">
        <f>G6/G8</f>
        <v>2.3826279280184983</v>
      </c>
    </row>
    <row r="21" spans="1:13">
      <c r="A21" s="4" t="s">
        <v>14</v>
      </c>
      <c r="B21" s="687"/>
      <c r="C21" s="806"/>
      <c r="D21" s="806"/>
      <c r="E21" s="806"/>
      <c r="F21" s="688"/>
      <c r="G21" s="4">
        <f>G12</f>
        <v>0.69</v>
      </c>
      <c r="H21" s="4"/>
    </row>
    <row r="22" spans="1:13">
      <c r="A22" s="4" t="s">
        <v>20</v>
      </c>
      <c r="B22" s="687"/>
      <c r="C22" s="806"/>
      <c r="D22" s="806"/>
      <c r="E22" s="806"/>
      <c r="F22" s="688"/>
      <c r="G22" s="4">
        <f>G20*G6*G8</f>
        <v>231.50050979999997</v>
      </c>
      <c r="H22" s="4"/>
    </row>
    <row r="23" spans="1:13">
      <c r="A23" s="803" t="s">
        <v>21</v>
      </c>
      <c r="B23" s="683"/>
      <c r="C23" s="683"/>
      <c r="D23" s="683"/>
      <c r="E23" s="683"/>
      <c r="F23" s="683"/>
      <c r="G23" s="4">
        <f>1/2*(G4+G5)</f>
        <v>139.74</v>
      </c>
      <c r="H23" s="4" t="s">
        <v>4</v>
      </c>
      <c r="K23" s="1">
        <v>3.28084</v>
      </c>
    </row>
    <row r="24" spans="1:13">
      <c r="A24" s="803"/>
      <c r="B24" s="683"/>
      <c r="C24" s="683"/>
      <c r="D24" s="683"/>
      <c r="E24" s="683"/>
      <c r="F24" s="683"/>
      <c r="G24" s="7">
        <f>G23*3.28084</f>
        <v>458.46458160000003</v>
      </c>
      <c r="H24" s="4" t="s">
        <v>22</v>
      </c>
    </row>
    <row r="25" spans="1:13">
      <c r="A25" s="803" t="s">
        <v>23</v>
      </c>
      <c r="B25" s="807"/>
      <c r="C25" s="808"/>
      <c r="D25" s="808"/>
      <c r="E25" s="808"/>
      <c r="F25" s="809"/>
      <c r="G25" s="813">
        <f>G9/G24^(1/2)</f>
        <v>0.74725200256610036</v>
      </c>
      <c r="H25" s="683"/>
    </row>
    <row r="26" spans="1:13">
      <c r="A26" s="803"/>
      <c r="B26" s="810"/>
      <c r="C26" s="811"/>
      <c r="D26" s="811"/>
      <c r="E26" s="811"/>
      <c r="F26" s="812"/>
      <c r="G26" s="813"/>
      <c r="H26" s="683"/>
    </row>
    <row r="27" spans="1:13">
      <c r="A27" s="8" t="s">
        <v>20</v>
      </c>
      <c r="B27" s="683"/>
      <c r="C27" s="683"/>
      <c r="D27" s="683"/>
      <c r="E27" s="683"/>
      <c r="F27" s="683"/>
      <c r="G27" s="4">
        <f>G20*G6*G8</f>
        <v>231.50050979999997</v>
      </c>
      <c r="H27" s="4" t="s">
        <v>24</v>
      </c>
      <c r="M27" s="9">
        <f>K29/17500</f>
        <v>0.31206675728239996</v>
      </c>
    </row>
    <row r="28" spans="1:13" ht="16.2">
      <c r="A28" s="8" t="s">
        <v>15</v>
      </c>
      <c r="B28" s="683"/>
      <c r="C28" s="683"/>
      <c r="D28" s="683"/>
      <c r="E28" s="683"/>
      <c r="F28" s="683"/>
      <c r="G28" s="4">
        <f>G19*G23*G6*G8</f>
        <v>22401.13975848</v>
      </c>
      <c r="H28" s="4" t="s">
        <v>16</v>
      </c>
    </row>
    <row r="29" spans="1:13">
      <c r="A29" s="8" t="s">
        <v>25</v>
      </c>
      <c r="B29" s="683"/>
      <c r="C29" s="683"/>
      <c r="D29" s="683"/>
      <c r="E29" s="683"/>
      <c r="F29" s="683"/>
      <c r="G29" s="4">
        <f>G28*1.025</f>
        <v>22961.168252441999</v>
      </c>
      <c r="H29" s="4" t="s">
        <v>26</v>
      </c>
      <c r="J29" s="10" t="s">
        <v>27</v>
      </c>
      <c r="K29" s="1">
        <f>G29-17500</f>
        <v>5461.1682524419994</v>
      </c>
    </row>
    <row r="30" spans="1:13">
      <c r="A30" s="8" t="s">
        <v>28</v>
      </c>
      <c r="B30" s="683"/>
      <c r="C30" s="683"/>
      <c r="D30" s="683"/>
      <c r="E30" s="683"/>
      <c r="F30" s="683"/>
      <c r="G30" s="4">
        <f>1.025*G4*((G10*G6)+(1.7*G8))</f>
        <v>4637.6620074999983</v>
      </c>
      <c r="H30" s="4" t="s">
        <v>24</v>
      </c>
    </row>
    <row r="31" spans="1:13">
      <c r="A31" s="804" t="s">
        <v>29</v>
      </c>
      <c r="B31" s="683"/>
      <c r="C31" s="683"/>
      <c r="D31" s="683"/>
      <c r="E31" s="683"/>
      <c r="F31" s="683"/>
      <c r="G31" s="813">
        <f>19*(G10*(G6/G5))^2</f>
        <v>0.24308620046085061</v>
      </c>
      <c r="H31" s="683"/>
    </row>
    <row r="32" spans="1:13">
      <c r="A32" s="804"/>
      <c r="B32" s="683"/>
      <c r="C32" s="683"/>
      <c r="D32" s="683"/>
      <c r="E32" s="683"/>
      <c r="F32" s="683"/>
      <c r="G32" s="813"/>
      <c r="H32" s="683"/>
    </row>
    <row r="33" spans="1:8">
      <c r="A33" s="8" t="s">
        <v>30</v>
      </c>
      <c r="B33" s="687"/>
      <c r="C33" s="806"/>
      <c r="D33" s="806"/>
      <c r="E33" s="806"/>
      <c r="F33" s="688"/>
      <c r="G33" s="11">
        <v>2.1499999999999998E-2</v>
      </c>
      <c r="H33" s="4"/>
    </row>
    <row r="34" spans="1:8">
      <c r="A34" s="815" t="s">
        <v>31</v>
      </c>
      <c r="B34" s="815"/>
      <c r="C34" s="815"/>
      <c r="D34" s="815"/>
      <c r="E34" s="815"/>
      <c r="F34" s="815"/>
      <c r="G34" s="815"/>
      <c r="H34" s="815"/>
    </row>
    <row r="36" spans="1:8" ht="15.6" customHeight="1">
      <c r="A36" s="816" t="s">
        <v>32</v>
      </c>
      <c r="B36" s="816"/>
      <c r="C36" s="816"/>
      <c r="D36" s="816"/>
      <c r="E36" s="816"/>
      <c r="F36" s="816"/>
      <c r="G36" s="4">
        <v>25</v>
      </c>
      <c r="H36" s="4" t="s">
        <v>33</v>
      </c>
    </row>
    <row r="37" spans="1:8">
      <c r="A37" s="816" t="s">
        <v>34</v>
      </c>
      <c r="B37" s="816"/>
      <c r="C37" s="816"/>
      <c r="D37" s="816"/>
      <c r="E37" s="816"/>
      <c r="F37" s="816"/>
      <c r="G37" s="12">
        <v>8.9299999999999996E-7</v>
      </c>
      <c r="H37" s="4"/>
    </row>
    <row r="38" spans="1:8" ht="16.2" customHeight="1">
      <c r="A38" s="816" t="s">
        <v>35</v>
      </c>
      <c r="B38" s="816"/>
      <c r="C38" s="816"/>
      <c r="D38" s="816"/>
      <c r="E38" s="816"/>
      <c r="F38" s="816"/>
      <c r="G38" s="4">
        <v>1.026</v>
      </c>
      <c r="H38" s="4" t="s">
        <v>36</v>
      </c>
    </row>
    <row r="41" spans="1:8">
      <c r="G41" s="13"/>
    </row>
    <row r="53" spans="1:4">
      <c r="A53" s="1" t="s">
        <v>37</v>
      </c>
    </row>
    <row r="54" spans="1:4">
      <c r="A54" s="10" t="s">
        <v>38</v>
      </c>
      <c r="B54" s="1">
        <v>1</v>
      </c>
    </row>
    <row r="55" spans="1:4">
      <c r="A55" s="10" t="s">
        <v>39</v>
      </c>
      <c r="B55" s="1">
        <v>0.78500000000000003</v>
      </c>
    </row>
    <row r="56" spans="1:4">
      <c r="A56" s="10" t="s">
        <v>19</v>
      </c>
      <c r="B56" s="1">
        <f>G6/G8</f>
        <v>2.3826279280184983</v>
      </c>
    </row>
    <row r="57" spans="1:4">
      <c r="A57" s="10" t="s">
        <v>40</v>
      </c>
      <c r="B57" s="1">
        <f>G5/G6</f>
        <v>6.0118143459915609</v>
      </c>
    </row>
    <row r="59" spans="1:4">
      <c r="A59" s="1" t="s">
        <v>41</v>
      </c>
    </row>
    <row r="62" spans="1:4">
      <c r="A62" s="814" t="s">
        <v>42</v>
      </c>
      <c r="B62" s="814"/>
      <c r="C62" s="814"/>
      <c r="D62" s="814"/>
    </row>
    <row r="63" spans="1:4">
      <c r="A63" s="1" t="s">
        <v>43</v>
      </c>
    </row>
    <row r="64" spans="1:4" ht="31.2">
      <c r="A64" s="14" t="s">
        <v>44</v>
      </c>
      <c r="B64" s="15" t="s">
        <v>10</v>
      </c>
      <c r="C64" s="16"/>
      <c r="D64" s="17" t="s">
        <v>41</v>
      </c>
    </row>
    <row r="65" spans="1:4">
      <c r="A65" s="18"/>
      <c r="B65" s="19" t="s">
        <v>11</v>
      </c>
      <c r="C65" s="19" t="s">
        <v>45</v>
      </c>
      <c r="D65" s="20"/>
    </row>
    <row r="66" spans="1:4">
      <c r="A66" s="19" t="s">
        <v>46</v>
      </c>
      <c r="B66" s="19">
        <f>$G$9+1</f>
        <v>17</v>
      </c>
      <c r="C66" s="19">
        <f>B66*0.514</f>
        <v>8.7379999999999995</v>
      </c>
      <c r="D66" s="19">
        <f t="shared" ref="D66:D72" si="0">C66/(9.8*$G$5)^(1/2)</f>
        <v>0.23384174828309998</v>
      </c>
    </row>
    <row r="67" spans="1:4">
      <c r="A67" s="21" t="s">
        <v>10</v>
      </c>
      <c r="B67" s="21">
        <f>$G$9-0</f>
        <v>16</v>
      </c>
      <c r="C67" s="21">
        <f t="shared" ref="C67:C72" si="1">B67*0.514</f>
        <v>8.2240000000000002</v>
      </c>
      <c r="D67" s="21">
        <f t="shared" si="0"/>
        <v>0.22008635132527057</v>
      </c>
    </row>
    <row r="68" spans="1:4">
      <c r="A68" s="19" t="s">
        <v>47</v>
      </c>
      <c r="B68" s="19">
        <f>$G$9-1</f>
        <v>15</v>
      </c>
      <c r="C68" s="19">
        <f t="shared" si="1"/>
        <v>7.71</v>
      </c>
      <c r="D68" s="19">
        <f t="shared" si="0"/>
        <v>0.20633095436744117</v>
      </c>
    </row>
    <row r="69" spans="1:4">
      <c r="A69" s="19" t="s">
        <v>48</v>
      </c>
      <c r="B69" s="19">
        <f>$G$9-2</f>
        <v>14</v>
      </c>
      <c r="C69" s="19">
        <f t="shared" si="1"/>
        <v>7.1959999999999997</v>
      </c>
      <c r="D69" s="19">
        <f t="shared" si="0"/>
        <v>0.19257555740961174</v>
      </c>
    </row>
    <row r="70" spans="1:4">
      <c r="A70" s="19" t="s">
        <v>49</v>
      </c>
      <c r="B70" s="19">
        <f>$G$9-3</f>
        <v>13</v>
      </c>
      <c r="C70" s="19">
        <f t="shared" si="1"/>
        <v>6.6820000000000004</v>
      </c>
      <c r="D70" s="19">
        <f t="shared" si="0"/>
        <v>0.17882016045178237</v>
      </c>
    </row>
    <row r="71" spans="1:4">
      <c r="A71" s="19" t="s">
        <v>50</v>
      </c>
      <c r="B71" s="19">
        <f>$G$9-4</f>
        <v>12</v>
      </c>
      <c r="C71" s="19">
        <f t="shared" si="1"/>
        <v>6.1680000000000001</v>
      </c>
      <c r="D71" s="19">
        <f t="shared" si="0"/>
        <v>0.16506476349395294</v>
      </c>
    </row>
    <row r="72" spans="1:4">
      <c r="A72" s="19" t="s">
        <v>51</v>
      </c>
      <c r="B72" s="19">
        <f>$G$9-5</f>
        <v>11</v>
      </c>
      <c r="C72" s="19">
        <f t="shared" si="1"/>
        <v>5.6539999999999999</v>
      </c>
      <c r="D72" s="19">
        <f t="shared" si="0"/>
        <v>0.15130936653612354</v>
      </c>
    </row>
    <row r="75" spans="1:4">
      <c r="A75" s="1" t="s">
        <v>52</v>
      </c>
    </row>
    <row r="76" spans="1:4">
      <c r="A76" s="22" t="s">
        <v>53</v>
      </c>
      <c r="B76" s="23"/>
      <c r="C76" s="24"/>
    </row>
    <row r="77" spans="1:4">
      <c r="A77" s="25"/>
    </row>
    <row r="79" spans="1:4">
      <c r="A79" s="25" t="s">
        <v>54</v>
      </c>
    </row>
    <row r="80" spans="1:4" ht="31.5" customHeight="1">
      <c r="A80" s="740" t="s">
        <v>44</v>
      </c>
      <c r="B80" s="727" t="s">
        <v>10</v>
      </c>
      <c r="C80" s="729"/>
      <c r="D80" s="818" t="s">
        <v>55</v>
      </c>
    </row>
    <row r="81" spans="1:8">
      <c r="A81" s="817"/>
      <c r="B81" s="19" t="s">
        <v>11</v>
      </c>
      <c r="C81" s="19" t="s">
        <v>45</v>
      </c>
      <c r="D81" s="819"/>
    </row>
    <row r="82" spans="1:8">
      <c r="A82" s="19" t="s">
        <v>46</v>
      </c>
      <c r="B82" s="19">
        <f>$G$9+1</f>
        <v>17</v>
      </c>
      <c r="C82" s="19">
        <f>B82*0.514</f>
        <v>8.7379999999999995</v>
      </c>
      <c r="D82" s="19">
        <f>C82*$G$5/$G$37</f>
        <v>1394166002.2396417</v>
      </c>
    </row>
    <row r="83" spans="1:8">
      <c r="A83" s="19" t="s">
        <v>10</v>
      </c>
      <c r="B83" s="19">
        <f>$G$9-0</f>
        <v>16</v>
      </c>
      <c r="C83" s="19">
        <f t="shared" ref="C83:C88" si="2">B83*0.514</f>
        <v>8.2240000000000002</v>
      </c>
      <c r="D83" s="334">
        <f t="shared" ref="D83:D88" si="3">C83*$G$5/$G$37</f>
        <v>1312156237.4020157</v>
      </c>
    </row>
    <row r="84" spans="1:8">
      <c r="A84" s="19" t="s">
        <v>47</v>
      </c>
      <c r="B84" s="19">
        <f>$G$9-1</f>
        <v>15</v>
      </c>
      <c r="C84" s="19">
        <f t="shared" si="2"/>
        <v>7.71</v>
      </c>
      <c r="D84" s="19">
        <f t="shared" si="3"/>
        <v>1230146472.5643897</v>
      </c>
    </row>
    <row r="85" spans="1:8">
      <c r="A85" s="19" t="s">
        <v>48</v>
      </c>
      <c r="B85" s="19">
        <f>$G$9-2</f>
        <v>14</v>
      </c>
      <c r="C85" s="19">
        <f t="shared" si="2"/>
        <v>7.1959999999999997</v>
      </c>
      <c r="D85" s="19">
        <f t="shared" si="3"/>
        <v>1148136707.7267635</v>
      </c>
    </row>
    <row r="86" spans="1:8">
      <c r="A86" s="19" t="s">
        <v>49</v>
      </c>
      <c r="B86" s="19">
        <f>$G$9-3</f>
        <v>13</v>
      </c>
      <c r="C86" s="19">
        <f t="shared" si="2"/>
        <v>6.6820000000000004</v>
      </c>
      <c r="D86" s="19">
        <f t="shared" si="3"/>
        <v>1066126942.8891377</v>
      </c>
    </row>
    <row r="87" spans="1:8">
      <c r="A87" s="19" t="s">
        <v>50</v>
      </c>
      <c r="B87" s="19">
        <f>$G$9-4</f>
        <v>12</v>
      </c>
      <c r="C87" s="19">
        <f t="shared" si="2"/>
        <v>6.1680000000000001</v>
      </c>
      <c r="D87" s="19">
        <f t="shared" si="3"/>
        <v>984117178.05151176</v>
      </c>
    </row>
    <row r="88" spans="1:8">
      <c r="A88" s="19" t="s">
        <v>51</v>
      </c>
      <c r="B88" s="19">
        <f>$G$9-5</f>
        <v>11</v>
      </c>
      <c r="C88" s="19">
        <f t="shared" si="2"/>
        <v>5.6539999999999999</v>
      </c>
      <c r="D88" s="19">
        <f t="shared" si="3"/>
        <v>902107413.21388578</v>
      </c>
    </row>
    <row r="92" spans="1:8">
      <c r="A92" s="662" t="s">
        <v>56</v>
      </c>
      <c r="B92" s="662"/>
      <c r="C92" s="662"/>
      <c r="D92" s="662"/>
      <c r="E92" s="662"/>
      <c r="F92" s="662"/>
      <c r="G92" s="662"/>
      <c r="H92" s="662"/>
    </row>
    <row r="97" spans="1:2">
      <c r="A97" s="1" t="s">
        <v>57</v>
      </c>
    </row>
    <row r="101" spans="1:2">
      <c r="A101" s="10" t="s">
        <v>58</v>
      </c>
      <c r="B101" s="1">
        <f>G5*(1-G12+(0.06*G12*G33)/(4*G12-1))</f>
        <v>44.240857640909098</v>
      </c>
    </row>
    <row r="103" spans="1:2">
      <c r="A103" s="1" t="s">
        <v>59</v>
      </c>
    </row>
    <row r="104" spans="1:2">
      <c r="A104" s="10" t="s">
        <v>60</v>
      </c>
      <c r="B104" s="1">
        <v>-8</v>
      </c>
    </row>
    <row r="105" spans="1:2">
      <c r="A105" s="10"/>
    </row>
    <row r="106" spans="1:2">
      <c r="A106" s="10" t="s">
        <v>61</v>
      </c>
      <c r="B106" s="1" t="s">
        <v>62</v>
      </c>
    </row>
    <row r="107" spans="1:2">
      <c r="A107" s="10" t="s">
        <v>63</v>
      </c>
      <c r="B107" s="1">
        <f>1+(0.011*B104)</f>
        <v>0.91200000000000003</v>
      </c>
    </row>
    <row r="109" spans="1:2">
      <c r="A109" s="1" t="s">
        <v>64</v>
      </c>
    </row>
    <row r="114" spans="1:8">
      <c r="A114" s="10" t="s">
        <v>65</v>
      </c>
      <c r="B114" s="26">
        <f>0.93+(0.487118*B107*(G6/G5)^(1.06806)*(G8/G5)^(0.46106)*(G5/B101)^(0.121563)*(G5^3/G13)^(0.36486)/(1-G12)^0.604247)</f>
        <v>1.1941773599454986</v>
      </c>
    </row>
    <row r="115" spans="1:8" ht="16.2" customHeight="1"/>
    <row r="116" spans="1:8" ht="16.2" customHeight="1">
      <c r="A116" s="662" t="s">
        <v>66</v>
      </c>
      <c r="B116" s="662"/>
      <c r="C116" s="662"/>
      <c r="D116" s="662"/>
      <c r="E116" s="662"/>
      <c r="F116" s="662"/>
      <c r="G116" s="662"/>
      <c r="H116" s="662"/>
    </row>
    <row r="118" spans="1:8">
      <c r="A118" s="10" t="s">
        <v>67</v>
      </c>
      <c r="B118" s="1" t="s">
        <v>68</v>
      </c>
    </row>
    <row r="119" spans="1:8">
      <c r="A119" s="10" t="s">
        <v>63</v>
      </c>
      <c r="B119" s="1">
        <f>(G4*G10)/G5</f>
        <v>0.65384615384615397</v>
      </c>
    </row>
    <row r="121" spans="1:8" ht="15.6" customHeight="1">
      <c r="A121" s="10" t="s">
        <v>69</v>
      </c>
      <c r="B121" s="1" t="s">
        <v>70</v>
      </c>
      <c r="D121" s="1">
        <f>G22/G5/G6</f>
        <v>6.855666760247052E-2</v>
      </c>
    </row>
    <row r="122" spans="1:8">
      <c r="A122" s="10" t="s">
        <v>63</v>
      </c>
      <c r="B122" s="1">
        <f>0.248+(0.778*B119)</f>
        <v>0.75669230769230778</v>
      </c>
    </row>
    <row r="123" spans="1:8">
      <c r="G123" s="820" t="s">
        <v>71</v>
      </c>
      <c r="H123" s="820"/>
    </row>
    <row r="124" spans="1:8">
      <c r="G124" s="820"/>
      <c r="H124" s="820"/>
    </row>
    <row r="125" spans="1:8">
      <c r="A125" s="10" t="s">
        <v>72</v>
      </c>
      <c r="B125" s="1">
        <f>G5*(2*G8+G6)*(G11^0.5)*(0.453+0.4425*G10-0.2862*G11-0.003467*G6/G8+0.3696*B122)+2.38*(0/G10)</f>
        <v>4581.0357197290095</v>
      </c>
      <c r="G125" s="820"/>
      <c r="H125" s="820"/>
    </row>
    <row r="127" spans="1:8">
      <c r="A127" s="662" t="s">
        <v>73</v>
      </c>
      <c r="B127" s="662"/>
      <c r="C127" s="662"/>
      <c r="D127" s="662"/>
      <c r="E127" s="662"/>
      <c r="F127" s="662"/>
      <c r="G127" s="662"/>
      <c r="H127" s="662"/>
    </row>
    <row r="129" spans="1:5">
      <c r="A129" s="1" t="s">
        <v>74</v>
      </c>
    </row>
    <row r="132" spans="1:5">
      <c r="A132" s="10" t="s">
        <v>75</v>
      </c>
      <c r="B132" s="27">
        <f>(2*G5*G8/100)*(1+25*(G6/G5)^2)</f>
        <v>47.951689441156645</v>
      </c>
    </row>
    <row r="134" spans="1:5" ht="16.2">
      <c r="A134" s="1" t="s">
        <v>76</v>
      </c>
    </row>
    <row r="135" spans="1:5">
      <c r="A135" s="1" t="s">
        <v>77</v>
      </c>
      <c r="C135" s="28">
        <v>1.5</v>
      </c>
    </row>
    <row r="137" spans="1:5">
      <c r="A137" s="1" t="s">
        <v>78</v>
      </c>
    </row>
    <row r="140" spans="1:5">
      <c r="A140" s="740" t="s">
        <v>44</v>
      </c>
      <c r="B140" s="687" t="s">
        <v>79</v>
      </c>
      <c r="C140" s="688"/>
      <c r="D140" s="703" t="s">
        <v>80</v>
      </c>
      <c r="E140" s="821" t="s">
        <v>81</v>
      </c>
    </row>
    <row r="141" spans="1:5">
      <c r="A141" s="817"/>
      <c r="B141" s="19" t="s">
        <v>11</v>
      </c>
      <c r="C141" s="19" t="s">
        <v>45</v>
      </c>
      <c r="D141" s="703"/>
      <c r="E141" s="821"/>
    </row>
    <row r="142" spans="1:5">
      <c r="A142" s="19" t="s">
        <v>46</v>
      </c>
      <c r="B142" s="19">
        <f>$G$9+1</f>
        <v>17</v>
      </c>
      <c r="C142" s="19">
        <f>B142*0.514</f>
        <v>8.7379999999999995</v>
      </c>
      <c r="D142" s="29">
        <f t="shared" ref="D142:D148" si="4">0.075/(LOG10(D82)-2)^2</f>
        <v>1.4694003402913943E-3</v>
      </c>
      <c r="E142" s="30">
        <f>0.5*1.025*(C142^2)*$B$132*($C$135)*D142</f>
        <v>4.1357402876169944</v>
      </c>
    </row>
    <row r="143" spans="1:5">
      <c r="A143" s="21" t="s">
        <v>10</v>
      </c>
      <c r="B143" s="21">
        <f>$G$9-0</f>
        <v>16</v>
      </c>
      <c r="C143" s="21">
        <f t="shared" ref="C143:C148" si="5">B143*0.514</f>
        <v>8.2240000000000002</v>
      </c>
      <c r="D143" s="31">
        <f t="shared" si="4"/>
        <v>1.4802908662457982E-3</v>
      </c>
      <c r="E143" s="32">
        <f t="shared" ref="E143:E148" si="6">0.5*1.025*C143^2*$B$132*($C$135)*D143</f>
        <v>3.6906452689419931</v>
      </c>
    </row>
    <row r="144" spans="1:5">
      <c r="A144" s="19" t="s">
        <v>47</v>
      </c>
      <c r="B144" s="19">
        <f>$G$9-1</f>
        <v>15</v>
      </c>
      <c r="C144" s="19">
        <f t="shared" si="5"/>
        <v>7.71</v>
      </c>
      <c r="D144" s="29">
        <f t="shared" si="4"/>
        <v>1.4920180677147508E-3</v>
      </c>
      <c r="E144" s="4">
        <f t="shared" si="6"/>
        <v>3.2694287708778829</v>
      </c>
    </row>
    <row r="145" spans="1:8">
      <c r="A145" s="19" t="s">
        <v>48</v>
      </c>
      <c r="B145" s="19">
        <f>$G$9-2</f>
        <v>14</v>
      </c>
      <c r="C145" s="19">
        <f t="shared" si="5"/>
        <v>7.1959999999999997</v>
      </c>
      <c r="D145" s="29">
        <f t="shared" si="4"/>
        <v>1.5047094497573712E-3</v>
      </c>
      <c r="E145" s="4">
        <f t="shared" si="6"/>
        <v>2.8722616487381152</v>
      </c>
    </row>
    <row r="146" spans="1:8">
      <c r="A146" s="19" t="s">
        <v>49</v>
      </c>
      <c r="B146" s="19">
        <f>$G$9-3</f>
        <v>13</v>
      </c>
      <c r="C146" s="19">
        <f t="shared" si="5"/>
        <v>6.6820000000000004</v>
      </c>
      <c r="D146" s="29">
        <f t="shared" si="4"/>
        <v>1.5185229981948237E-3</v>
      </c>
      <c r="E146" s="4">
        <f t="shared" si="6"/>
        <v>2.4993285951199793</v>
      </c>
    </row>
    <row r="147" spans="1:8">
      <c r="A147" s="19" t="s">
        <v>50</v>
      </c>
      <c r="B147" s="19">
        <f>$G$9-4</f>
        <v>12</v>
      </c>
      <c r="C147" s="19">
        <f t="shared" si="5"/>
        <v>6.1680000000000001</v>
      </c>
      <c r="D147" s="29">
        <f t="shared" si="4"/>
        <v>1.5336575340351055E-3</v>
      </c>
      <c r="E147" s="4">
        <f t="shared" si="6"/>
        <v>2.1508303900380397</v>
      </c>
    </row>
    <row r="148" spans="1:8">
      <c r="A148" s="19" t="s">
        <v>51</v>
      </c>
      <c r="B148" s="19">
        <f>$G$9-5</f>
        <v>11</v>
      </c>
      <c r="C148" s="19">
        <f t="shared" si="5"/>
        <v>5.6539999999999999</v>
      </c>
      <c r="D148" s="29">
        <f t="shared" si="4"/>
        <v>1.5503678115420048E-3</v>
      </c>
      <c r="E148" s="4">
        <f t="shared" si="6"/>
        <v>1.8269867304629435</v>
      </c>
    </row>
    <row r="150" spans="1:8">
      <c r="A150" s="662" t="s">
        <v>82</v>
      </c>
      <c r="B150" s="662"/>
      <c r="C150" s="662"/>
      <c r="D150" s="662"/>
      <c r="E150" s="662"/>
      <c r="F150" s="662"/>
      <c r="G150" s="662"/>
      <c r="H150" s="662"/>
    </row>
    <row r="152" spans="1:8">
      <c r="A152" s="1" t="s">
        <v>83</v>
      </c>
    </row>
    <row r="153" spans="1:8">
      <c r="A153" s="10" t="s">
        <v>84</v>
      </c>
      <c r="B153" s="1" t="s">
        <v>85</v>
      </c>
    </row>
    <row r="154" spans="1:8">
      <c r="A154" s="10" t="s">
        <v>63</v>
      </c>
      <c r="B154" s="1">
        <f>G6/G5</f>
        <v>0.16633913531723751</v>
      </c>
    </row>
    <row r="156" spans="1:8">
      <c r="A156" s="1" t="s">
        <v>86</v>
      </c>
    </row>
    <row r="158" spans="1:8">
      <c r="D158" s="1" t="s">
        <v>87</v>
      </c>
      <c r="E158" s="1">
        <v>25.525099999999998</v>
      </c>
    </row>
    <row r="167" spans="1:2">
      <c r="A167" s="10" t="s">
        <v>88</v>
      </c>
      <c r="B167" s="1">
        <f>0.5*E158</f>
        <v>12.762549999999999</v>
      </c>
    </row>
    <row r="170" spans="1:2">
      <c r="A170" s="1" t="s">
        <v>89</v>
      </c>
    </row>
    <row r="173" spans="1:2">
      <c r="A173" s="10" t="s">
        <v>90</v>
      </c>
      <c r="B173" s="1">
        <f>2223105*(B154^3.78613)*((G8/G6)^1.07961)*((90-B167)^-1.37565)</f>
        <v>2.4744546033973673</v>
      </c>
    </row>
    <row r="175" spans="1:2">
      <c r="A175" s="1" t="s">
        <v>91</v>
      </c>
    </row>
    <row r="176" spans="1:2">
      <c r="A176" s="33" t="s">
        <v>92</v>
      </c>
    </row>
    <row r="177" spans="1:2">
      <c r="A177" s="10" t="s">
        <v>93</v>
      </c>
      <c r="B177" s="33">
        <v>0</v>
      </c>
    </row>
    <row r="178" spans="1:2">
      <c r="A178" s="33"/>
    </row>
    <row r="179" spans="1:2">
      <c r="A179" s="1" t="s">
        <v>94</v>
      </c>
    </row>
    <row r="181" spans="1:2">
      <c r="A181" s="10" t="s">
        <v>95</v>
      </c>
      <c r="B181" s="33">
        <f>EXP(-1.89*(0^0.5))</f>
        <v>1</v>
      </c>
    </row>
    <row r="183" spans="1:2">
      <c r="A183" s="1" t="s">
        <v>96</v>
      </c>
    </row>
    <row r="185" spans="1:2">
      <c r="A185" s="1" t="s">
        <v>97</v>
      </c>
    </row>
    <row r="186" spans="1:2">
      <c r="A186" s="10" t="s">
        <v>98</v>
      </c>
      <c r="B186" s="33">
        <f>1-0.8*0*(G6*G8*G11)</f>
        <v>1</v>
      </c>
    </row>
    <row r="188" spans="1:2">
      <c r="A188" s="1" t="s">
        <v>99</v>
      </c>
    </row>
    <row r="190" spans="1:2">
      <c r="A190" s="10" t="s">
        <v>100</v>
      </c>
      <c r="B190" s="1">
        <f>(8.07981*G12)-(13.8673*(G12^2))+(6.984388*(G12^3))</f>
        <v>1.2672816874920008</v>
      </c>
    </row>
    <row r="192" spans="1:2">
      <c r="A192" s="1" t="s">
        <v>101</v>
      </c>
    </row>
    <row r="194" spans="1:7">
      <c r="F194" s="10" t="s">
        <v>102</v>
      </c>
      <c r="G194" s="1">
        <f>(0.0140407*G5/G8)-(1.75254*(G13^(1/3))/G5)-(4.79323*G6/G5)-B190</f>
        <v>-2.2102057038835747</v>
      </c>
    </row>
    <row r="197" spans="1:7">
      <c r="A197" s="1" t="s">
        <v>103</v>
      </c>
    </row>
    <row r="198" spans="1:7">
      <c r="B198" s="1">
        <f>(G5^3)/G13</f>
        <v>129.11943107256704</v>
      </c>
    </row>
    <row r="199" spans="1:7" ht="16.2" customHeight="1"/>
    <row r="200" spans="1:7">
      <c r="A200" s="10" t="s">
        <v>104</v>
      </c>
      <c r="B200" s="33">
        <v>-1.6938500000000001</v>
      </c>
    </row>
    <row r="201" spans="1:7">
      <c r="A201" s="34" t="s">
        <v>105</v>
      </c>
      <c r="B201" s="35"/>
      <c r="C201" s="34"/>
    </row>
    <row r="203" spans="1:7">
      <c r="A203" s="1" t="s">
        <v>106</v>
      </c>
    </row>
    <row r="206" spans="1:7" ht="21" customHeight="1">
      <c r="A206" s="740" t="s">
        <v>44</v>
      </c>
      <c r="B206" s="727" t="s">
        <v>10</v>
      </c>
      <c r="C206" s="729"/>
      <c r="D206" s="818" t="s">
        <v>41</v>
      </c>
      <c r="E206" s="818" t="s">
        <v>107</v>
      </c>
    </row>
    <row r="207" spans="1:7">
      <c r="A207" s="817"/>
      <c r="B207" s="19" t="s">
        <v>11</v>
      </c>
      <c r="C207" s="19" t="s">
        <v>45</v>
      </c>
      <c r="D207" s="819"/>
      <c r="E207" s="819"/>
    </row>
    <row r="208" spans="1:7">
      <c r="A208" s="19" t="s">
        <v>1319</v>
      </c>
      <c r="B208" s="19">
        <f>$G$9+4</f>
        <v>20</v>
      </c>
      <c r="C208" s="19">
        <f t="shared" ref="C208:C210" si="7">B208*0.514</f>
        <v>10.280000000000001</v>
      </c>
      <c r="D208" s="19">
        <f t="shared" ref="D208:D210" si="8">C208/(9.8*$G$5)^(1/2)</f>
        <v>0.27510793915658827</v>
      </c>
      <c r="E208" s="4">
        <f t="shared" ref="E208:E210" si="9">$B$200*($G$12^2)*EXP(-0.1*(D208^-2))</f>
        <v>-0.21515427581553159</v>
      </c>
    </row>
    <row r="209" spans="1:5">
      <c r="A209" s="19" t="s">
        <v>1317</v>
      </c>
      <c r="B209" s="19">
        <f>$G$9+3</f>
        <v>19</v>
      </c>
      <c r="C209" s="19">
        <f t="shared" si="7"/>
        <v>9.766</v>
      </c>
      <c r="D209" s="19">
        <f t="shared" si="8"/>
        <v>0.26135254219875881</v>
      </c>
      <c r="E209" s="4">
        <f t="shared" si="9"/>
        <v>-0.18653400154178776</v>
      </c>
    </row>
    <row r="210" spans="1:5">
      <c r="A210" s="19" t="s">
        <v>1318</v>
      </c>
      <c r="B210" s="19">
        <f>$G$9+2</f>
        <v>18</v>
      </c>
      <c r="C210" s="19">
        <f t="shared" si="7"/>
        <v>9.2520000000000007</v>
      </c>
      <c r="D210" s="19">
        <f t="shared" si="8"/>
        <v>0.24759714524092943</v>
      </c>
      <c r="E210" s="4">
        <f t="shared" si="9"/>
        <v>-0.15781543971062548</v>
      </c>
    </row>
    <row r="211" spans="1:5">
      <c r="A211" s="19" t="s">
        <v>46</v>
      </c>
      <c r="B211" s="19">
        <f>$G$9+1</f>
        <v>17</v>
      </c>
      <c r="C211" s="19">
        <f>B211*0.514</f>
        <v>8.7379999999999995</v>
      </c>
      <c r="D211" s="19">
        <f>C211/(9.8*$G$5)^(1/2)</f>
        <v>0.23384174828309998</v>
      </c>
      <c r="E211" s="4">
        <f t="shared" ref="E211:E217" si="10">$B$200*($G$12^2)*EXP(-0.1*(D211^-2))</f>
        <v>-0.12952519033770354</v>
      </c>
    </row>
    <row r="212" spans="1:5">
      <c r="A212" s="19" t="s">
        <v>10</v>
      </c>
      <c r="B212" s="19">
        <f>$G$9-0</f>
        <v>16</v>
      </c>
      <c r="C212" s="19">
        <f t="shared" ref="C212:C217" si="11">B212*0.514</f>
        <v>8.2240000000000002</v>
      </c>
      <c r="D212" s="19">
        <f t="shared" ref="D212:D217" si="12">C212/(9.8*$G$5)^(1/2)</f>
        <v>0.22008635132527057</v>
      </c>
      <c r="E212" s="4">
        <f t="shared" si="10"/>
        <v>-0.10232328168411089</v>
      </c>
    </row>
    <row r="213" spans="1:5">
      <c r="A213" s="19" t="s">
        <v>47</v>
      </c>
      <c r="B213" s="19">
        <f>$G$9-1</f>
        <v>15</v>
      </c>
      <c r="C213" s="19">
        <f t="shared" si="11"/>
        <v>7.71</v>
      </c>
      <c r="D213" s="19">
        <f t="shared" si="12"/>
        <v>0.20633095436744117</v>
      </c>
      <c r="E213" s="4">
        <f t="shared" si="10"/>
        <v>-7.6991554437865456E-2</v>
      </c>
    </row>
    <row r="214" spans="1:5">
      <c r="A214" s="19" t="s">
        <v>48</v>
      </c>
      <c r="B214" s="19">
        <f>$G$9-2</f>
        <v>14</v>
      </c>
      <c r="C214" s="19">
        <f t="shared" si="11"/>
        <v>7.1959999999999997</v>
      </c>
      <c r="D214" s="19">
        <f t="shared" si="12"/>
        <v>0.19257555740961174</v>
      </c>
      <c r="E214" s="4">
        <f t="shared" si="10"/>
        <v>-5.4388299417664702E-2</v>
      </c>
    </row>
    <row r="215" spans="1:5">
      <c r="A215" s="19" t="s">
        <v>49</v>
      </c>
      <c r="B215" s="19">
        <f>$G$9-3</f>
        <v>13</v>
      </c>
      <c r="C215" s="19">
        <f t="shared" si="11"/>
        <v>6.6820000000000004</v>
      </c>
      <c r="D215" s="19">
        <f t="shared" si="12"/>
        <v>0.17882016045178237</v>
      </c>
      <c r="E215" s="4">
        <f t="shared" si="10"/>
        <v>-3.535182441417576E-2</v>
      </c>
    </row>
    <row r="216" spans="1:5">
      <c r="A216" s="19" t="s">
        <v>50</v>
      </c>
      <c r="B216" s="19">
        <f>$G$9-4</f>
        <v>12</v>
      </c>
      <c r="C216" s="19">
        <f t="shared" si="11"/>
        <v>6.1680000000000001</v>
      </c>
      <c r="D216" s="19">
        <f t="shared" si="12"/>
        <v>0.16506476349395294</v>
      </c>
      <c r="E216" s="4">
        <f t="shared" si="10"/>
        <v>-2.0540922282203611E-2</v>
      </c>
    </row>
    <row r="217" spans="1:5">
      <c r="A217" s="19" t="s">
        <v>51</v>
      </c>
      <c r="B217" s="19">
        <f>$G$9-5</f>
        <v>11</v>
      </c>
      <c r="C217" s="19">
        <f t="shared" si="11"/>
        <v>5.6539999999999999</v>
      </c>
      <c r="D217" s="19">
        <f t="shared" si="12"/>
        <v>0.15130936653612354</v>
      </c>
      <c r="E217" s="4">
        <f t="shared" si="10"/>
        <v>-1.0224382811208353E-2</v>
      </c>
    </row>
    <row r="219" spans="1:5">
      <c r="A219" s="1" t="s">
        <v>108</v>
      </c>
    </row>
    <row r="222" spans="1:5">
      <c r="A222" s="10" t="s">
        <v>109</v>
      </c>
      <c r="B222" s="1">
        <f>1.446*G12-(0.03*G5/G6)</f>
        <v>0.81738556962025299</v>
      </c>
    </row>
    <row r="223" spans="1:5">
      <c r="A223" s="10"/>
    </row>
    <row r="224" spans="1:5">
      <c r="A224" s="1" t="s">
        <v>110</v>
      </c>
    </row>
    <row r="225" spans="1:8">
      <c r="F225" s="1" t="s">
        <v>111</v>
      </c>
    </row>
    <row r="227" spans="1:8">
      <c r="A227" s="740" t="s">
        <v>44</v>
      </c>
      <c r="B227" s="727" t="s">
        <v>10</v>
      </c>
      <c r="C227" s="729"/>
      <c r="D227" s="818" t="s">
        <v>112</v>
      </c>
    </row>
    <row r="228" spans="1:8">
      <c r="A228" s="817"/>
      <c r="B228" s="19" t="s">
        <v>11</v>
      </c>
      <c r="C228" s="19" t="s">
        <v>45</v>
      </c>
      <c r="D228" s="819"/>
    </row>
    <row r="229" spans="1:8">
      <c r="A229" s="19" t="s">
        <v>46</v>
      </c>
      <c r="B229" s="19">
        <f>$G$9+1</f>
        <v>17</v>
      </c>
      <c r="C229" s="19">
        <f>B229*0.514</f>
        <v>8.7379999999999995</v>
      </c>
      <c r="D229" s="4">
        <f t="shared" ref="D229:D235" si="13">$B$173*$B$181*$B$186*$G$13*1.025*9.8*EXP(($G$194*(D211^(-0.9))+(E211*COS($B$222*D211^(-2)))))</f>
        <v>172.50865529612051</v>
      </c>
    </row>
    <row r="230" spans="1:8">
      <c r="A230" s="21" t="s">
        <v>10</v>
      </c>
      <c r="B230" s="21">
        <f>$G$9-0</f>
        <v>16</v>
      </c>
      <c r="C230" s="21">
        <f t="shared" ref="C230:C235" si="14">B230*0.514</f>
        <v>8.2240000000000002</v>
      </c>
      <c r="D230" s="32">
        <f t="shared" si="13"/>
        <v>103.38118602542848</v>
      </c>
    </row>
    <row r="231" spans="1:8">
      <c r="A231" s="19" t="s">
        <v>47</v>
      </c>
      <c r="B231" s="19">
        <f>$G$9-1</f>
        <v>15</v>
      </c>
      <c r="C231" s="19">
        <f t="shared" si="14"/>
        <v>7.71</v>
      </c>
      <c r="D231" s="4">
        <f t="shared" si="13"/>
        <v>55.129018025528239</v>
      </c>
    </row>
    <row r="232" spans="1:8">
      <c r="A232" s="19" t="s">
        <v>48</v>
      </c>
      <c r="B232" s="19">
        <f>$G$9-2</f>
        <v>14</v>
      </c>
      <c r="C232" s="19">
        <f t="shared" si="14"/>
        <v>7.1959999999999997</v>
      </c>
      <c r="D232" s="4">
        <f t="shared" si="13"/>
        <v>34.822958869769508</v>
      </c>
    </row>
    <row r="233" spans="1:8">
      <c r="A233" s="19" t="s">
        <v>49</v>
      </c>
      <c r="B233" s="19">
        <f>$G$9-3</f>
        <v>13</v>
      </c>
      <c r="C233" s="19">
        <f t="shared" si="14"/>
        <v>6.6820000000000004</v>
      </c>
      <c r="D233" s="4">
        <f t="shared" si="13"/>
        <v>16.320775435330258</v>
      </c>
    </row>
    <row r="234" spans="1:8">
      <c r="A234" s="19" t="s">
        <v>50</v>
      </c>
      <c r="B234" s="19">
        <f>$G$9-4</f>
        <v>12</v>
      </c>
      <c r="C234" s="19">
        <f t="shared" si="14"/>
        <v>6.1680000000000001</v>
      </c>
      <c r="D234" s="4">
        <f t="shared" si="13"/>
        <v>7.7227690459622202</v>
      </c>
    </row>
    <row r="235" spans="1:8">
      <c r="A235" s="19" t="s">
        <v>51</v>
      </c>
      <c r="B235" s="19">
        <f>$G$9-5</f>
        <v>11</v>
      </c>
      <c r="C235" s="19">
        <f t="shared" si="14"/>
        <v>5.6539999999999999</v>
      </c>
      <c r="D235" s="4">
        <f t="shared" si="13"/>
        <v>3.1287934678546669</v>
      </c>
    </row>
    <row r="237" spans="1:8">
      <c r="A237" s="664" t="s">
        <v>113</v>
      </c>
      <c r="B237" s="664"/>
      <c r="C237" s="664"/>
      <c r="D237" s="664"/>
      <c r="E237" s="664"/>
      <c r="F237" s="664"/>
      <c r="G237" s="664"/>
      <c r="H237" s="664"/>
    </row>
    <row r="239" spans="1:8">
      <c r="A239" s="1" t="s">
        <v>114</v>
      </c>
    </row>
    <row r="241" spans="1:8">
      <c r="A241" s="664" t="s">
        <v>115</v>
      </c>
      <c r="B241" s="664"/>
      <c r="C241" s="664"/>
      <c r="D241" s="664"/>
      <c r="E241" s="664"/>
      <c r="F241" s="664"/>
      <c r="G241" s="664"/>
      <c r="H241" s="664"/>
    </row>
    <row r="243" spans="1:8">
      <c r="A243" s="1" t="s">
        <v>116</v>
      </c>
    </row>
    <row r="245" spans="1:8">
      <c r="A245" s="664" t="s">
        <v>117</v>
      </c>
      <c r="B245" s="664"/>
      <c r="C245" s="664"/>
      <c r="D245" s="664"/>
      <c r="E245" s="664"/>
      <c r="F245" s="664"/>
      <c r="G245" s="664"/>
      <c r="H245" s="664"/>
    </row>
    <row r="247" spans="1:8">
      <c r="A247" s="1" t="s">
        <v>118</v>
      </c>
    </row>
    <row r="248" spans="1:8">
      <c r="A248" s="10" t="s">
        <v>119</v>
      </c>
      <c r="B248" s="1">
        <f>G8/G6</f>
        <v>0.41970464135021096</v>
      </c>
    </row>
    <row r="249" spans="1:8">
      <c r="A249" s="1" t="s">
        <v>120</v>
      </c>
    </row>
    <row r="250" spans="1:8">
      <c r="A250" s="10" t="s">
        <v>121</v>
      </c>
      <c r="B250" s="33">
        <v>0.04</v>
      </c>
    </row>
    <row r="252" spans="1:8">
      <c r="A252" s="1" t="s">
        <v>122</v>
      </c>
    </row>
    <row r="255" spans="1:8">
      <c r="A255" s="10" t="s">
        <v>123</v>
      </c>
      <c r="B255" s="1">
        <f>0.006*((G5+100)^(-0.16))-0.00205+(0.003*((G5/7.5)^0.5)*(G19^4)*B181*(0.04-B250))</f>
        <v>4.4231598336030766E-4</v>
      </c>
    </row>
    <row r="257" spans="1:8">
      <c r="A257" s="1" t="s">
        <v>124</v>
      </c>
    </row>
    <row r="260" spans="1:8">
      <c r="A260" s="740" t="s">
        <v>44</v>
      </c>
      <c r="B260" s="727" t="s">
        <v>10</v>
      </c>
      <c r="C260" s="729"/>
      <c r="D260" s="818" t="s">
        <v>125</v>
      </c>
    </row>
    <row r="261" spans="1:8">
      <c r="A261" s="817"/>
      <c r="B261" s="19" t="s">
        <v>11</v>
      </c>
      <c r="C261" s="19" t="s">
        <v>45</v>
      </c>
      <c r="D261" s="819"/>
    </row>
    <row r="262" spans="1:8">
      <c r="A262" s="19" t="s">
        <v>46</v>
      </c>
      <c r="B262" s="19">
        <f>$G$9+1</f>
        <v>17</v>
      </c>
      <c r="C262" s="19">
        <f>B262*0.514</f>
        <v>8.7379999999999995</v>
      </c>
      <c r="D262" s="4">
        <f t="shared" ref="D262:D268" si="15">0.5*1.025*(C262^2)*$B$125*$B$255</f>
        <v>79.289241214534385</v>
      </c>
    </row>
    <row r="263" spans="1:8">
      <c r="A263" s="19" t="s">
        <v>10</v>
      </c>
      <c r="B263" s="19">
        <f>$G$9-0</f>
        <v>16</v>
      </c>
      <c r="C263" s="19">
        <f t="shared" ref="C263:C268" si="16">B263*0.514</f>
        <v>8.2240000000000002</v>
      </c>
      <c r="D263" s="4">
        <f t="shared" si="15"/>
        <v>70.235452425331488</v>
      </c>
    </row>
    <row r="264" spans="1:8">
      <c r="A264" s="19" t="s">
        <v>47</v>
      </c>
      <c r="B264" s="19">
        <f>$G$9-1</f>
        <v>15</v>
      </c>
      <c r="C264" s="19">
        <f t="shared" si="16"/>
        <v>7.71</v>
      </c>
      <c r="D264" s="4">
        <f t="shared" si="15"/>
        <v>61.730378108201506</v>
      </c>
    </row>
    <row r="265" spans="1:8">
      <c r="A265" s="19" t="s">
        <v>48</v>
      </c>
      <c r="B265" s="19">
        <f>$G$9-2</f>
        <v>14</v>
      </c>
      <c r="C265" s="19">
        <f t="shared" si="16"/>
        <v>7.1959999999999997</v>
      </c>
      <c r="D265" s="4">
        <f t="shared" si="15"/>
        <v>53.77401826314442</v>
      </c>
    </row>
    <row r="266" spans="1:8">
      <c r="A266" s="19" t="s">
        <v>49</v>
      </c>
      <c r="B266" s="19">
        <f>$G$9-3</f>
        <v>13</v>
      </c>
      <c r="C266" s="19">
        <f t="shared" si="16"/>
        <v>6.6820000000000004</v>
      </c>
      <c r="D266" s="4">
        <f t="shared" si="15"/>
        <v>46.366372890160243</v>
      </c>
    </row>
    <row r="267" spans="1:8">
      <c r="A267" s="19" t="s">
        <v>50</v>
      </c>
      <c r="B267" s="19">
        <f>$G$9-4</f>
        <v>12</v>
      </c>
      <c r="C267" s="19">
        <f t="shared" si="16"/>
        <v>6.1680000000000001</v>
      </c>
      <c r="D267" s="4">
        <f t="shared" si="15"/>
        <v>39.507441989248967</v>
      </c>
    </row>
    <row r="268" spans="1:8">
      <c r="A268" s="19" t="s">
        <v>51</v>
      </c>
      <c r="B268" s="19">
        <f>$G$9-5</f>
        <v>11</v>
      </c>
      <c r="C268" s="19">
        <f t="shared" si="16"/>
        <v>5.6539999999999999</v>
      </c>
      <c r="D268" s="4">
        <f t="shared" si="15"/>
        <v>33.197225560410587</v>
      </c>
    </row>
    <row r="270" spans="1:8">
      <c r="A270" s="822" t="s">
        <v>126</v>
      </c>
      <c r="B270" s="822"/>
      <c r="C270" s="822"/>
      <c r="D270" s="822"/>
      <c r="E270" s="822"/>
      <c r="F270" s="822"/>
      <c r="G270" s="822"/>
      <c r="H270" s="822"/>
    </row>
    <row r="273" spans="1:8">
      <c r="A273" s="25"/>
    </row>
    <row r="274" spans="1:8">
      <c r="E274" s="25"/>
    </row>
    <row r="275" spans="1:8">
      <c r="A275" s="740" t="s">
        <v>44</v>
      </c>
      <c r="B275" s="687" t="s">
        <v>10</v>
      </c>
      <c r="C275" s="688"/>
      <c r="D275" s="740" t="s">
        <v>80</v>
      </c>
      <c r="E275" s="740" t="s">
        <v>127</v>
      </c>
    </row>
    <row r="276" spans="1:8">
      <c r="A276" s="817"/>
      <c r="B276" s="19" t="s">
        <v>11</v>
      </c>
      <c r="C276" s="19" t="s">
        <v>45</v>
      </c>
      <c r="D276" s="817"/>
      <c r="E276" s="817"/>
    </row>
    <row r="277" spans="1:8">
      <c r="A277" s="19" t="s">
        <v>46</v>
      </c>
      <c r="B277" s="19">
        <f>$G$9+1</f>
        <v>17</v>
      </c>
      <c r="C277" s="19">
        <f>B277*0.514</f>
        <v>8.7379999999999995</v>
      </c>
      <c r="D277" s="19">
        <f t="shared" ref="D277:D283" si="17">0.075/(LOG10(D82)-2)^2</f>
        <v>1.4694003402913943E-3</v>
      </c>
      <c r="E277" s="19">
        <f>1/2*1.025*D277*$B$125*(C277^2)</f>
        <v>263.40363542137004</v>
      </c>
    </row>
    <row r="278" spans="1:8">
      <c r="A278" s="19" t="s">
        <v>10</v>
      </c>
      <c r="B278" s="19">
        <f>$G$9-0</f>
        <v>16</v>
      </c>
      <c r="C278" s="19">
        <f t="shared" ref="C278:C283" si="18">B278*0.514</f>
        <v>8.2240000000000002</v>
      </c>
      <c r="D278" s="19">
        <f t="shared" si="17"/>
        <v>1.4802908662457982E-3</v>
      </c>
      <c r="E278" s="19">
        <f t="shared" ref="E278:E283" si="19">1/2*1.025*D278*$B$125*C278^2</f>
        <v>235.05571271017604</v>
      </c>
    </row>
    <row r="279" spans="1:8">
      <c r="A279" s="19" t="s">
        <v>47</v>
      </c>
      <c r="B279" s="19">
        <f>$G$9-1</f>
        <v>15</v>
      </c>
      <c r="C279" s="19">
        <f t="shared" si="18"/>
        <v>7.71</v>
      </c>
      <c r="D279" s="19">
        <f t="shared" si="17"/>
        <v>1.4920180677147508E-3</v>
      </c>
      <c r="E279" s="19">
        <f t="shared" si="19"/>
        <v>208.22860337215849</v>
      </c>
    </row>
    <row r="280" spans="1:8">
      <c r="A280" s="19" t="s">
        <v>48</v>
      </c>
      <c r="B280" s="19">
        <f>$G$9-2</f>
        <v>14</v>
      </c>
      <c r="C280" s="19">
        <f t="shared" si="18"/>
        <v>7.1959999999999997</v>
      </c>
      <c r="D280" s="19">
        <f t="shared" si="17"/>
        <v>1.5047094497573712E-3</v>
      </c>
      <c r="E280" s="19">
        <f t="shared" si="19"/>
        <v>182.933189113509</v>
      </c>
    </row>
    <row r="281" spans="1:8">
      <c r="A281" s="19" t="s">
        <v>49</v>
      </c>
      <c r="B281" s="19">
        <f>$G$9-3</f>
        <v>13</v>
      </c>
      <c r="C281" s="19">
        <f t="shared" si="18"/>
        <v>6.6820000000000004</v>
      </c>
      <c r="D281" s="19">
        <f t="shared" si="17"/>
        <v>1.5185229981948237E-3</v>
      </c>
      <c r="E281" s="19">
        <f t="shared" si="19"/>
        <v>159.18123293146093</v>
      </c>
    </row>
    <row r="282" spans="1:8">
      <c r="A282" s="19" t="s">
        <v>50</v>
      </c>
      <c r="B282" s="19">
        <f>$G$9-4</f>
        <v>12</v>
      </c>
      <c r="C282" s="19">
        <f t="shared" si="18"/>
        <v>6.1680000000000001</v>
      </c>
      <c r="D282" s="19">
        <f t="shared" si="17"/>
        <v>1.5336575340351055E-3</v>
      </c>
      <c r="E282" s="19">
        <f t="shared" si="19"/>
        <v>136.98552242438322</v>
      </c>
    </row>
    <row r="283" spans="1:8">
      <c r="A283" s="19" t="s">
        <v>51</v>
      </c>
      <c r="B283" s="19">
        <f>$G$9-5</f>
        <v>11</v>
      </c>
      <c r="C283" s="19">
        <f t="shared" si="18"/>
        <v>5.6539999999999999</v>
      </c>
      <c r="D283" s="19">
        <f t="shared" si="17"/>
        <v>1.5503678115420048E-3</v>
      </c>
      <c r="E283" s="19">
        <f t="shared" si="19"/>
        <v>116.36005000396888</v>
      </c>
    </row>
    <row r="285" spans="1:8">
      <c r="A285" s="822" t="s">
        <v>128</v>
      </c>
      <c r="B285" s="822"/>
      <c r="C285" s="822"/>
      <c r="D285" s="822"/>
      <c r="E285" s="822"/>
      <c r="F285" s="822"/>
      <c r="G285" s="822"/>
      <c r="H285" s="822"/>
    </row>
    <row r="289" spans="1:11">
      <c r="A289" s="740" t="s">
        <v>44</v>
      </c>
      <c r="B289" s="687" t="s">
        <v>10</v>
      </c>
      <c r="C289" s="688"/>
      <c r="D289" s="727" t="s">
        <v>129</v>
      </c>
      <c r="E289" s="729"/>
    </row>
    <row r="290" spans="1:11">
      <c r="A290" s="817"/>
      <c r="B290" s="19" t="s">
        <v>11</v>
      </c>
      <c r="C290" s="19" t="s">
        <v>45</v>
      </c>
      <c r="D290" s="19" t="s">
        <v>130</v>
      </c>
      <c r="E290" s="19" t="s">
        <v>131</v>
      </c>
      <c r="G290" s="19" t="s">
        <v>132</v>
      </c>
      <c r="H290" s="19" t="s">
        <v>133</v>
      </c>
      <c r="I290" s="19" t="s">
        <v>134</v>
      </c>
      <c r="J290" s="19" t="s">
        <v>135</v>
      </c>
    </row>
    <row r="291" spans="1:11">
      <c r="A291" s="19" t="s">
        <v>46</v>
      </c>
      <c r="B291" s="19">
        <f>$G$9+1</f>
        <v>17</v>
      </c>
      <c r="C291" s="19">
        <f>B291*0.514</f>
        <v>8.7379999999999995</v>
      </c>
      <c r="D291" s="19">
        <f t="shared" ref="D291:D297" si="20">(E277*$B$114)+E142+D229+D262</f>
        <v>570.48429474581019</v>
      </c>
      <c r="E291" s="19">
        <f>(1+20%)*D291</f>
        <v>684.58115369497216</v>
      </c>
      <c r="G291" s="19">
        <f>$G$9+1</f>
        <v>17</v>
      </c>
      <c r="H291" s="36">
        <v>379.47678795516271</v>
      </c>
      <c r="I291" s="36">
        <v>418.24823418070736</v>
      </c>
      <c r="J291" s="37">
        <v>161.76000000000002</v>
      </c>
      <c r="K291" s="1">
        <f>G296</f>
        <v>12</v>
      </c>
    </row>
    <row r="292" spans="1:11">
      <c r="A292" s="38" t="s">
        <v>10</v>
      </c>
      <c r="B292" s="38">
        <f>$G$9-0</f>
        <v>16</v>
      </c>
      <c r="C292" s="38">
        <f t="shared" ref="C292:C297" si="21">B292*0.514</f>
        <v>8.2240000000000002</v>
      </c>
      <c r="D292" s="38">
        <f t="shared" si="20"/>
        <v>458.00549416404749</v>
      </c>
      <c r="E292" s="38">
        <f t="shared" ref="E292:E297" si="22">(1+20%)*D292</f>
        <v>549.60659299685699</v>
      </c>
      <c r="G292" s="38">
        <f>$G$9-0</f>
        <v>16</v>
      </c>
      <c r="H292" s="36">
        <v>296.40153415328922</v>
      </c>
      <c r="I292" s="36">
        <v>344.88853488351793</v>
      </c>
      <c r="J292" s="37">
        <v>201</v>
      </c>
      <c r="K292" s="1">
        <f>G295</f>
        <v>13</v>
      </c>
    </row>
    <row r="293" spans="1:11">
      <c r="A293" s="19" t="s">
        <v>47</v>
      </c>
      <c r="B293" s="19">
        <f>$G$9-1</f>
        <v>15</v>
      </c>
      <c r="C293" s="19">
        <f t="shared" si="21"/>
        <v>7.71</v>
      </c>
      <c r="D293" s="19">
        <f t="shared" si="20"/>
        <v>368.79070874471017</v>
      </c>
      <c r="E293" s="19">
        <f t="shared" si="22"/>
        <v>442.5488504936522</v>
      </c>
      <c r="G293" s="19">
        <f>$G$9-1</f>
        <v>15</v>
      </c>
      <c r="H293" s="36">
        <v>235.29047466297226</v>
      </c>
      <c r="I293" s="36">
        <v>285.31885182873737</v>
      </c>
      <c r="J293" s="37">
        <v>240.23999999999998</v>
      </c>
      <c r="K293" s="1">
        <f>G294</f>
        <v>14</v>
      </c>
    </row>
    <row r="294" spans="1:11">
      <c r="A294" s="19" t="s">
        <v>48</v>
      </c>
      <c r="B294" s="19">
        <f>$G$9-2</f>
        <v>14</v>
      </c>
      <c r="C294" s="19">
        <f t="shared" si="21"/>
        <v>7.1959999999999997</v>
      </c>
      <c r="D294" s="19">
        <f t="shared" si="20"/>
        <v>309.92391160363286</v>
      </c>
      <c r="E294" s="19">
        <f t="shared" si="22"/>
        <v>371.9086939243594</v>
      </c>
      <c r="G294" s="19">
        <f>$G$9-2</f>
        <v>14</v>
      </c>
      <c r="H294" s="36">
        <v>190.67689959259673</v>
      </c>
      <c r="I294" s="36">
        <v>235.47235540271788</v>
      </c>
      <c r="J294" s="37">
        <v>294.95999999999998</v>
      </c>
      <c r="K294" s="1">
        <f>G293</f>
        <v>15</v>
      </c>
    </row>
    <row r="295" spans="1:11">
      <c r="A295" s="19" t="s">
        <v>49</v>
      </c>
      <c r="B295" s="19">
        <f>$G$9-3</f>
        <v>13</v>
      </c>
      <c r="C295" s="19">
        <f t="shared" si="21"/>
        <v>6.6820000000000004</v>
      </c>
      <c r="D295" s="19">
        <f t="shared" si="20"/>
        <v>255.27710141557196</v>
      </c>
      <c r="E295" s="19">
        <f t="shared" si="22"/>
        <v>306.33252169868632</v>
      </c>
      <c r="G295" s="19">
        <f>$G$9-3</f>
        <v>13</v>
      </c>
      <c r="H295" s="36">
        <v>148.80232346826827</v>
      </c>
      <c r="I295" s="36">
        <v>193.55089623269151</v>
      </c>
      <c r="J295" s="39">
        <v>356.28</v>
      </c>
      <c r="K295" s="1">
        <f>G292</f>
        <v>16</v>
      </c>
    </row>
    <row r="296" spans="1:11">
      <c r="A296" s="19" t="s">
        <v>50</v>
      </c>
      <c r="B296" s="19">
        <f>$G$9-4</f>
        <v>12</v>
      </c>
      <c r="C296" s="19">
        <f t="shared" si="21"/>
        <v>6.1680000000000001</v>
      </c>
      <c r="D296" s="19">
        <f t="shared" si="20"/>
        <v>212.96605094475407</v>
      </c>
      <c r="E296" s="19">
        <f t="shared" si="22"/>
        <v>255.55926113370487</v>
      </c>
      <c r="G296" s="19">
        <f>$G$9-4</f>
        <v>12</v>
      </c>
      <c r="H296" s="36">
        <v>117.73798173749432</v>
      </c>
      <c r="I296" s="36">
        <v>157.3149201689788</v>
      </c>
      <c r="J296" s="37">
        <v>437.28</v>
      </c>
      <c r="K296" s="1">
        <f>G291</f>
        <v>17</v>
      </c>
    </row>
    <row r="297" spans="1:11">
      <c r="A297" s="19" t="s">
        <v>51</v>
      </c>
      <c r="B297" s="19">
        <f>$G$9-5</f>
        <v>11</v>
      </c>
      <c r="C297" s="19">
        <f t="shared" si="21"/>
        <v>5.6539999999999999</v>
      </c>
      <c r="D297" s="19">
        <f t="shared" si="20"/>
        <v>177.10754307559398</v>
      </c>
      <c r="E297" s="19">
        <f t="shared" si="22"/>
        <v>212.52905169071278</v>
      </c>
    </row>
  </sheetData>
  <mergeCells count="71">
    <mergeCell ref="A25:A26"/>
    <mergeCell ref="B25:F26"/>
    <mergeCell ref="A7:F7"/>
    <mergeCell ref="A1:H1"/>
    <mergeCell ref="A3:F3"/>
    <mergeCell ref="A4:F4"/>
    <mergeCell ref="A5:F5"/>
    <mergeCell ref="A6:F6"/>
    <mergeCell ref="A23:A24"/>
    <mergeCell ref="B23:F24"/>
    <mergeCell ref="A8:F8"/>
    <mergeCell ref="A9:F9"/>
    <mergeCell ref="A10:F10"/>
    <mergeCell ref="A11:F11"/>
    <mergeCell ref="A12:F12"/>
    <mergeCell ref="A13:F13"/>
    <mergeCell ref="A15:H15"/>
    <mergeCell ref="B19:F19"/>
    <mergeCell ref="B20:F20"/>
    <mergeCell ref="B21:F21"/>
    <mergeCell ref="B22:F22"/>
    <mergeCell ref="G25:G26"/>
    <mergeCell ref="H25:H26"/>
    <mergeCell ref="B27:F27"/>
    <mergeCell ref="A62:D62"/>
    <mergeCell ref="B29:F29"/>
    <mergeCell ref="B30:F30"/>
    <mergeCell ref="A31:A32"/>
    <mergeCell ref="B31:F32"/>
    <mergeCell ref="B33:F33"/>
    <mergeCell ref="A34:H34"/>
    <mergeCell ref="A36:F36"/>
    <mergeCell ref="A37:F37"/>
    <mergeCell ref="A38:F38"/>
    <mergeCell ref="G31:G32"/>
    <mergeCell ref="H31:H32"/>
    <mergeCell ref="B28:F28"/>
    <mergeCell ref="A150:H150"/>
    <mergeCell ref="A80:A81"/>
    <mergeCell ref="B80:C80"/>
    <mergeCell ref="D80:D81"/>
    <mergeCell ref="A92:H92"/>
    <mergeCell ref="A116:H116"/>
    <mergeCell ref="G123:H125"/>
    <mergeCell ref="A127:H127"/>
    <mergeCell ref="A140:A141"/>
    <mergeCell ref="B140:C140"/>
    <mergeCell ref="D140:D141"/>
    <mergeCell ref="E140:E141"/>
    <mergeCell ref="A206:A207"/>
    <mergeCell ref="B206:C206"/>
    <mergeCell ref="D206:D207"/>
    <mergeCell ref="E206:E207"/>
    <mergeCell ref="A227:A228"/>
    <mergeCell ref="B227:C227"/>
    <mergeCell ref="D227:D228"/>
    <mergeCell ref="A237:H237"/>
    <mergeCell ref="A241:H241"/>
    <mergeCell ref="A245:H245"/>
    <mergeCell ref="A260:A261"/>
    <mergeCell ref="B260:C260"/>
    <mergeCell ref="D260:D261"/>
    <mergeCell ref="A289:A290"/>
    <mergeCell ref="B289:C289"/>
    <mergeCell ref="D289:E289"/>
    <mergeCell ref="A270:H270"/>
    <mergeCell ref="A275:A276"/>
    <mergeCell ref="B275:C275"/>
    <mergeCell ref="D275:D276"/>
    <mergeCell ref="E275:E276"/>
    <mergeCell ref="A285:H285"/>
  </mergeCells>
  <pageMargins left="0.7" right="3.2386363636363638" top="0.75" bottom="0.75" header="0.3" footer="0.3"/>
  <pageSetup paperSize="13" scale="28" fitToHeight="0" orientation="portrait"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0</xdr:col>
                <xdr:colOff>1394460</xdr:colOff>
                <xdr:row>58</xdr:row>
                <xdr:rowOff>99060</xdr:rowOff>
              </from>
              <to>
                <xdr:col>1</xdr:col>
                <xdr:colOff>670560</xdr:colOff>
                <xdr:row>61</xdr:row>
                <xdr:rowOff>175260</xdr:rowOff>
              </to>
            </anchor>
          </objectPr>
        </oleObject>
      </mc:Choice>
      <mc:Fallback>
        <oleObject progId="Equation.3" shapeId="1025" r:id="rId4"/>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8596D-4ECD-405A-B37C-1208A744A3F7}">
  <dimension ref="A1:AI502"/>
  <sheetViews>
    <sheetView topLeftCell="A155" zoomScale="115" zoomScaleNormal="115" workbookViewId="0">
      <selection activeCell="B169" sqref="B169:R170"/>
    </sheetView>
  </sheetViews>
  <sheetFormatPr defaultColWidth="3.88671875" defaultRowHeight="14.4" customHeight="1"/>
  <cols>
    <col min="1" max="1" width="3.88671875" style="548"/>
    <col min="2" max="4" width="3.88671875" style="548" customWidth="1"/>
    <col min="5" max="5" width="12.33203125" style="549" customWidth="1"/>
    <col min="6" max="6" width="26" style="548" customWidth="1"/>
    <col min="7" max="8" width="3.88671875" style="548" customWidth="1"/>
    <col min="9" max="10" width="4" style="548" bestFit="1" customWidth="1"/>
    <col min="11" max="12" width="3.88671875" style="548" customWidth="1"/>
    <col min="13" max="13" width="3.88671875" style="548"/>
    <col min="14" max="14" width="3.88671875" style="548" customWidth="1"/>
    <col min="15" max="15" width="3.5546875" style="548" customWidth="1"/>
    <col min="16" max="16" width="3.88671875" style="548" customWidth="1"/>
    <col min="17" max="26" width="3.88671875" style="548"/>
    <col min="27" max="27" width="3.88671875" style="548" customWidth="1"/>
    <col min="28" max="16384" width="3.88671875" style="548"/>
  </cols>
  <sheetData>
    <row r="1" spans="1:17" ht="14.4" customHeight="1">
      <c r="A1" s="991" t="s">
        <v>1069</v>
      </c>
      <c r="B1" s="991"/>
      <c r="C1" s="991"/>
      <c r="D1" s="991"/>
      <c r="E1" s="991"/>
      <c r="F1" s="991"/>
      <c r="G1" s="991"/>
      <c r="H1" s="991"/>
      <c r="I1" s="991"/>
      <c r="J1" s="991"/>
      <c r="K1" s="991"/>
      <c r="L1" s="991"/>
      <c r="M1" s="991"/>
      <c r="N1" s="991"/>
      <c r="O1" s="991"/>
      <c r="P1" s="991"/>
      <c r="Q1" s="991"/>
    </row>
    <row r="2" spans="1:17" ht="14.4" customHeight="1">
      <c r="A2" s="991"/>
      <c r="B2" s="991"/>
      <c r="C2" s="991"/>
      <c r="D2" s="991"/>
      <c r="E2" s="991"/>
      <c r="F2" s="991"/>
      <c r="G2" s="991"/>
      <c r="H2" s="991"/>
      <c r="I2" s="991"/>
      <c r="J2" s="991"/>
      <c r="K2" s="991"/>
      <c r="L2" s="991"/>
      <c r="M2" s="991"/>
      <c r="N2" s="991"/>
      <c r="O2" s="991"/>
      <c r="P2" s="991"/>
      <c r="Q2" s="991"/>
    </row>
    <row r="3" spans="1:17" ht="14.4" customHeight="1">
      <c r="B3" s="548" t="s">
        <v>566</v>
      </c>
      <c r="E3" s="548"/>
    </row>
    <row r="4" spans="1:17" ht="14.4" customHeight="1">
      <c r="B4" s="548" t="s">
        <v>688</v>
      </c>
      <c r="E4" s="548"/>
    </row>
    <row r="5" spans="1:17" ht="14.4" customHeight="1">
      <c r="B5" s="548" t="s">
        <v>567</v>
      </c>
      <c r="E5" s="548"/>
    </row>
    <row r="6" spans="1:17" ht="14.4" customHeight="1">
      <c r="E6" s="548"/>
    </row>
    <row r="7" spans="1:17" ht="14.4" customHeight="1">
      <c r="B7" s="549" t="s">
        <v>568</v>
      </c>
      <c r="D7" s="550" t="s">
        <v>63</v>
      </c>
      <c r="E7" s="972">
        <f>HOLTROP!G4</f>
        <v>137</v>
      </c>
      <c r="F7" s="972"/>
      <c r="G7" s="548" t="s">
        <v>4</v>
      </c>
      <c r="I7" s="548" t="s">
        <v>569</v>
      </c>
      <c r="N7" s="550" t="s">
        <v>63</v>
      </c>
      <c r="O7" s="972">
        <v>8400</v>
      </c>
      <c r="P7" s="972"/>
      <c r="Q7" s="548" t="s">
        <v>250</v>
      </c>
    </row>
    <row r="8" spans="1:17" ht="14.4" customHeight="1">
      <c r="B8" s="549" t="s">
        <v>5</v>
      </c>
      <c r="D8" s="550" t="s">
        <v>63</v>
      </c>
      <c r="E8" s="972">
        <f>HOLTROP!G5</f>
        <v>142.47999999999999</v>
      </c>
      <c r="F8" s="972"/>
      <c r="G8" s="548" t="s">
        <v>4</v>
      </c>
      <c r="I8" s="548" t="s">
        <v>570</v>
      </c>
      <c r="N8" s="550" t="s">
        <v>63</v>
      </c>
      <c r="O8" s="972">
        <f>HOLTROP!G13</f>
        <v>22401.13975848</v>
      </c>
      <c r="P8" s="972"/>
      <c r="Q8" s="548" t="s">
        <v>1324</v>
      </c>
    </row>
    <row r="9" spans="1:17" ht="14.4" customHeight="1">
      <c r="B9" s="549" t="s">
        <v>572</v>
      </c>
      <c r="D9" s="550" t="s">
        <v>63</v>
      </c>
      <c r="E9" s="972">
        <f>HOLTROP!G23</f>
        <v>139.74</v>
      </c>
      <c r="F9" s="972"/>
      <c r="G9" s="548" t="s">
        <v>4</v>
      </c>
      <c r="I9" s="548" t="s">
        <v>142</v>
      </c>
      <c r="N9" s="550" t="s">
        <v>63</v>
      </c>
      <c r="O9" s="972">
        <v>11</v>
      </c>
      <c r="P9" s="972"/>
      <c r="Q9" s="548" t="s">
        <v>573</v>
      </c>
    </row>
    <row r="10" spans="1:17" ht="14.4" customHeight="1">
      <c r="B10" s="549" t="s">
        <v>6</v>
      </c>
      <c r="D10" s="550" t="s">
        <v>63</v>
      </c>
      <c r="E10" s="972">
        <f>HOLTROP!G6</f>
        <v>23.7</v>
      </c>
      <c r="F10" s="972"/>
      <c r="G10" s="548" t="s">
        <v>4</v>
      </c>
      <c r="I10" s="548" t="s">
        <v>461</v>
      </c>
      <c r="N10" s="550" t="s">
        <v>63</v>
      </c>
      <c r="O10" s="972">
        <f>HOLTROP!G29</f>
        <v>22961.168252441999</v>
      </c>
      <c r="P10" s="972"/>
      <c r="Q10" s="548" t="s">
        <v>26</v>
      </c>
    </row>
    <row r="11" spans="1:17" ht="14.4" customHeight="1">
      <c r="B11" s="549" t="s">
        <v>7</v>
      </c>
      <c r="D11" s="550" t="s">
        <v>63</v>
      </c>
      <c r="E11" s="972">
        <f>HOLTROP!G7</f>
        <v>13.34</v>
      </c>
      <c r="F11" s="972"/>
      <c r="G11" s="548" t="s">
        <v>4</v>
      </c>
      <c r="I11" s="548" t="s">
        <v>817</v>
      </c>
      <c r="N11" s="548" t="s">
        <v>430</v>
      </c>
      <c r="O11" s="972">
        <v>746.56647342846145</v>
      </c>
      <c r="P11" s="972"/>
      <c r="Q11" s="550" t="s">
        <v>26</v>
      </c>
    </row>
    <row r="12" spans="1:17" ht="14.4" customHeight="1">
      <c r="B12" s="549" t="s">
        <v>8</v>
      </c>
      <c r="D12" s="550" t="s">
        <v>63</v>
      </c>
      <c r="E12" s="972">
        <f>HOLTROP!G8</f>
        <v>9.9469999999999992</v>
      </c>
      <c r="F12" s="972"/>
      <c r="G12" s="548" t="s">
        <v>4</v>
      </c>
    </row>
    <row r="13" spans="1:17" ht="14.4" customHeight="1">
      <c r="B13" s="549" t="s">
        <v>10</v>
      </c>
      <c r="D13" s="550" t="s">
        <v>63</v>
      </c>
      <c r="E13" s="972">
        <f>HOLTROP!G9</f>
        <v>16</v>
      </c>
      <c r="F13" s="972"/>
      <c r="G13" s="548" t="s">
        <v>157</v>
      </c>
    </row>
    <row r="14" spans="1:17" ht="14.4" customHeight="1">
      <c r="B14" s="549" t="s">
        <v>12</v>
      </c>
      <c r="D14" s="550" t="s">
        <v>63</v>
      </c>
      <c r="E14" s="972">
        <f>HOLTROP!G10</f>
        <v>0.68</v>
      </c>
      <c r="F14" s="972"/>
    </row>
    <row r="15" spans="1:17" ht="14.4" customHeight="1">
      <c r="B15" s="549" t="s">
        <v>14</v>
      </c>
      <c r="D15" s="550" t="s">
        <v>63</v>
      </c>
      <c r="E15" s="972">
        <f>HOLTROP!G12</f>
        <v>0.69</v>
      </c>
      <c r="F15" s="972"/>
    </row>
    <row r="16" spans="1:17" ht="14.4" customHeight="1">
      <c r="E16" s="548"/>
    </row>
    <row r="17" spans="1:17" ht="14.4" customHeight="1">
      <c r="A17" s="552"/>
      <c r="B17" s="553"/>
      <c r="C17" s="552"/>
      <c r="D17" s="554"/>
      <c r="E17" s="553"/>
      <c r="F17" s="555"/>
      <c r="G17" s="552"/>
      <c r="H17" s="552"/>
      <c r="I17" s="552"/>
      <c r="J17" s="552"/>
      <c r="K17" s="552"/>
      <c r="L17" s="552"/>
      <c r="M17" s="552"/>
      <c r="N17" s="552"/>
      <c r="O17" s="552"/>
      <c r="P17" s="552"/>
      <c r="Q17" s="552"/>
    </row>
    <row r="18" spans="1:17" ht="14.4" customHeight="1">
      <c r="A18" s="986" t="s">
        <v>1070</v>
      </c>
      <c r="B18" s="986"/>
      <c r="C18" s="986"/>
      <c r="D18" s="986"/>
      <c r="E18" s="986"/>
      <c r="F18" s="986"/>
      <c r="G18" s="986"/>
      <c r="H18" s="986"/>
      <c r="I18" s="986"/>
      <c r="J18" s="986"/>
      <c r="K18" s="986"/>
      <c r="L18" s="986"/>
      <c r="M18" s="986"/>
      <c r="N18" s="986"/>
      <c r="O18" s="986"/>
      <c r="P18" s="986"/>
      <c r="Q18" s="986"/>
    </row>
    <row r="19" spans="1:17" ht="14.4" customHeight="1">
      <c r="A19" s="986"/>
      <c r="B19" s="986"/>
      <c r="C19" s="986"/>
      <c r="D19" s="986"/>
      <c r="E19" s="986"/>
      <c r="F19" s="986"/>
      <c r="G19" s="986"/>
      <c r="H19" s="986"/>
      <c r="I19" s="986"/>
      <c r="J19" s="986"/>
      <c r="K19" s="986"/>
      <c r="L19" s="986"/>
      <c r="M19" s="986"/>
      <c r="N19" s="986"/>
      <c r="O19" s="986"/>
      <c r="P19" s="986"/>
      <c r="Q19" s="986"/>
    </row>
    <row r="20" spans="1:17" ht="14.4" customHeight="1">
      <c r="A20" s="556"/>
      <c r="B20" s="557" t="s">
        <v>1071</v>
      </c>
      <c r="C20" s="558"/>
      <c r="D20" s="558"/>
      <c r="E20" s="559"/>
      <c r="F20" s="558"/>
      <c r="G20" s="558"/>
      <c r="H20" s="558"/>
      <c r="I20" s="558"/>
      <c r="J20" s="558"/>
    </row>
    <row r="21" spans="1:17" ht="14.4" customHeight="1">
      <c r="A21" s="560"/>
      <c r="B21" s="558"/>
      <c r="C21" s="558"/>
      <c r="D21" s="558"/>
      <c r="E21" s="559"/>
      <c r="F21" s="558"/>
      <c r="G21" s="558"/>
      <c r="H21" s="558"/>
      <c r="I21" s="558"/>
      <c r="J21" s="558"/>
    </row>
    <row r="22" spans="1:17" ht="14.4" customHeight="1">
      <c r="A22" s="560"/>
      <c r="B22" s="558"/>
      <c r="C22" s="561"/>
      <c r="D22" s="562"/>
      <c r="E22" s="559"/>
      <c r="F22" s="558"/>
      <c r="G22" s="558"/>
      <c r="H22" s="558"/>
      <c r="I22" s="558"/>
      <c r="J22" s="558"/>
    </row>
    <row r="23" spans="1:17" ht="14.4" customHeight="1">
      <c r="A23" s="560"/>
      <c r="C23" s="561"/>
      <c r="D23" s="558"/>
      <c r="E23" s="559"/>
      <c r="F23" s="558"/>
      <c r="G23" s="558"/>
      <c r="H23" s="558"/>
      <c r="I23" s="558"/>
      <c r="J23" s="558"/>
    </row>
    <row r="24" spans="1:17" ht="14.4" customHeight="1">
      <c r="A24" s="563"/>
      <c r="C24" s="564"/>
      <c r="D24" s="562"/>
      <c r="E24" s="565"/>
      <c r="F24" s="565"/>
      <c r="G24" s="565"/>
      <c r="H24" s="565"/>
      <c r="I24" s="565"/>
      <c r="J24" s="565"/>
      <c r="K24" s="565"/>
      <c r="L24" s="565"/>
      <c r="M24" s="565"/>
      <c r="N24" s="565"/>
      <c r="O24" s="565"/>
      <c r="P24" s="565"/>
      <c r="Q24" s="565"/>
    </row>
    <row r="25" spans="1:17" ht="14.4" customHeight="1">
      <c r="A25" s="563"/>
      <c r="C25" s="564"/>
      <c r="D25" s="562"/>
      <c r="E25" s="565"/>
      <c r="F25" s="565"/>
      <c r="G25" s="565"/>
      <c r="H25" s="565"/>
      <c r="I25" s="565"/>
      <c r="J25" s="565"/>
      <c r="K25" s="565"/>
      <c r="L25" s="565"/>
      <c r="M25" s="565"/>
      <c r="N25" s="565"/>
      <c r="O25" s="565"/>
      <c r="P25" s="565"/>
      <c r="Q25" s="565"/>
    </row>
    <row r="26" spans="1:17" ht="14.4" customHeight="1">
      <c r="A26" s="563"/>
      <c r="C26" s="564"/>
      <c r="D26" s="562"/>
      <c r="E26" s="559"/>
      <c r="F26" s="558"/>
      <c r="G26" s="558"/>
      <c r="H26" s="558"/>
      <c r="I26" s="558"/>
      <c r="J26" s="558"/>
      <c r="K26" s="558"/>
      <c r="L26" s="558"/>
      <c r="M26" s="558"/>
      <c r="N26" s="558"/>
      <c r="O26" s="558"/>
      <c r="P26" s="558"/>
      <c r="Q26" s="558"/>
    </row>
    <row r="27" spans="1:17" ht="14.4" customHeight="1">
      <c r="A27" s="563"/>
      <c r="C27" s="564"/>
      <c r="D27" s="562"/>
      <c r="E27" s="565"/>
      <c r="F27" s="565"/>
      <c r="G27" s="565"/>
      <c r="H27" s="565"/>
      <c r="I27" s="565"/>
      <c r="J27" s="565"/>
      <c r="K27" s="565"/>
      <c r="L27" s="565"/>
      <c r="M27" s="565"/>
      <c r="N27" s="565"/>
      <c r="O27" s="565"/>
      <c r="P27" s="565"/>
      <c r="Q27" s="565"/>
    </row>
    <row r="28" spans="1:17" ht="14.4" customHeight="1">
      <c r="A28" s="563"/>
      <c r="C28" s="564"/>
      <c r="D28" s="562"/>
      <c r="E28" s="565"/>
      <c r="F28" s="565"/>
      <c r="G28" s="565"/>
      <c r="H28" s="565"/>
      <c r="I28" s="565"/>
      <c r="J28" s="565"/>
      <c r="K28" s="565"/>
      <c r="L28" s="565"/>
      <c r="M28" s="565"/>
      <c r="N28" s="565"/>
      <c r="O28" s="565"/>
      <c r="P28" s="565"/>
      <c r="Q28" s="565"/>
    </row>
    <row r="29" spans="1:17" ht="14.4" customHeight="1">
      <c r="A29" s="563"/>
      <c r="C29" s="564"/>
      <c r="D29" s="562"/>
      <c r="E29" s="565"/>
      <c r="F29" s="565"/>
      <c r="G29" s="565"/>
      <c r="H29" s="565"/>
      <c r="I29" s="565"/>
      <c r="J29" s="565"/>
      <c r="K29" s="565"/>
      <c r="L29" s="565"/>
      <c r="M29" s="565"/>
      <c r="N29" s="565"/>
      <c r="O29" s="565"/>
      <c r="P29" s="565"/>
      <c r="Q29" s="565"/>
    </row>
    <row r="30" spans="1:17" ht="14.4" customHeight="1">
      <c r="A30" s="560"/>
      <c r="B30" s="564"/>
      <c r="C30" s="565"/>
      <c r="D30" s="565"/>
      <c r="E30" s="565"/>
      <c r="F30" s="565"/>
      <c r="G30" s="565"/>
      <c r="H30" s="565"/>
      <c r="I30" s="565"/>
      <c r="J30" s="565"/>
      <c r="K30" s="565"/>
      <c r="L30" s="565"/>
      <c r="M30" s="565"/>
      <c r="N30" s="565"/>
      <c r="O30" s="565"/>
      <c r="P30" s="565"/>
      <c r="Q30" s="565"/>
    </row>
    <row r="31" spans="1:17" ht="14.4" customHeight="1">
      <c r="A31" s="560"/>
      <c r="C31" s="561"/>
      <c r="D31" s="558"/>
      <c r="E31" s="559"/>
      <c r="F31" s="558"/>
      <c r="G31" s="558"/>
      <c r="H31" s="558"/>
      <c r="I31" s="558"/>
      <c r="J31" s="558"/>
    </row>
    <row r="32" spans="1:17" ht="14.4" customHeight="1">
      <c r="A32" s="560"/>
      <c r="C32" s="561"/>
      <c r="D32" s="558"/>
      <c r="E32" s="559"/>
      <c r="F32" s="558"/>
      <c r="G32" s="558"/>
      <c r="H32" s="558"/>
      <c r="I32" s="558"/>
      <c r="J32" s="558"/>
    </row>
    <row r="33" spans="1:10" ht="14.4" customHeight="1">
      <c r="A33" s="560"/>
      <c r="C33" s="561"/>
      <c r="D33" s="558"/>
      <c r="E33" s="559"/>
      <c r="F33" s="558"/>
      <c r="G33" s="558"/>
      <c r="H33" s="558"/>
      <c r="I33" s="558"/>
      <c r="J33" s="558"/>
    </row>
    <row r="34" spans="1:10" ht="14.4" customHeight="1">
      <c r="A34" s="560"/>
      <c r="C34" s="561"/>
      <c r="D34" s="558"/>
      <c r="E34" s="559"/>
      <c r="F34" s="558"/>
      <c r="G34" s="558"/>
      <c r="H34" s="558"/>
      <c r="I34" s="558"/>
      <c r="J34" s="558"/>
    </row>
    <row r="35" spans="1:10" ht="14.4" customHeight="1">
      <c r="A35" s="560"/>
      <c r="C35" s="561"/>
      <c r="D35" s="558"/>
      <c r="E35" s="559"/>
      <c r="F35" s="558"/>
      <c r="G35" s="558"/>
      <c r="H35" s="558"/>
      <c r="I35" s="558"/>
      <c r="J35" s="558"/>
    </row>
    <row r="36" spans="1:10" ht="14.4" customHeight="1">
      <c r="A36" s="560"/>
      <c r="C36" s="561"/>
      <c r="D36" s="558"/>
      <c r="E36" s="559"/>
      <c r="F36" s="558"/>
      <c r="G36" s="558"/>
      <c r="H36" s="558"/>
      <c r="I36" s="558"/>
      <c r="J36" s="558"/>
    </row>
    <row r="37" spans="1:10" ht="14.4" customHeight="1">
      <c r="A37" s="560"/>
      <c r="C37" s="561"/>
      <c r="D37" s="558"/>
      <c r="E37" s="559"/>
      <c r="F37" s="558"/>
      <c r="G37" s="558"/>
      <c r="H37" s="558"/>
      <c r="I37" s="558"/>
      <c r="J37" s="558"/>
    </row>
    <row r="38" spans="1:10" ht="14.4" customHeight="1">
      <c r="A38" s="560"/>
      <c r="C38" s="561"/>
      <c r="D38" s="558"/>
      <c r="E38" s="559"/>
      <c r="F38" s="558"/>
      <c r="G38" s="558"/>
      <c r="H38" s="558"/>
      <c r="I38" s="558"/>
      <c r="J38" s="558"/>
    </row>
    <row r="39" spans="1:10" ht="14.4" customHeight="1">
      <c r="A39" s="560"/>
      <c r="C39" s="561"/>
      <c r="D39" s="558"/>
      <c r="E39" s="559"/>
      <c r="F39" s="558"/>
      <c r="G39" s="558"/>
      <c r="H39" s="558"/>
      <c r="I39" s="558"/>
      <c r="J39" s="558"/>
    </row>
    <row r="40" spans="1:10" ht="14.4" customHeight="1">
      <c r="A40" s="560"/>
      <c r="C40" s="561"/>
      <c r="D40" s="558"/>
      <c r="E40" s="559"/>
      <c r="F40" s="558"/>
      <c r="G40" s="558"/>
      <c r="H40" s="558"/>
      <c r="I40" s="558"/>
      <c r="J40" s="558"/>
    </row>
    <row r="41" spans="1:10" ht="14.4" customHeight="1">
      <c r="A41" s="560"/>
      <c r="C41" s="561"/>
      <c r="D41" s="558"/>
      <c r="E41" s="559"/>
      <c r="F41" s="558"/>
      <c r="G41" s="558"/>
      <c r="H41" s="558"/>
      <c r="I41" s="558"/>
      <c r="J41" s="558"/>
    </row>
    <row r="42" spans="1:10" ht="14.4" customHeight="1">
      <c r="A42" s="560"/>
      <c r="C42" s="561"/>
      <c r="D42" s="558"/>
      <c r="E42" s="559"/>
      <c r="F42" s="558"/>
      <c r="G42" s="558"/>
      <c r="H42" s="558"/>
      <c r="I42" s="558"/>
      <c r="J42" s="558"/>
    </row>
    <row r="43" spans="1:10" ht="14.4" customHeight="1">
      <c r="A43" s="560"/>
      <c r="C43" s="561"/>
      <c r="D43" s="558"/>
      <c r="E43" s="559"/>
      <c r="F43" s="558"/>
      <c r="G43" s="558"/>
      <c r="H43" s="558"/>
      <c r="I43" s="558"/>
      <c r="J43" s="558"/>
    </row>
    <row r="44" spans="1:10" ht="14.4" customHeight="1">
      <c r="A44" s="560"/>
      <c r="C44" s="561"/>
      <c r="D44" s="558"/>
      <c r="E44" s="559"/>
      <c r="F44" s="558"/>
      <c r="G44" s="558"/>
      <c r="H44" s="558"/>
      <c r="I44" s="558"/>
      <c r="J44" s="558"/>
    </row>
    <row r="45" spans="1:10" ht="14.4" customHeight="1">
      <c r="A45" s="560"/>
      <c r="C45" s="561"/>
      <c r="D45" s="558"/>
      <c r="E45" s="559"/>
      <c r="F45" s="558"/>
      <c r="G45" s="558"/>
      <c r="H45" s="558"/>
      <c r="I45" s="558"/>
      <c r="J45" s="558"/>
    </row>
    <row r="46" spans="1:10" ht="14.4" customHeight="1">
      <c r="A46" s="560"/>
      <c r="C46" s="561"/>
      <c r="D46" s="558"/>
      <c r="E46" s="559"/>
      <c r="F46" s="558"/>
      <c r="G46" s="558"/>
      <c r="H46" s="558"/>
      <c r="I46" s="558"/>
      <c r="J46" s="558"/>
    </row>
    <row r="47" spans="1:10" ht="14.4" customHeight="1">
      <c r="A47" s="560"/>
      <c r="C47" s="561"/>
      <c r="D47" s="558"/>
      <c r="E47" s="559"/>
      <c r="F47" s="558"/>
      <c r="G47" s="558"/>
      <c r="H47" s="558"/>
      <c r="I47" s="558"/>
      <c r="J47" s="558"/>
    </row>
    <row r="48" spans="1:10" ht="14.4" customHeight="1">
      <c r="A48" s="560"/>
      <c r="C48" s="561"/>
      <c r="D48" s="558"/>
      <c r="E48" s="559"/>
      <c r="F48" s="558"/>
      <c r="G48" s="558"/>
      <c r="H48" s="558"/>
      <c r="I48" s="558"/>
      <c r="J48" s="558"/>
    </row>
    <row r="49" spans="1:10" ht="14.4" customHeight="1">
      <c r="A49" s="560"/>
      <c r="C49" s="561"/>
      <c r="D49" s="558"/>
      <c r="E49" s="559"/>
      <c r="F49" s="558"/>
      <c r="G49" s="558"/>
      <c r="H49" s="558"/>
      <c r="I49" s="558"/>
      <c r="J49" s="558"/>
    </row>
    <row r="50" spans="1:10" ht="14.4" customHeight="1">
      <c r="A50" s="560"/>
      <c r="C50" s="561"/>
      <c r="D50" s="558"/>
      <c r="E50" s="559"/>
      <c r="F50" s="558"/>
      <c r="G50" s="558"/>
      <c r="H50" s="558"/>
      <c r="I50" s="558"/>
      <c r="J50" s="558"/>
    </row>
    <row r="51" spans="1:10" ht="14.4" customHeight="1">
      <c r="A51" s="560"/>
      <c r="C51" s="561"/>
      <c r="D51" s="558"/>
      <c r="E51" s="559"/>
      <c r="F51" s="558"/>
      <c r="G51" s="558"/>
      <c r="H51" s="558"/>
      <c r="I51" s="558"/>
      <c r="J51" s="558"/>
    </row>
    <row r="52" spans="1:10" ht="14.4" customHeight="1">
      <c r="A52" s="560"/>
      <c r="C52" s="561"/>
      <c r="D52" s="558"/>
      <c r="E52" s="559"/>
      <c r="F52" s="558"/>
      <c r="G52" s="558"/>
      <c r="H52" s="558"/>
      <c r="I52" s="558"/>
      <c r="J52" s="558"/>
    </row>
    <row r="53" spans="1:10" ht="14.4" customHeight="1">
      <c r="A53" s="560"/>
      <c r="C53" s="561"/>
      <c r="D53" s="558"/>
      <c r="E53" s="559"/>
      <c r="F53" s="558"/>
      <c r="G53" s="558"/>
      <c r="H53" s="558"/>
      <c r="I53" s="558"/>
      <c r="J53" s="558"/>
    </row>
    <row r="54" spans="1:10" ht="14.4" customHeight="1">
      <c r="A54" s="560"/>
      <c r="C54" s="559" t="s">
        <v>1366</v>
      </c>
      <c r="D54" s="558"/>
      <c r="E54" s="559"/>
      <c r="F54" s="558"/>
      <c r="G54" s="558"/>
      <c r="H54" s="558"/>
      <c r="I54" s="558"/>
      <c r="J54" s="558"/>
    </row>
    <row r="55" spans="1:10" ht="14.4" customHeight="1">
      <c r="A55" s="560"/>
      <c r="C55" s="561" t="s">
        <v>1365</v>
      </c>
      <c r="D55" s="558" t="s">
        <v>63</v>
      </c>
      <c r="E55" s="559" t="s">
        <v>1364</v>
      </c>
      <c r="F55" s="558"/>
      <c r="G55" s="558"/>
      <c r="H55" s="558"/>
      <c r="I55" s="558"/>
      <c r="J55" s="558"/>
    </row>
    <row r="56" spans="1:10" ht="14.4" customHeight="1">
      <c r="A56" s="560"/>
      <c r="C56" s="561"/>
      <c r="D56" s="558" t="s">
        <v>63</v>
      </c>
      <c r="E56" s="566">
        <f>0.25 * E10</f>
        <v>5.9249999999999998</v>
      </c>
      <c r="F56" s="558"/>
      <c r="G56" s="558"/>
      <c r="H56" s="558"/>
      <c r="I56" s="558"/>
      <c r="J56" s="558"/>
    </row>
    <row r="57" spans="1:10" ht="14.4" customHeight="1">
      <c r="A57" s="560"/>
      <c r="C57" s="561"/>
      <c r="D57" s="558"/>
      <c r="E57" s="566"/>
      <c r="F57" s="558"/>
      <c r="G57" s="558"/>
      <c r="H57" s="558"/>
      <c r="I57" s="558"/>
      <c r="J57" s="558"/>
    </row>
    <row r="58" spans="1:10" ht="14.4" customHeight="1">
      <c r="A58" s="560"/>
      <c r="C58" s="561" t="s">
        <v>920</v>
      </c>
      <c r="D58" s="558" t="s">
        <v>63</v>
      </c>
      <c r="E58" s="566">
        <f>E11-E12</f>
        <v>3.3930000000000007</v>
      </c>
      <c r="F58" s="558"/>
      <c r="G58" s="558"/>
      <c r="H58" s="558"/>
      <c r="I58" s="558"/>
      <c r="J58" s="558"/>
    </row>
    <row r="59" spans="1:10" ht="14.4" customHeight="1">
      <c r="A59" s="560"/>
      <c r="C59" s="561" t="s">
        <v>698</v>
      </c>
      <c r="D59" s="558" t="s">
        <v>63</v>
      </c>
      <c r="E59" s="566">
        <v>2.5</v>
      </c>
      <c r="F59" s="558"/>
      <c r="G59" s="558"/>
      <c r="H59" s="558"/>
      <c r="I59" s="558"/>
      <c r="J59" s="558"/>
    </row>
    <row r="60" spans="1:10" ht="14.4" customHeight="1">
      <c r="A60" s="560"/>
      <c r="C60" s="561"/>
      <c r="D60" s="558" t="s">
        <v>63</v>
      </c>
      <c r="E60" s="566">
        <f>12 * E59</f>
        <v>30</v>
      </c>
      <c r="F60" s="558" t="s">
        <v>1345</v>
      </c>
      <c r="G60" s="558"/>
      <c r="H60" s="558"/>
      <c r="I60" s="558"/>
      <c r="J60" s="558"/>
    </row>
    <row r="61" spans="1:10" ht="14.4" customHeight="1">
      <c r="A61" s="560"/>
      <c r="C61" s="561" t="s">
        <v>702</v>
      </c>
      <c r="D61" s="558" t="s">
        <v>63</v>
      </c>
      <c r="E61" s="566">
        <v>2.5</v>
      </c>
      <c r="F61" s="558"/>
      <c r="G61" s="558"/>
      <c r="H61" s="558"/>
      <c r="I61" s="558"/>
      <c r="J61" s="558"/>
    </row>
    <row r="62" spans="1:10" ht="14.4" customHeight="1">
      <c r="A62" s="560"/>
      <c r="C62" s="561"/>
      <c r="D62" s="558"/>
      <c r="E62" s="566">
        <f>12 * E61</f>
        <v>30</v>
      </c>
      <c r="F62" s="558"/>
      <c r="G62" s="558"/>
      <c r="H62" s="558"/>
      <c r="I62" s="558"/>
      <c r="J62" s="558"/>
    </row>
    <row r="63" spans="1:10" ht="14.4" customHeight="1">
      <c r="A63" s="560"/>
      <c r="C63" s="561" t="s">
        <v>1367</v>
      </c>
      <c r="D63" s="558" t="s">
        <v>63</v>
      </c>
      <c r="E63" s="566">
        <v>2.5</v>
      </c>
      <c r="F63" s="558"/>
      <c r="G63" s="558"/>
      <c r="H63" s="558"/>
      <c r="I63" s="558"/>
      <c r="J63" s="558"/>
    </row>
    <row r="64" spans="1:10" ht="14.4" customHeight="1">
      <c r="A64" s="560"/>
      <c r="C64" s="561"/>
      <c r="D64" s="558"/>
      <c r="E64" s="566">
        <f>12 * E63</f>
        <v>30</v>
      </c>
      <c r="F64" s="558"/>
      <c r="G64" s="558"/>
      <c r="H64" s="558"/>
      <c r="I64" s="558"/>
      <c r="J64" s="558"/>
    </row>
    <row r="65" spans="1:17" ht="14.4" customHeight="1">
      <c r="A65" s="560"/>
      <c r="C65" s="561" t="s">
        <v>1372</v>
      </c>
      <c r="D65" s="558" t="s">
        <v>63</v>
      </c>
      <c r="E65" s="566">
        <v>2.5</v>
      </c>
      <c r="F65" s="558" t="s">
        <v>1373</v>
      </c>
      <c r="G65" s="558"/>
      <c r="H65" s="558"/>
      <c r="I65" s="558"/>
      <c r="J65" s="558"/>
    </row>
    <row r="66" spans="1:17" ht="14.4" customHeight="1">
      <c r="A66" s="560"/>
      <c r="C66" s="561"/>
      <c r="D66" s="558"/>
      <c r="E66" s="566">
        <f>12 * E65</f>
        <v>30</v>
      </c>
      <c r="F66" s="558"/>
      <c r="G66" s="558"/>
      <c r="H66" s="558"/>
      <c r="I66" s="558"/>
      <c r="J66" s="558"/>
    </row>
    <row r="67" spans="1:17" ht="14.4" customHeight="1">
      <c r="A67" s="560"/>
      <c r="C67" s="561" t="s">
        <v>1368</v>
      </c>
      <c r="D67" s="558" t="s">
        <v>63</v>
      </c>
      <c r="E67" s="559">
        <f>E74/8</f>
        <v>2.9624999999999999</v>
      </c>
      <c r="F67" s="558"/>
      <c r="G67" s="558"/>
      <c r="H67" s="558"/>
      <c r="I67" s="558"/>
      <c r="J67" s="558"/>
    </row>
    <row r="68" spans="1:17" ht="14.4" customHeight="1">
      <c r="A68" s="560"/>
      <c r="C68" s="561"/>
      <c r="D68" s="558"/>
      <c r="E68" s="559"/>
      <c r="F68" s="558"/>
      <c r="G68" s="558"/>
      <c r="H68" s="558"/>
      <c r="I68" s="558"/>
      <c r="J68" s="558"/>
    </row>
    <row r="69" spans="1:17" ht="14.4" customHeight="1">
      <c r="A69" s="560"/>
      <c r="C69" s="561" t="s">
        <v>1369</v>
      </c>
      <c r="D69" s="558" t="s">
        <v>63</v>
      </c>
      <c r="E69" s="559">
        <v>70.192499999999995</v>
      </c>
      <c r="F69" s="558" t="s">
        <v>1345</v>
      </c>
      <c r="G69" s="567" t="s">
        <v>1370</v>
      </c>
      <c r="H69" s="558" t="s">
        <v>1371</v>
      </c>
      <c r="I69" s="558"/>
      <c r="J69" s="558"/>
    </row>
    <row r="70" spans="1:17" ht="14.4" customHeight="1">
      <c r="A70" s="560"/>
      <c r="C70" s="561"/>
      <c r="D70" s="558" t="s">
        <v>63</v>
      </c>
      <c r="E70" s="559">
        <f>E56*E63</f>
        <v>14.8125</v>
      </c>
      <c r="F70" s="558"/>
      <c r="G70" s="567"/>
      <c r="H70" s="558"/>
      <c r="I70" s="558"/>
      <c r="J70" s="558"/>
    </row>
    <row r="71" spans="1:17" ht="14.4" customHeight="1">
      <c r="A71" s="560"/>
      <c r="C71" s="561"/>
      <c r="D71" s="558" t="s">
        <v>63</v>
      </c>
      <c r="E71" s="559"/>
      <c r="F71" s="558"/>
      <c r="G71" s="567"/>
      <c r="H71" s="558"/>
      <c r="I71" s="558"/>
      <c r="J71" s="558"/>
    </row>
    <row r="72" spans="1:17" ht="14.4" customHeight="1">
      <c r="A72" s="560"/>
      <c r="C72" s="561"/>
      <c r="D72" s="558"/>
      <c r="E72" s="559"/>
      <c r="F72" s="558"/>
      <c r="G72" s="558"/>
      <c r="H72" s="558"/>
      <c r="I72" s="558"/>
      <c r="J72" s="558"/>
    </row>
    <row r="73" spans="1:17" ht="14.4" customHeight="1">
      <c r="A73" s="560"/>
      <c r="C73" s="561" t="s">
        <v>986</v>
      </c>
      <c r="D73" s="562" t="s">
        <v>63</v>
      </c>
      <c r="E73" s="568">
        <f>O10</f>
        <v>22961.168252441999</v>
      </c>
      <c r="F73" s="558" t="s">
        <v>26</v>
      </c>
      <c r="G73" s="558"/>
      <c r="H73" s="558"/>
      <c r="I73" s="558"/>
      <c r="J73" s="558" t="s">
        <v>971</v>
      </c>
      <c r="K73" s="548" t="s">
        <v>63</v>
      </c>
      <c r="L73" s="548">
        <v>1</v>
      </c>
    </row>
    <row r="74" spans="1:17" ht="14.4" customHeight="1">
      <c r="A74" s="560"/>
      <c r="C74" s="561" t="s">
        <v>6</v>
      </c>
      <c r="D74" s="562" t="s">
        <v>63</v>
      </c>
      <c r="E74" s="564">
        <f>E10</f>
        <v>23.7</v>
      </c>
      <c r="F74" s="558" t="s">
        <v>4</v>
      </c>
      <c r="G74" s="558"/>
      <c r="H74" s="558"/>
      <c r="I74" s="558"/>
      <c r="J74" s="558" t="s">
        <v>4</v>
      </c>
      <c r="K74" s="548" t="s">
        <v>63</v>
      </c>
      <c r="L74" s="548">
        <v>2</v>
      </c>
    </row>
    <row r="75" spans="1:17" ht="14.4" customHeight="1">
      <c r="A75" s="563"/>
      <c r="C75" s="561" t="s">
        <v>7</v>
      </c>
      <c r="D75" s="562" t="s">
        <v>63</v>
      </c>
      <c r="E75" s="569">
        <f>E11-E12+10</f>
        <v>13.393000000000001</v>
      </c>
      <c r="F75" s="558" t="s">
        <v>4</v>
      </c>
      <c r="G75" s="570"/>
      <c r="H75" s="570"/>
      <c r="I75" s="570"/>
      <c r="J75" s="570" t="s">
        <v>547</v>
      </c>
      <c r="K75" s="570" t="s">
        <v>63</v>
      </c>
      <c r="L75" s="570">
        <v>0.1</v>
      </c>
      <c r="M75" s="570"/>
      <c r="N75" s="570"/>
      <c r="O75" s="570"/>
      <c r="P75" s="570"/>
      <c r="Q75" s="570"/>
    </row>
    <row r="76" spans="1:17" ht="14.4" customHeight="1">
      <c r="A76" s="563"/>
      <c r="B76" s="561"/>
      <c r="C76" s="561" t="s">
        <v>789</v>
      </c>
      <c r="D76" s="562" t="s">
        <v>63</v>
      </c>
      <c r="E76" s="987">
        <f>E60+E62+E64+E66+E69-6.37</f>
        <v>183.82249999999999</v>
      </c>
      <c r="F76" s="987"/>
      <c r="G76" s="558" t="s">
        <v>1375</v>
      </c>
      <c r="H76" s="559" t="s">
        <v>1072</v>
      </c>
      <c r="I76" s="558"/>
      <c r="J76" s="558"/>
    </row>
    <row r="77" spans="1:17" ht="14.4" customHeight="1">
      <c r="A77" s="563"/>
      <c r="C77" s="561" t="s">
        <v>1073</v>
      </c>
      <c r="D77" s="562" t="s">
        <v>63</v>
      </c>
      <c r="E77" s="559" t="s">
        <v>1376</v>
      </c>
    </row>
    <row r="78" spans="1:17" ht="14.4" customHeight="1">
      <c r="A78" s="563"/>
      <c r="C78" s="561"/>
      <c r="D78" s="562" t="s">
        <v>63</v>
      </c>
      <c r="E78" s="988">
        <f>L73 * E73^(2/3) + (2*E10*E75) + (E76/10)</f>
        <v>1461.0578296780363</v>
      </c>
      <c r="F78" s="988"/>
    </row>
    <row r="79" spans="1:17" ht="14.4" customHeight="1">
      <c r="A79" s="563"/>
      <c r="B79" s="561"/>
      <c r="D79" s="562"/>
      <c r="E79" s="548"/>
      <c r="G79" s="558"/>
      <c r="H79" s="558"/>
      <c r="I79" s="558"/>
      <c r="J79" s="558"/>
    </row>
    <row r="80" spans="1:17" ht="14.4" customHeight="1">
      <c r="A80" s="563"/>
      <c r="B80" s="561"/>
      <c r="D80" s="562"/>
      <c r="E80" s="548"/>
      <c r="G80" s="558"/>
      <c r="H80" s="558"/>
      <c r="I80" s="558"/>
      <c r="J80" s="558"/>
    </row>
    <row r="81" spans="1:10" ht="14.4" customHeight="1">
      <c r="A81" s="563"/>
      <c r="B81" s="561"/>
      <c r="D81" s="562"/>
      <c r="E81" s="548"/>
      <c r="G81" s="558"/>
      <c r="H81" s="558"/>
      <c r="I81" s="558"/>
      <c r="J81" s="558"/>
    </row>
    <row r="82" spans="1:10" ht="14.4" customHeight="1">
      <c r="A82" s="563"/>
      <c r="B82" s="561"/>
      <c r="D82" s="562"/>
      <c r="E82" s="548"/>
      <c r="G82" s="558"/>
      <c r="H82" s="558"/>
      <c r="I82" s="558"/>
      <c r="J82" s="558"/>
    </row>
    <row r="83" spans="1:10" ht="14.4" customHeight="1">
      <c r="A83" s="563"/>
      <c r="B83" s="561"/>
      <c r="D83" s="562"/>
      <c r="E83" s="548"/>
      <c r="G83" s="558"/>
      <c r="H83" s="558"/>
      <c r="I83" s="558"/>
      <c r="J83" s="558"/>
    </row>
    <row r="84" spans="1:10" ht="14.4" customHeight="1">
      <c r="A84" s="563"/>
      <c r="B84" s="561"/>
      <c r="D84" s="562"/>
      <c r="E84" s="548"/>
      <c r="G84" s="558"/>
      <c r="H84" s="558"/>
      <c r="I84" s="558"/>
      <c r="J84" s="558"/>
    </row>
    <row r="85" spans="1:10" ht="14.4" customHeight="1">
      <c r="A85" s="563"/>
      <c r="B85" s="561"/>
      <c r="D85" s="562"/>
      <c r="E85" s="548"/>
      <c r="G85" s="558"/>
      <c r="H85" s="558"/>
      <c r="I85" s="558"/>
      <c r="J85" s="558"/>
    </row>
    <row r="86" spans="1:10" ht="14.4" customHeight="1">
      <c r="A86" s="563"/>
      <c r="B86" s="561"/>
      <c r="D86" s="562"/>
      <c r="E86" s="548"/>
      <c r="G86" s="558"/>
      <c r="H86" s="558"/>
      <c r="I86" s="558"/>
      <c r="J86" s="558"/>
    </row>
    <row r="87" spans="1:10" ht="14.4" customHeight="1">
      <c r="A87" s="563"/>
      <c r="B87" s="561"/>
      <c r="D87" s="562"/>
      <c r="E87" s="548"/>
      <c r="G87" s="558"/>
      <c r="H87" s="558"/>
      <c r="I87" s="558"/>
      <c r="J87" s="558"/>
    </row>
    <row r="88" spans="1:10" ht="14.4" customHeight="1">
      <c r="A88" s="563"/>
      <c r="B88" s="561"/>
      <c r="D88" s="562"/>
      <c r="E88" s="548"/>
      <c r="G88" s="558"/>
      <c r="H88" s="558"/>
      <c r="I88" s="558"/>
      <c r="J88" s="558"/>
    </row>
    <row r="89" spans="1:10" ht="14.4" customHeight="1">
      <c r="A89" s="563"/>
      <c r="B89" s="561"/>
      <c r="D89" s="562"/>
      <c r="E89" s="548"/>
      <c r="G89" s="558"/>
      <c r="H89" s="558"/>
      <c r="I89" s="558"/>
      <c r="J89" s="558"/>
    </row>
    <row r="90" spans="1:10" ht="14.4" customHeight="1">
      <c r="A90" s="563"/>
      <c r="B90" s="561"/>
      <c r="D90" s="562"/>
      <c r="E90" s="548"/>
      <c r="G90" s="558"/>
      <c r="H90" s="558"/>
      <c r="I90" s="558"/>
      <c r="J90" s="558"/>
    </row>
    <row r="91" spans="1:10" ht="14.4" customHeight="1">
      <c r="A91" s="563"/>
      <c r="B91" s="561"/>
      <c r="D91" s="562"/>
      <c r="E91" s="548"/>
      <c r="G91" s="558"/>
      <c r="H91" s="558"/>
      <c r="I91" s="558"/>
      <c r="J91" s="558"/>
    </row>
    <row r="92" spans="1:10" ht="14.4" customHeight="1">
      <c r="A92" s="563"/>
      <c r="B92" s="561"/>
      <c r="D92" s="562"/>
      <c r="E92" s="548"/>
      <c r="G92" s="558"/>
      <c r="H92" s="558"/>
      <c r="I92" s="558"/>
      <c r="J92" s="558"/>
    </row>
    <row r="93" spans="1:10" ht="14.4" customHeight="1">
      <c r="A93" s="563"/>
      <c r="B93" s="561"/>
      <c r="D93" s="562"/>
      <c r="E93" s="548"/>
      <c r="G93" s="558"/>
      <c r="H93" s="558"/>
      <c r="I93" s="558"/>
      <c r="J93" s="558"/>
    </row>
    <row r="94" spans="1:10" ht="14.4" customHeight="1">
      <c r="A94" s="563"/>
      <c r="B94" s="561"/>
      <c r="D94" s="562"/>
      <c r="E94" s="548"/>
      <c r="G94" s="558"/>
      <c r="H94" s="558"/>
      <c r="I94" s="558"/>
      <c r="J94" s="558"/>
    </row>
    <row r="95" spans="1:10" ht="14.4" customHeight="1">
      <c r="A95" s="563"/>
      <c r="B95" s="561"/>
      <c r="D95" s="562"/>
      <c r="E95" s="548"/>
      <c r="G95" s="558"/>
      <c r="H95" s="558"/>
      <c r="I95" s="558"/>
      <c r="J95" s="558"/>
    </row>
    <row r="96" spans="1:10" ht="14.4" customHeight="1">
      <c r="A96" s="563"/>
      <c r="B96" s="561"/>
      <c r="D96" s="562"/>
      <c r="E96" s="548"/>
      <c r="G96" s="558"/>
      <c r="H96" s="558"/>
      <c r="I96" s="558"/>
      <c r="J96" s="558"/>
    </row>
    <row r="97" spans="1:10" ht="14.4" customHeight="1">
      <c r="A97" s="563"/>
      <c r="B97" s="561"/>
      <c r="D97" s="562"/>
      <c r="E97" s="548"/>
      <c r="G97" s="558"/>
      <c r="H97" s="558"/>
      <c r="I97" s="558"/>
      <c r="J97" s="558"/>
    </row>
    <row r="98" spans="1:10" ht="14.4" customHeight="1">
      <c r="A98" s="563"/>
      <c r="B98" s="561"/>
      <c r="D98" s="562"/>
      <c r="E98" s="548"/>
      <c r="G98" s="558"/>
      <c r="H98" s="558"/>
      <c r="I98" s="558"/>
      <c r="J98" s="558"/>
    </row>
    <row r="99" spans="1:10" ht="14.4" customHeight="1">
      <c r="A99" s="563"/>
      <c r="B99" s="561"/>
      <c r="D99" s="562"/>
      <c r="E99" s="548"/>
      <c r="G99" s="558"/>
      <c r="H99" s="558"/>
      <c r="I99" s="558"/>
      <c r="J99" s="558"/>
    </row>
    <row r="100" spans="1:10" ht="14.4" customHeight="1">
      <c r="A100" s="563"/>
      <c r="B100" s="561"/>
      <c r="D100" s="562"/>
      <c r="E100" s="548"/>
      <c r="G100" s="558"/>
      <c r="H100" s="558"/>
      <c r="I100" s="558"/>
      <c r="J100" s="558"/>
    </row>
    <row r="101" spans="1:10" ht="14.4" customHeight="1">
      <c r="A101" s="563"/>
      <c r="B101" s="561"/>
      <c r="D101" s="562"/>
      <c r="E101" s="548"/>
      <c r="G101" s="558"/>
      <c r="H101" s="558"/>
      <c r="I101" s="558"/>
      <c r="J101" s="558"/>
    </row>
    <row r="102" spans="1:10" ht="14.4" customHeight="1">
      <c r="A102" s="563"/>
      <c r="B102" s="561"/>
      <c r="D102" s="562"/>
      <c r="E102" s="548"/>
      <c r="G102" s="558"/>
      <c r="H102" s="558"/>
      <c r="I102" s="558"/>
      <c r="J102" s="558"/>
    </row>
    <row r="103" spans="1:10" ht="14.4" customHeight="1">
      <c r="A103" s="563"/>
      <c r="B103" s="561"/>
      <c r="D103" s="562"/>
      <c r="E103" s="548"/>
      <c r="G103" s="558"/>
      <c r="H103" s="558"/>
      <c r="I103" s="558"/>
      <c r="J103" s="558"/>
    </row>
    <row r="104" spans="1:10" ht="14.4" customHeight="1">
      <c r="A104" s="563"/>
      <c r="B104" s="561"/>
      <c r="D104" s="562"/>
      <c r="E104" s="548"/>
      <c r="G104" s="558"/>
      <c r="H104" s="558"/>
      <c r="I104" s="558"/>
      <c r="J104" s="558"/>
    </row>
    <row r="105" spans="1:10" ht="14.4" customHeight="1">
      <c r="A105" s="563"/>
      <c r="B105" s="561"/>
      <c r="D105" s="562"/>
      <c r="E105" s="548"/>
      <c r="G105" s="558"/>
      <c r="H105" s="558"/>
      <c r="I105" s="558"/>
      <c r="J105" s="558"/>
    </row>
    <row r="106" spans="1:10" ht="14.4" customHeight="1">
      <c r="A106" s="563"/>
      <c r="B106" s="561"/>
      <c r="D106" s="562"/>
      <c r="E106" s="548"/>
      <c r="G106" s="558"/>
      <c r="H106" s="558"/>
      <c r="I106" s="558"/>
      <c r="J106" s="558"/>
    </row>
    <row r="107" spans="1:10" ht="14.4" customHeight="1">
      <c r="A107" s="563"/>
      <c r="B107" s="561"/>
      <c r="D107" s="562"/>
      <c r="E107" s="571"/>
      <c r="F107" s="571"/>
      <c r="G107" s="558"/>
      <c r="H107" s="558"/>
      <c r="I107" s="558"/>
      <c r="J107" s="558"/>
    </row>
    <row r="108" spans="1:10" ht="14.4" customHeight="1">
      <c r="A108" s="563"/>
      <c r="B108" s="558"/>
      <c r="C108" s="558"/>
      <c r="D108" s="558"/>
      <c r="E108" s="559"/>
      <c r="F108" s="558"/>
      <c r="G108" s="558"/>
      <c r="H108" s="558"/>
      <c r="I108" s="558"/>
      <c r="J108" s="558"/>
    </row>
    <row r="109" spans="1:10" ht="14.4" customHeight="1">
      <c r="A109" s="563"/>
      <c r="B109" s="559"/>
      <c r="C109" s="558"/>
      <c r="D109" s="558"/>
      <c r="E109" s="559"/>
      <c r="F109" s="558"/>
      <c r="G109" s="558"/>
      <c r="H109" s="558"/>
      <c r="I109" s="558"/>
      <c r="J109" s="558"/>
    </row>
    <row r="110" spans="1:10" ht="14.4" customHeight="1">
      <c r="A110" s="563"/>
      <c r="B110" s="558"/>
      <c r="C110" s="561"/>
      <c r="E110" s="559"/>
      <c r="F110" s="558"/>
      <c r="G110" s="558"/>
      <c r="H110" s="558"/>
      <c r="I110" s="558"/>
      <c r="J110" s="558"/>
    </row>
    <row r="111" spans="1:10" ht="14.4" customHeight="1">
      <c r="A111" s="560"/>
      <c r="B111" s="558"/>
      <c r="C111" s="561"/>
      <c r="E111" s="559"/>
      <c r="F111" s="558"/>
      <c r="G111" s="558"/>
      <c r="H111" s="558"/>
      <c r="I111" s="558"/>
      <c r="J111" s="558"/>
    </row>
    <row r="112" spans="1:10" ht="14.4" customHeight="1">
      <c r="A112" s="572"/>
      <c r="B112" s="558"/>
      <c r="C112" s="558"/>
      <c r="D112" s="558"/>
      <c r="E112" s="559"/>
      <c r="F112" s="558"/>
      <c r="G112" s="558"/>
      <c r="H112" s="558"/>
      <c r="I112" s="558"/>
      <c r="J112" s="558"/>
    </row>
    <row r="113" spans="1:35" ht="14.4" customHeight="1">
      <c r="A113" s="573"/>
      <c r="B113" s="574"/>
      <c r="C113" s="575"/>
      <c r="D113" s="575"/>
      <c r="E113" s="576"/>
      <c r="F113" s="575"/>
      <c r="G113" s="575"/>
      <c r="H113" s="577"/>
      <c r="I113" s="577"/>
      <c r="J113" s="577"/>
    </row>
    <row r="114" spans="1:35" ht="14.4" customHeight="1">
      <c r="A114" s="573"/>
      <c r="B114" s="574"/>
      <c r="C114" s="575"/>
      <c r="D114" s="575"/>
      <c r="E114" s="576"/>
      <c r="F114" s="575"/>
      <c r="G114" s="575"/>
      <c r="H114" s="577"/>
      <c r="I114" s="577"/>
      <c r="J114" s="577"/>
    </row>
    <row r="115" spans="1:35" ht="14.4" customHeight="1">
      <c r="A115" s="573"/>
      <c r="B115" s="574"/>
      <c r="C115" s="575"/>
      <c r="D115" s="575"/>
      <c r="E115" s="576"/>
      <c r="F115" s="575"/>
      <c r="G115" s="575"/>
      <c r="H115" s="577"/>
      <c r="I115" s="577"/>
      <c r="J115" s="577"/>
    </row>
    <row r="116" spans="1:35" ht="14.4" customHeight="1">
      <c r="A116" s="573"/>
      <c r="B116" s="574"/>
      <c r="C116" s="575"/>
      <c r="D116" s="575"/>
      <c r="E116" s="576"/>
      <c r="F116" s="575"/>
      <c r="G116" s="575"/>
      <c r="H116" s="577"/>
      <c r="I116" s="577"/>
      <c r="J116" s="577"/>
    </row>
    <row r="117" spans="1:35" ht="14.4" customHeight="1">
      <c r="A117" s="573"/>
      <c r="B117" s="574"/>
      <c r="C117" s="575"/>
      <c r="D117" s="575"/>
      <c r="E117" s="576"/>
      <c r="F117" s="575"/>
      <c r="G117" s="575"/>
      <c r="H117" s="577"/>
      <c r="I117" s="577"/>
      <c r="J117" s="577"/>
    </row>
    <row r="118" spans="1:35" ht="14.4" customHeight="1">
      <c r="A118" s="573"/>
      <c r="B118" s="574"/>
      <c r="C118" s="575"/>
      <c r="D118" s="575"/>
      <c r="E118" s="576"/>
      <c r="F118" s="575"/>
      <c r="G118" s="575"/>
      <c r="H118" s="577"/>
      <c r="I118" s="577"/>
      <c r="J118" s="577"/>
    </row>
    <row r="119" spans="1:35" ht="14.4" customHeight="1">
      <c r="A119" s="573"/>
      <c r="B119" s="574"/>
      <c r="C119" s="575"/>
      <c r="D119" s="575"/>
      <c r="E119" s="576"/>
      <c r="F119" s="575"/>
      <c r="G119" s="575"/>
      <c r="H119" s="577"/>
      <c r="I119" s="577"/>
      <c r="J119" s="577"/>
    </row>
    <row r="120" spans="1:35" ht="14.4" customHeight="1">
      <c r="A120" s="573"/>
      <c r="B120" s="574"/>
      <c r="C120" s="575"/>
      <c r="D120" s="575"/>
      <c r="E120" s="576"/>
      <c r="F120" s="575"/>
      <c r="G120" s="575"/>
      <c r="H120" s="577"/>
      <c r="I120" s="577"/>
      <c r="J120" s="577"/>
    </row>
    <row r="121" spans="1:35" ht="14.4" customHeight="1">
      <c r="A121" s="573"/>
      <c r="B121" s="574"/>
      <c r="C121" s="575"/>
      <c r="D121" s="575"/>
      <c r="E121" s="576"/>
      <c r="F121" s="575"/>
      <c r="G121" s="575"/>
      <c r="H121" s="577"/>
      <c r="I121" s="577"/>
      <c r="J121" s="577"/>
    </row>
    <row r="122" spans="1:35" ht="14.4" customHeight="1">
      <c r="A122" s="573"/>
      <c r="B122" s="574"/>
      <c r="C122" s="575"/>
      <c r="D122" s="575"/>
      <c r="E122" s="576"/>
      <c r="F122" s="575"/>
      <c r="G122" s="575"/>
      <c r="H122" s="577"/>
      <c r="I122" s="577"/>
      <c r="J122" s="577"/>
    </row>
    <row r="123" spans="1:35" ht="14.4" customHeight="1">
      <c r="A123" s="573"/>
      <c r="B123" s="574"/>
      <c r="C123" s="575"/>
      <c r="D123" s="575"/>
      <c r="E123" s="576"/>
      <c r="F123" s="575"/>
      <c r="G123" s="575"/>
      <c r="H123" s="577"/>
      <c r="I123" s="577"/>
      <c r="J123" s="577"/>
      <c r="AI123" s="548" t="s">
        <v>1211</v>
      </c>
    </row>
    <row r="124" spans="1:35" ht="14.4" customHeight="1">
      <c r="A124" s="573"/>
      <c r="B124" s="574"/>
      <c r="C124" s="575"/>
      <c r="D124" s="575"/>
      <c r="E124" s="576"/>
      <c r="F124" s="575"/>
      <c r="G124" s="575"/>
      <c r="H124" s="577"/>
      <c r="I124" s="577"/>
      <c r="J124" s="577"/>
      <c r="AI124" s="548" t="s">
        <v>1210</v>
      </c>
    </row>
    <row r="125" spans="1:35" ht="14.4" customHeight="1">
      <c r="A125" s="573"/>
      <c r="B125" s="574"/>
      <c r="C125" s="575"/>
      <c r="D125" s="575"/>
      <c r="E125" s="576"/>
      <c r="F125" s="575"/>
      <c r="G125" s="575"/>
      <c r="H125" s="577"/>
      <c r="I125" s="577"/>
      <c r="J125" s="577"/>
    </row>
    <row r="126" spans="1:35" ht="14.4" customHeight="1">
      <c r="A126" s="573"/>
      <c r="B126" s="574"/>
      <c r="C126" s="575"/>
      <c r="D126" s="575"/>
      <c r="E126" s="576"/>
      <c r="F126" s="575"/>
      <c r="G126" s="575"/>
      <c r="H126" s="577"/>
      <c r="I126" s="577"/>
      <c r="J126" s="577"/>
    </row>
    <row r="127" spans="1:35" ht="14.4" customHeight="1">
      <c r="A127" s="573"/>
      <c r="B127" s="574"/>
      <c r="C127" s="575"/>
      <c r="D127" s="575"/>
      <c r="E127" s="576"/>
      <c r="F127" s="575"/>
      <c r="G127" s="575"/>
      <c r="H127" s="577"/>
      <c r="I127" s="577"/>
      <c r="J127" s="577"/>
      <c r="U127" s="578"/>
    </row>
    <row r="128" spans="1:35" ht="14.4" customHeight="1">
      <c r="A128" s="573"/>
      <c r="B128" s="574"/>
      <c r="C128" s="575"/>
      <c r="D128" s="575"/>
      <c r="E128" s="576"/>
      <c r="F128" s="575"/>
      <c r="G128" s="575"/>
      <c r="H128" s="577"/>
      <c r="I128" s="577"/>
      <c r="J128" s="577"/>
    </row>
    <row r="129" spans="1:11" ht="14.4" customHeight="1">
      <c r="A129" s="573"/>
      <c r="B129" s="574"/>
      <c r="C129" s="575"/>
      <c r="D129" s="575"/>
      <c r="E129" s="576"/>
      <c r="F129" s="575"/>
      <c r="G129" s="575"/>
      <c r="H129" s="577"/>
      <c r="I129" s="577"/>
      <c r="J129" s="577"/>
    </row>
    <row r="130" spans="1:11" ht="14.4" customHeight="1">
      <c r="A130" s="573"/>
      <c r="B130" s="574"/>
      <c r="C130" s="575"/>
      <c r="D130" s="575"/>
      <c r="E130" s="576"/>
      <c r="F130" s="575"/>
      <c r="G130" s="575"/>
      <c r="H130" s="577"/>
      <c r="I130" s="577"/>
      <c r="J130" s="577"/>
    </row>
    <row r="131" spans="1:11" ht="14.4" customHeight="1">
      <c r="A131" s="573"/>
      <c r="B131" s="574"/>
      <c r="C131" s="575"/>
      <c r="D131" s="575"/>
      <c r="E131" s="576"/>
      <c r="F131" s="575"/>
      <c r="G131" s="575"/>
      <c r="H131" s="577"/>
      <c r="I131" s="577"/>
      <c r="J131" s="577"/>
    </row>
    <row r="132" spans="1:11" ht="14.4" customHeight="1">
      <c r="A132" s="573"/>
      <c r="B132" s="574"/>
      <c r="C132" s="575"/>
      <c r="D132" s="575"/>
      <c r="E132" s="576"/>
      <c r="F132" s="575"/>
      <c r="G132" s="575"/>
      <c r="H132" s="577"/>
      <c r="I132" s="577"/>
      <c r="J132" s="577"/>
    </row>
    <row r="133" spans="1:11" ht="14.4" customHeight="1">
      <c r="A133" s="573"/>
      <c r="B133" s="574"/>
      <c r="C133" s="575"/>
      <c r="D133" s="575"/>
      <c r="E133" s="576"/>
      <c r="F133" s="575"/>
      <c r="G133" s="575"/>
      <c r="H133" s="577"/>
      <c r="I133" s="577"/>
      <c r="J133" s="577"/>
    </row>
    <row r="134" spans="1:11" ht="14.4" customHeight="1">
      <c r="A134" s="573"/>
      <c r="C134" s="575"/>
      <c r="D134" s="575"/>
      <c r="E134" s="576"/>
      <c r="F134" s="575"/>
      <c r="G134" s="575"/>
      <c r="H134" s="577"/>
      <c r="I134" s="577"/>
      <c r="J134" s="577"/>
    </row>
    <row r="135" spans="1:11" ht="14.4" customHeight="1">
      <c r="A135" s="573"/>
      <c r="B135" s="559" t="s">
        <v>1074</v>
      </c>
      <c r="C135" s="575"/>
      <c r="D135" s="575"/>
      <c r="E135" s="576"/>
      <c r="F135" s="575"/>
      <c r="G135" s="575"/>
      <c r="H135" s="577"/>
      <c r="I135" s="577"/>
      <c r="J135" s="577"/>
    </row>
    <row r="136" spans="1:11" ht="14.4" customHeight="1">
      <c r="B136" s="578" t="s">
        <v>1075</v>
      </c>
      <c r="C136" s="570"/>
      <c r="D136" s="570"/>
      <c r="E136" s="548"/>
      <c r="F136" s="570"/>
      <c r="G136" s="570"/>
      <c r="H136" s="570"/>
      <c r="I136" s="570"/>
      <c r="J136" s="570"/>
      <c r="K136" s="570"/>
    </row>
    <row r="137" spans="1:11" ht="14.4" customHeight="1">
      <c r="B137" s="578"/>
      <c r="C137" s="570"/>
      <c r="D137" s="570"/>
      <c r="E137" s="548"/>
      <c r="F137" s="570"/>
      <c r="G137" s="570"/>
      <c r="H137" s="570"/>
      <c r="I137" s="570"/>
      <c r="J137" s="570"/>
      <c r="K137" s="570"/>
    </row>
    <row r="138" spans="1:11" ht="14.4" customHeight="1">
      <c r="B138" s="578"/>
      <c r="C138" s="570"/>
      <c r="D138" s="570"/>
      <c r="E138" s="548"/>
      <c r="F138" s="570"/>
      <c r="G138" s="570"/>
      <c r="H138" s="570"/>
      <c r="I138" s="570"/>
      <c r="J138" s="570"/>
      <c r="K138" s="570"/>
    </row>
    <row r="139" spans="1:11" ht="14.4" customHeight="1">
      <c r="B139" s="578"/>
      <c r="C139" s="570"/>
      <c r="D139" s="570"/>
      <c r="E139" s="548"/>
      <c r="F139" s="570"/>
      <c r="G139" s="570"/>
      <c r="H139" s="570"/>
      <c r="I139" s="570"/>
      <c r="J139" s="570"/>
      <c r="K139" s="570"/>
    </row>
    <row r="140" spans="1:11" ht="14.4" customHeight="1">
      <c r="B140" s="578"/>
      <c r="C140" s="570"/>
      <c r="D140" s="570"/>
      <c r="E140" s="548"/>
      <c r="F140" s="570"/>
      <c r="G140" s="570"/>
      <c r="H140" s="570"/>
      <c r="I140" s="570"/>
      <c r="J140" s="570"/>
      <c r="K140" s="570"/>
    </row>
    <row r="141" spans="1:11" ht="14.4" customHeight="1">
      <c r="B141" s="578"/>
      <c r="C141" s="570"/>
      <c r="D141" s="570"/>
      <c r="E141" s="548"/>
      <c r="F141" s="570"/>
      <c r="G141" s="570"/>
      <c r="H141" s="570"/>
      <c r="I141" s="570"/>
      <c r="J141" s="570"/>
      <c r="K141" s="570"/>
    </row>
    <row r="142" spans="1:11" ht="14.4" customHeight="1">
      <c r="B142" s="578"/>
      <c r="C142" s="570"/>
      <c r="D142" s="570"/>
      <c r="E142" s="548"/>
      <c r="F142" s="570"/>
      <c r="G142" s="570"/>
      <c r="H142" s="570"/>
      <c r="I142" s="570"/>
      <c r="J142" s="570"/>
      <c r="K142" s="570"/>
    </row>
    <row r="143" spans="1:11" ht="14.4" customHeight="1">
      <c r="B143" s="578"/>
      <c r="C143" s="570"/>
      <c r="D143" s="570"/>
      <c r="E143" s="548"/>
      <c r="F143" s="570"/>
      <c r="G143" s="570"/>
      <c r="H143" s="570"/>
      <c r="I143" s="570"/>
      <c r="J143" s="570"/>
      <c r="K143" s="570"/>
    </row>
    <row r="144" spans="1:11" ht="14.4" customHeight="1">
      <c r="B144" s="578"/>
      <c r="C144" s="579" t="s">
        <v>1076</v>
      </c>
      <c r="D144" s="562" t="s">
        <v>63</v>
      </c>
      <c r="E144" s="548" t="s">
        <v>1209</v>
      </c>
      <c r="F144" s="570"/>
      <c r="G144" s="570"/>
      <c r="H144" s="570"/>
      <c r="I144" s="570"/>
      <c r="J144" s="570"/>
      <c r="K144" s="570"/>
    </row>
    <row r="145" spans="1:11" ht="14.4" customHeight="1">
      <c r="C145" s="561" t="s">
        <v>336</v>
      </c>
      <c r="D145" s="562" t="s">
        <v>63</v>
      </c>
      <c r="E145" s="558" t="s">
        <v>1077</v>
      </c>
      <c r="G145" s="558"/>
      <c r="H145" s="558"/>
      <c r="I145" s="570"/>
      <c r="J145" s="570"/>
      <c r="K145" s="570"/>
    </row>
    <row r="146" spans="1:11" ht="14.4" customHeight="1">
      <c r="C146" s="561" t="s">
        <v>1078</v>
      </c>
      <c r="D146" s="562" t="s">
        <v>1053</v>
      </c>
      <c r="E146" s="558" t="s">
        <v>1193</v>
      </c>
      <c r="G146" s="558"/>
      <c r="H146" s="558"/>
      <c r="I146" s="570"/>
      <c r="J146" s="570"/>
      <c r="K146" s="570"/>
    </row>
    <row r="147" spans="1:11" ht="14.4" customHeight="1">
      <c r="C147" s="561"/>
      <c r="D147" s="562" t="s">
        <v>1053</v>
      </c>
      <c r="E147" s="558">
        <f>5250*0.75</f>
        <v>3937.5</v>
      </c>
      <c r="F147" s="548" t="s">
        <v>346</v>
      </c>
      <c r="G147" s="558"/>
      <c r="H147" s="558"/>
      <c r="I147" s="570"/>
      <c r="J147" s="570"/>
      <c r="K147" s="570"/>
    </row>
    <row r="148" spans="1:11" ht="14.4" customHeight="1" thickBot="1">
      <c r="C148" s="561"/>
      <c r="D148" s="562"/>
      <c r="E148" s="558"/>
      <c r="G148" s="558"/>
      <c r="H148" s="558"/>
      <c r="I148" s="570"/>
      <c r="J148" s="570"/>
      <c r="K148" s="570"/>
    </row>
    <row r="149" spans="1:11" ht="14.4" customHeight="1">
      <c r="B149" s="580"/>
      <c r="C149" s="581" t="s">
        <v>1080</v>
      </c>
      <c r="D149" s="582" t="s">
        <v>63</v>
      </c>
      <c r="E149" s="583">
        <v>5175</v>
      </c>
      <c r="F149" s="584" t="s">
        <v>346</v>
      </c>
      <c r="H149" s="558"/>
      <c r="I149" s="558"/>
      <c r="J149" s="558"/>
      <c r="K149" s="558"/>
    </row>
    <row r="150" spans="1:11" ht="14.4" customHeight="1" thickBot="1">
      <c r="B150" s="585"/>
      <c r="C150" s="586" t="s">
        <v>605</v>
      </c>
      <c r="D150" s="587" t="s">
        <v>63</v>
      </c>
      <c r="E150" s="588">
        <v>2</v>
      </c>
      <c r="F150" s="589"/>
      <c r="H150" s="558"/>
      <c r="I150" s="558"/>
      <c r="J150" s="558"/>
      <c r="K150" s="558"/>
    </row>
    <row r="151" spans="1:11" ht="14.4" customHeight="1">
      <c r="E151" s="548"/>
      <c r="H151" s="558"/>
      <c r="I151" s="558"/>
      <c r="J151" s="558"/>
      <c r="K151" s="558"/>
    </row>
    <row r="152" spans="1:11" ht="14.4" customHeight="1">
      <c r="C152" s="561"/>
      <c r="D152" s="562"/>
      <c r="E152" s="559"/>
      <c r="F152" s="558"/>
      <c r="H152" s="558"/>
      <c r="I152" s="558"/>
      <c r="J152" s="558"/>
      <c r="K152" s="558"/>
    </row>
    <row r="153" spans="1:11" ht="14.4" customHeight="1">
      <c r="B153" s="578" t="s">
        <v>1081</v>
      </c>
      <c r="C153" s="561"/>
      <c r="D153" s="562"/>
      <c r="E153" s="561"/>
      <c r="F153" s="559"/>
      <c r="G153" s="558"/>
      <c r="H153" s="558"/>
      <c r="I153" s="558"/>
      <c r="J153" s="558"/>
      <c r="K153" s="558"/>
    </row>
    <row r="154" spans="1:11" ht="14.4" customHeight="1">
      <c r="B154" s="558"/>
      <c r="C154" s="561" t="s">
        <v>365</v>
      </c>
      <c r="D154" s="562" t="s">
        <v>63</v>
      </c>
      <c r="E154" s="590">
        <v>577.5</v>
      </c>
      <c r="F154" s="558" t="s">
        <v>4</v>
      </c>
      <c r="H154" s="558"/>
      <c r="I154" s="558"/>
      <c r="J154" s="558"/>
      <c r="K154" s="558"/>
    </row>
    <row r="155" spans="1:11" ht="14.4" customHeight="1">
      <c r="B155" s="558"/>
      <c r="C155" s="561" t="s">
        <v>1082</v>
      </c>
      <c r="D155" s="562" t="s">
        <v>63</v>
      </c>
      <c r="E155" s="559">
        <v>73</v>
      </c>
      <c r="F155" s="559" t="s">
        <v>351</v>
      </c>
      <c r="H155" s="558" t="s">
        <v>1194</v>
      </c>
      <c r="I155" s="558"/>
      <c r="J155" s="558"/>
      <c r="K155" s="558"/>
    </row>
    <row r="156" spans="1:11" ht="14.4" customHeight="1">
      <c r="B156" s="558"/>
      <c r="C156" s="558"/>
      <c r="D156" s="562" t="s">
        <v>63</v>
      </c>
      <c r="E156" s="590">
        <v>64</v>
      </c>
      <c r="F156" s="559" t="s">
        <v>351</v>
      </c>
      <c r="H156" s="558" t="s">
        <v>1195</v>
      </c>
      <c r="I156" s="558"/>
      <c r="J156" s="558"/>
      <c r="K156" s="558"/>
    </row>
    <row r="157" spans="1:11" ht="14.4" customHeight="1">
      <c r="B157" s="558"/>
      <c r="C157" s="558"/>
      <c r="D157" s="562" t="s">
        <v>63</v>
      </c>
      <c r="E157" s="559">
        <v>56</v>
      </c>
      <c r="F157" s="559" t="s">
        <v>351</v>
      </c>
      <c r="H157" s="558" t="s">
        <v>1196</v>
      </c>
      <c r="I157" s="558"/>
      <c r="J157" s="558"/>
      <c r="K157" s="558"/>
    </row>
    <row r="158" spans="1:11" ht="14.4" customHeight="1">
      <c r="B158" s="558"/>
      <c r="C158" s="558"/>
      <c r="D158" s="562"/>
      <c r="E158" s="559"/>
      <c r="F158" s="559"/>
      <c r="H158" s="558"/>
      <c r="I158" s="558"/>
      <c r="J158" s="558"/>
      <c r="K158" s="558"/>
    </row>
    <row r="159" spans="1:11" ht="14.4" customHeight="1" thickBot="1">
      <c r="B159" s="591" t="s">
        <v>1213</v>
      </c>
      <c r="C159" s="561"/>
      <c r="D159" s="558"/>
      <c r="E159" s="559"/>
      <c r="F159" s="558"/>
      <c r="G159" s="558"/>
      <c r="H159" s="558"/>
      <c r="I159" s="558"/>
      <c r="J159" s="558"/>
    </row>
    <row r="160" spans="1:11" ht="14.4" customHeight="1">
      <c r="A160" s="560"/>
      <c r="B160" s="580"/>
      <c r="C160" s="592"/>
      <c r="D160" s="593" t="s">
        <v>1083</v>
      </c>
      <c r="E160" s="582" t="s">
        <v>63</v>
      </c>
      <c r="F160" s="594">
        <v>220</v>
      </c>
      <c r="G160" s="595" t="s">
        <v>4</v>
      </c>
      <c r="H160" s="558"/>
      <c r="I160" s="558"/>
      <c r="J160" s="558"/>
    </row>
    <row r="161" spans="1:18" ht="14.4" customHeight="1" thickBot="1">
      <c r="A161" s="560"/>
      <c r="B161" s="585"/>
      <c r="C161" s="596"/>
      <c r="D161" s="586" t="s">
        <v>1084</v>
      </c>
      <c r="E161" s="587" t="s">
        <v>63</v>
      </c>
      <c r="F161" s="597">
        <v>1024</v>
      </c>
      <c r="G161" s="589" t="s">
        <v>1085</v>
      </c>
      <c r="H161" s="558"/>
      <c r="I161" s="558"/>
      <c r="J161" s="558"/>
    </row>
    <row r="162" spans="1:18" ht="14.4" customHeight="1">
      <c r="A162" s="560"/>
      <c r="B162" s="558"/>
      <c r="C162" s="561"/>
      <c r="D162" s="561"/>
      <c r="E162" s="559"/>
      <c r="F162" s="558"/>
      <c r="G162" s="558"/>
      <c r="H162" s="558"/>
      <c r="I162" s="558"/>
      <c r="J162" s="558"/>
    </row>
    <row r="163" spans="1:18" ht="14.4" customHeight="1" thickBot="1">
      <c r="B163" s="591" t="s">
        <v>1212</v>
      </c>
      <c r="C163" s="558"/>
      <c r="D163" s="558"/>
      <c r="E163" s="559"/>
      <c r="F163" s="558"/>
      <c r="G163" s="558"/>
      <c r="H163" s="558"/>
      <c r="I163" s="558"/>
      <c r="J163" s="558"/>
    </row>
    <row r="164" spans="1:18" ht="14.4" customHeight="1">
      <c r="A164" s="560"/>
      <c r="B164" s="580"/>
      <c r="C164" s="592"/>
      <c r="D164" s="593" t="s">
        <v>605</v>
      </c>
      <c r="E164" s="582" t="s">
        <v>63</v>
      </c>
      <c r="F164" s="594">
        <v>5</v>
      </c>
      <c r="G164" s="595"/>
      <c r="H164" s="558"/>
      <c r="I164" s="558"/>
      <c r="J164" s="558"/>
    </row>
    <row r="165" spans="1:18" ht="14.4" customHeight="1">
      <c r="A165" s="560"/>
      <c r="B165" s="598"/>
      <c r="D165" s="561" t="s">
        <v>1086</v>
      </c>
      <c r="E165" s="562" t="s">
        <v>63</v>
      </c>
      <c r="F165" s="559">
        <v>190</v>
      </c>
      <c r="G165" s="599" t="s">
        <v>4</v>
      </c>
      <c r="H165" s="558"/>
      <c r="I165" s="558"/>
      <c r="J165" s="558"/>
    </row>
    <row r="166" spans="1:18" ht="14.4" customHeight="1" thickBot="1">
      <c r="A166" s="560"/>
      <c r="B166" s="585"/>
      <c r="C166" s="596"/>
      <c r="D166" s="586" t="s">
        <v>1084</v>
      </c>
      <c r="E166" s="587" t="s">
        <v>63</v>
      </c>
      <c r="F166" s="597">
        <v>384</v>
      </c>
      <c r="G166" s="589" t="s">
        <v>1085</v>
      </c>
      <c r="H166" s="558"/>
      <c r="I166" s="558"/>
      <c r="J166" s="558"/>
    </row>
    <row r="167" spans="1:18" ht="14.4" customHeight="1">
      <c r="A167" s="560"/>
      <c r="B167" s="558"/>
      <c r="C167" s="558"/>
      <c r="D167" s="558"/>
      <c r="E167" s="559"/>
      <c r="F167" s="558"/>
      <c r="G167" s="558"/>
      <c r="H167" s="558"/>
      <c r="I167" s="558"/>
      <c r="J167" s="558"/>
    </row>
    <row r="168" spans="1:18" ht="14.4" customHeight="1">
      <c r="A168" s="556"/>
      <c r="B168" s="557" t="s">
        <v>1087</v>
      </c>
      <c r="C168" s="558"/>
      <c r="D168" s="558"/>
      <c r="E168" s="559"/>
      <c r="F168" s="558"/>
      <c r="G168" s="558"/>
      <c r="H168" s="558"/>
      <c r="I168" s="558"/>
      <c r="J168" s="558"/>
    </row>
    <row r="169" spans="1:18" ht="14.4" customHeight="1">
      <c r="A169" s="600"/>
      <c r="B169" s="989" t="s">
        <v>1088</v>
      </c>
      <c r="C169" s="989"/>
      <c r="D169" s="989"/>
      <c r="E169" s="989"/>
      <c r="F169" s="989"/>
      <c r="G169" s="989"/>
      <c r="H169" s="989"/>
      <c r="I169" s="989"/>
      <c r="J169" s="989"/>
      <c r="K169" s="989"/>
      <c r="L169" s="989"/>
      <c r="M169" s="989"/>
      <c r="N169" s="989"/>
      <c r="O169" s="989"/>
      <c r="P169" s="989"/>
      <c r="Q169" s="989"/>
      <c r="R169" s="989"/>
    </row>
    <row r="170" spans="1:18" ht="14.4" customHeight="1">
      <c r="A170" s="600"/>
      <c r="B170" s="989"/>
      <c r="C170" s="989"/>
      <c r="D170" s="989"/>
      <c r="E170" s="989"/>
      <c r="F170" s="989"/>
      <c r="G170" s="989"/>
      <c r="H170" s="989"/>
      <c r="I170" s="989"/>
      <c r="J170" s="989"/>
      <c r="K170" s="989"/>
      <c r="L170" s="989"/>
      <c r="M170" s="989"/>
      <c r="N170" s="989"/>
      <c r="O170" s="989"/>
      <c r="P170" s="989"/>
      <c r="Q170" s="989"/>
      <c r="R170" s="989"/>
    </row>
    <row r="171" spans="1:18" ht="14.4" customHeight="1">
      <c r="A171" s="601"/>
      <c r="B171" s="990" t="s">
        <v>1089</v>
      </c>
      <c r="C171" s="990"/>
      <c r="D171" s="990"/>
      <c r="E171" s="990"/>
      <c r="F171" s="990"/>
      <c r="G171" s="990"/>
      <c r="H171" s="990"/>
      <c r="I171" s="990"/>
      <c r="J171" s="990"/>
    </row>
    <row r="172" spans="1:18" ht="14.4" customHeight="1">
      <c r="A172" s="563"/>
      <c r="C172" s="561" t="s">
        <v>819</v>
      </c>
      <c r="D172" s="562" t="s">
        <v>63</v>
      </c>
      <c r="E172" s="558" t="s">
        <v>1377</v>
      </c>
      <c r="F172" s="558"/>
      <c r="H172" s="558"/>
      <c r="I172" s="559" t="s">
        <v>1378</v>
      </c>
      <c r="J172" s="558"/>
    </row>
    <row r="173" spans="1:18" ht="14.4" customHeight="1">
      <c r="A173" s="563"/>
      <c r="D173" s="561" t="s">
        <v>787</v>
      </c>
      <c r="E173" s="558"/>
      <c r="F173" s="558"/>
      <c r="G173" s="559"/>
      <c r="H173" s="558"/>
      <c r="I173" s="558"/>
      <c r="J173" s="558"/>
    </row>
    <row r="174" spans="1:18" ht="14.4" customHeight="1">
      <c r="A174" s="563"/>
      <c r="C174" s="561" t="s">
        <v>1090</v>
      </c>
      <c r="D174" s="562" t="s">
        <v>63</v>
      </c>
      <c r="E174" s="558" t="s">
        <v>1091</v>
      </c>
      <c r="F174" s="558"/>
      <c r="H174" s="558"/>
      <c r="I174" s="559" t="s">
        <v>1092</v>
      </c>
      <c r="J174" s="558"/>
    </row>
    <row r="175" spans="1:18" ht="14.4" customHeight="1">
      <c r="A175" s="563"/>
      <c r="C175" s="561" t="s">
        <v>1093</v>
      </c>
      <c r="D175" s="562" t="s">
        <v>63</v>
      </c>
      <c r="E175" s="558" t="s">
        <v>1094</v>
      </c>
      <c r="F175" s="558"/>
      <c r="H175" s="558"/>
      <c r="I175" s="559" t="s">
        <v>1095</v>
      </c>
      <c r="J175" s="558"/>
    </row>
    <row r="176" spans="1:18" ht="14.4" customHeight="1">
      <c r="A176" s="560"/>
      <c r="C176" s="558"/>
      <c r="D176" s="562"/>
      <c r="E176" s="558"/>
      <c r="F176" s="558"/>
      <c r="G176" s="559"/>
      <c r="H176" s="558"/>
      <c r="I176" s="558"/>
      <c r="J176" s="558"/>
    </row>
    <row r="177" spans="1:18" ht="14.4" customHeight="1">
      <c r="A177" s="563"/>
      <c r="C177" s="561" t="s">
        <v>819</v>
      </c>
      <c r="D177" s="562" t="s">
        <v>63</v>
      </c>
      <c r="E177" s="571">
        <f>1.1* (E156)^2 * E154/10^5</f>
        <v>26.019839999999999</v>
      </c>
      <c r="F177" s="602" t="s">
        <v>1324</v>
      </c>
      <c r="G177" s="559"/>
      <c r="H177" s="558"/>
      <c r="I177" s="558"/>
      <c r="J177" s="558"/>
    </row>
    <row r="178" spans="1:18" ht="14.4" customHeight="1">
      <c r="A178" s="563"/>
      <c r="B178" s="561"/>
      <c r="C178" s="566"/>
      <c r="D178" s="602"/>
      <c r="E178" s="559"/>
      <c r="F178" s="558"/>
      <c r="G178" s="558"/>
      <c r="H178" s="558"/>
      <c r="I178" s="558"/>
      <c r="J178" s="558"/>
    </row>
    <row r="179" spans="1:18" ht="14.4" customHeight="1">
      <c r="A179" s="563"/>
      <c r="B179" s="578" t="s">
        <v>1096</v>
      </c>
      <c r="F179" s="603"/>
    </row>
    <row r="180" spans="1:18" ht="14.4" customHeight="1">
      <c r="A180" s="563"/>
      <c r="C180" s="548" t="s">
        <v>1097</v>
      </c>
      <c r="D180" s="604"/>
      <c r="E180" s="604"/>
      <c r="F180" s="604"/>
      <c r="G180" s="604"/>
      <c r="H180" s="604"/>
      <c r="I180" s="604"/>
      <c r="J180" s="604"/>
    </row>
    <row r="181" spans="1:18" ht="14.4" customHeight="1">
      <c r="A181" s="563"/>
      <c r="C181" s="605" t="s">
        <v>1379</v>
      </c>
      <c r="D181" s="562" t="s">
        <v>63</v>
      </c>
      <c r="E181" s="548" t="s">
        <v>1380</v>
      </c>
      <c r="F181" s="604"/>
      <c r="G181" s="604"/>
      <c r="H181" s="604"/>
      <c r="I181" s="604"/>
      <c r="J181" s="604"/>
    </row>
    <row r="182" spans="1:18" ht="14.4" customHeight="1">
      <c r="A182" s="563"/>
      <c r="C182" s="605"/>
      <c r="D182" s="562" t="s">
        <v>63</v>
      </c>
      <c r="E182" s="606">
        <f>(33*E156/1000)^2</f>
        <v>4.4605440000000005</v>
      </c>
      <c r="F182" s="548" t="s">
        <v>1375</v>
      </c>
    </row>
    <row r="183" spans="1:18" ht="14.4" customHeight="1">
      <c r="A183" s="563"/>
    </row>
    <row r="184" spans="1:18" ht="14.4" customHeight="1">
      <c r="A184" s="563"/>
      <c r="C184" s="548" t="s">
        <v>1098</v>
      </c>
    </row>
    <row r="185" spans="1:18" ht="14.4" customHeight="1">
      <c r="C185" s="579" t="s">
        <v>365</v>
      </c>
      <c r="D185" s="550" t="s">
        <v>63</v>
      </c>
      <c r="E185" s="548">
        <v>3</v>
      </c>
      <c r="F185" s="564" t="s">
        <v>4</v>
      </c>
    </row>
    <row r="186" spans="1:18" ht="14.4" customHeight="1">
      <c r="C186" s="579" t="s">
        <v>769</v>
      </c>
      <c r="D186" s="550" t="s">
        <v>63</v>
      </c>
      <c r="E186" s="548">
        <v>3</v>
      </c>
      <c r="F186" s="564" t="s">
        <v>4</v>
      </c>
    </row>
    <row r="187" spans="1:18" ht="14.4" customHeight="1">
      <c r="C187" s="579" t="s">
        <v>369</v>
      </c>
      <c r="D187" s="550" t="s">
        <v>63</v>
      </c>
      <c r="E187" s="548">
        <v>3</v>
      </c>
      <c r="F187" s="564" t="s">
        <v>4</v>
      </c>
    </row>
    <row r="188" spans="1:18" ht="14.4" customHeight="1">
      <c r="C188" s="579" t="s">
        <v>770</v>
      </c>
      <c r="D188" s="550" t="s">
        <v>63</v>
      </c>
      <c r="E188" s="607">
        <f>E185*E186*E187</f>
        <v>27</v>
      </c>
      <c r="F188" s="551" t="s">
        <v>1324</v>
      </c>
    </row>
    <row r="189" spans="1:18" ht="14.4" customHeight="1">
      <c r="A189" s="563"/>
      <c r="B189" s="522"/>
      <c r="C189" s="522"/>
      <c r="D189" s="522"/>
      <c r="E189" s="522"/>
      <c r="F189" s="522"/>
      <c r="G189" s="522"/>
      <c r="H189" s="522"/>
      <c r="I189" s="522"/>
      <c r="J189" s="522"/>
      <c r="K189" s="522"/>
      <c r="L189" s="522"/>
      <c r="M189" s="522"/>
      <c r="N189" s="522"/>
      <c r="O189" s="522"/>
      <c r="P189" s="522"/>
      <c r="Q189" s="522"/>
    </row>
    <row r="190" spans="1:18" ht="14.4" customHeight="1">
      <c r="A190" s="563"/>
      <c r="B190" s="549" t="s">
        <v>1099</v>
      </c>
    </row>
    <row r="191" spans="1:18" ht="14.4" customHeight="1">
      <c r="A191" s="563"/>
      <c r="C191" s="579" t="s">
        <v>1100</v>
      </c>
      <c r="D191" s="562" t="s">
        <v>63</v>
      </c>
      <c r="E191" s="551">
        <f>2*E188</f>
        <v>54</v>
      </c>
      <c r="F191" s="549" t="s">
        <v>1324</v>
      </c>
    </row>
    <row r="192" spans="1:18" ht="14.4" customHeight="1">
      <c r="A192" s="563"/>
      <c r="B192" s="825" t="s">
        <v>1101</v>
      </c>
      <c r="C192" s="825"/>
      <c r="D192" s="825"/>
      <c r="E192" s="825"/>
      <c r="F192" s="825"/>
      <c r="G192" s="825"/>
      <c r="H192" s="825"/>
      <c r="I192" s="825"/>
      <c r="J192" s="825"/>
      <c r="K192" s="825"/>
      <c r="L192" s="825"/>
      <c r="M192" s="825"/>
      <c r="N192" s="825"/>
      <c r="O192" s="825"/>
      <c r="P192" s="825"/>
      <c r="Q192" s="825"/>
      <c r="R192" s="825"/>
    </row>
    <row r="193" spans="1:18" ht="14.4" customHeight="1">
      <c r="A193" s="563"/>
      <c r="B193" s="825"/>
      <c r="C193" s="825"/>
      <c r="D193" s="825"/>
      <c r="E193" s="825"/>
      <c r="F193" s="825"/>
      <c r="G193" s="825"/>
      <c r="H193" s="825"/>
      <c r="I193" s="825"/>
      <c r="J193" s="825"/>
      <c r="K193" s="825"/>
      <c r="L193" s="825"/>
      <c r="M193" s="825"/>
      <c r="N193" s="825"/>
      <c r="O193" s="825"/>
      <c r="P193" s="825"/>
      <c r="Q193" s="825"/>
      <c r="R193" s="825"/>
    </row>
    <row r="194" spans="1:18" ht="14.4" customHeight="1">
      <c r="A194" s="563"/>
      <c r="B194" s="549" t="s">
        <v>1102</v>
      </c>
    </row>
    <row r="195" spans="1:18" ht="14.4" customHeight="1">
      <c r="A195" s="563"/>
      <c r="C195" s="579" t="s">
        <v>581</v>
      </c>
      <c r="D195" s="562" t="s">
        <v>63</v>
      </c>
      <c r="E195" s="549" t="s">
        <v>1394</v>
      </c>
      <c r="F195" s="549"/>
    </row>
    <row r="196" spans="1:18" ht="14.4" customHeight="1">
      <c r="A196" s="563"/>
      <c r="C196" s="579"/>
      <c r="D196" s="562" t="s">
        <v>63</v>
      </c>
      <c r="E196" s="608">
        <f>E182*0.7</f>
        <v>3.1223808000000002</v>
      </c>
      <c r="F196" s="549" t="s">
        <v>1324</v>
      </c>
    </row>
    <row r="197" spans="1:18" ht="14.4" customHeight="1">
      <c r="A197" s="563"/>
      <c r="B197" s="579"/>
      <c r="C197" s="579"/>
      <c r="D197" s="551"/>
    </row>
    <row r="198" spans="1:18" ht="14.4" customHeight="1">
      <c r="A198" s="609"/>
      <c r="B198" s="591" t="s">
        <v>1103</v>
      </c>
      <c r="C198" s="558"/>
      <c r="D198" s="558"/>
      <c r="E198" s="559"/>
      <c r="F198" s="558"/>
      <c r="G198" s="558"/>
      <c r="H198" s="558"/>
      <c r="I198" s="558"/>
      <c r="J198" s="558"/>
    </row>
    <row r="199" spans="1:18" ht="14.4" customHeight="1">
      <c r="A199" s="572"/>
      <c r="B199" s="559" t="s">
        <v>1104</v>
      </c>
      <c r="C199" s="558"/>
      <c r="D199" s="558"/>
      <c r="E199" s="559"/>
      <c r="F199" s="558"/>
      <c r="G199" s="558"/>
      <c r="H199" s="558"/>
      <c r="I199" s="558"/>
      <c r="J199" s="558"/>
    </row>
    <row r="200" spans="1:18" ht="14.4" customHeight="1">
      <c r="A200" s="572"/>
      <c r="B200" s="591" t="s">
        <v>1105</v>
      </c>
      <c r="C200" s="558"/>
      <c r="D200" s="558"/>
      <c r="E200" s="559"/>
      <c r="F200" s="558"/>
      <c r="G200" s="558"/>
      <c r="H200" s="558"/>
      <c r="I200" s="558"/>
      <c r="J200" s="558"/>
    </row>
    <row r="201" spans="1:18" ht="14.4" customHeight="1">
      <c r="A201" s="563"/>
      <c r="C201" s="561" t="s">
        <v>1106</v>
      </c>
      <c r="D201" s="562" t="s">
        <v>63</v>
      </c>
      <c r="E201" s="551">
        <f>E202*2.2</f>
        <v>11385.000000000002</v>
      </c>
      <c r="F201" s="548" t="s">
        <v>1079</v>
      </c>
      <c r="G201" s="558"/>
      <c r="H201" s="558"/>
      <c r="I201" s="558"/>
      <c r="J201" s="558"/>
    </row>
    <row r="202" spans="1:18" ht="14.4" customHeight="1">
      <c r="A202" s="563"/>
      <c r="C202" s="561"/>
      <c r="D202" s="562" t="s">
        <v>63</v>
      </c>
      <c r="E202" s="564">
        <f>E149</f>
        <v>5175</v>
      </c>
      <c r="F202" s="558" t="s">
        <v>425</v>
      </c>
      <c r="G202" s="558"/>
      <c r="H202" s="558"/>
      <c r="I202" s="558"/>
      <c r="J202" s="558"/>
    </row>
    <row r="203" spans="1:18" ht="14.4" customHeight="1">
      <c r="A203" s="572"/>
      <c r="B203" s="591" t="s">
        <v>1107</v>
      </c>
      <c r="C203" s="558"/>
      <c r="D203" s="558"/>
      <c r="E203" s="559"/>
      <c r="F203" s="558"/>
      <c r="G203" s="558"/>
      <c r="H203" s="558"/>
      <c r="I203" s="558"/>
      <c r="J203" s="558"/>
    </row>
    <row r="204" spans="1:18" ht="14.4" customHeight="1">
      <c r="A204" s="560"/>
      <c r="C204" s="561" t="s">
        <v>737</v>
      </c>
      <c r="D204" s="562" t="s">
        <v>63</v>
      </c>
      <c r="E204" s="564">
        <f>E156</f>
        <v>64</v>
      </c>
      <c r="F204" s="559" t="s">
        <v>351</v>
      </c>
      <c r="G204" s="558"/>
      <c r="H204" s="558"/>
      <c r="I204" s="558"/>
      <c r="J204" s="558"/>
    </row>
    <row r="205" spans="1:18" ht="14.4" customHeight="1">
      <c r="A205" s="560"/>
      <c r="C205" s="561"/>
      <c r="D205" s="562"/>
      <c r="E205" s="564"/>
      <c r="F205" s="559"/>
      <c r="G205" s="558"/>
      <c r="H205" s="558"/>
      <c r="I205" s="558"/>
      <c r="J205" s="558"/>
    </row>
    <row r="206" spans="1:18" ht="14.4" customHeight="1">
      <c r="A206" s="572"/>
      <c r="B206" s="591" t="s">
        <v>1197</v>
      </c>
      <c r="C206" s="558"/>
      <c r="D206" s="558"/>
      <c r="E206" s="559"/>
      <c r="F206" s="558"/>
      <c r="G206" s="558"/>
      <c r="H206" s="558"/>
      <c r="I206" s="558"/>
      <c r="J206" s="558"/>
    </row>
    <row r="207" spans="1:18" ht="14.4" customHeight="1">
      <c r="A207" s="572"/>
      <c r="B207" s="559" t="s">
        <v>1108</v>
      </c>
      <c r="C207" s="558"/>
      <c r="D207" s="558"/>
      <c r="E207" s="559"/>
      <c r="F207" s="558"/>
      <c r="G207" s="558"/>
      <c r="H207" s="558"/>
      <c r="I207" s="558"/>
      <c r="J207" s="558"/>
    </row>
    <row r="208" spans="1:18" ht="14.4" customHeight="1">
      <c r="A208" s="572"/>
      <c r="B208" s="559"/>
      <c r="C208" s="558"/>
      <c r="D208" s="558"/>
      <c r="E208" s="559"/>
      <c r="F208" s="558"/>
      <c r="G208" s="558"/>
      <c r="H208" s="558"/>
      <c r="I208" s="558"/>
      <c r="J208" s="558"/>
    </row>
    <row r="209" spans="1:17" ht="14.4" customHeight="1">
      <c r="A209" s="572"/>
      <c r="B209" s="559"/>
      <c r="C209" s="558"/>
      <c r="D209" s="558"/>
      <c r="E209" s="559"/>
      <c r="F209" s="558"/>
      <c r="G209" s="558"/>
      <c r="H209" s="558"/>
      <c r="I209" s="558"/>
      <c r="J209" s="558"/>
    </row>
    <row r="210" spans="1:17" ht="14.4" customHeight="1">
      <c r="A210" s="572"/>
      <c r="B210" s="559"/>
      <c r="C210" s="558"/>
      <c r="D210" s="558"/>
      <c r="E210" s="559"/>
      <c r="F210" s="558"/>
      <c r="G210" s="558"/>
      <c r="H210" s="558"/>
      <c r="I210" s="558"/>
      <c r="J210" s="558"/>
    </row>
    <row r="211" spans="1:17" ht="14.4" customHeight="1">
      <c r="A211" s="572"/>
      <c r="B211" s="559"/>
      <c r="C211" s="558"/>
      <c r="D211" s="558"/>
      <c r="E211" s="559"/>
      <c r="F211" s="558"/>
      <c r="G211" s="558"/>
      <c r="H211" s="558"/>
      <c r="I211" s="558"/>
      <c r="J211" s="558"/>
    </row>
    <row r="212" spans="1:17" ht="14.4" customHeight="1">
      <c r="A212" s="572"/>
      <c r="B212" s="591"/>
      <c r="C212" s="558"/>
      <c r="D212" s="558"/>
      <c r="E212" s="559"/>
      <c r="F212" s="558"/>
      <c r="G212" s="558"/>
      <c r="H212" s="558"/>
      <c r="I212" s="558"/>
      <c r="J212" s="558"/>
    </row>
    <row r="213" spans="1:17" ht="14.4" customHeight="1">
      <c r="A213" s="563"/>
      <c r="C213" s="579"/>
      <c r="D213" s="562"/>
      <c r="E213" s="564"/>
      <c r="F213" s="558"/>
      <c r="G213" s="558"/>
      <c r="H213" s="558"/>
      <c r="I213" s="558"/>
      <c r="J213" s="558"/>
    </row>
    <row r="214" spans="1:17" ht="14.4" customHeight="1">
      <c r="A214" s="563"/>
      <c r="C214" s="579"/>
      <c r="D214" s="562"/>
      <c r="E214" s="564"/>
      <c r="F214" s="558"/>
      <c r="G214" s="558"/>
      <c r="H214" s="558"/>
      <c r="I214" s="558"/>
      <c r="J214" s="558"/>
    </row>
    <row r="215" spans="1:17" ht="14.4" customHeight="1">
      <c r="A215" s="560"/>
      <c r="B215" s="559"/>
      <c r="C215" s="558"/>
      <c r="D215" s="562"/>
      <c r="E215" s="559"/>
      <c r="F215" s="558"/>
      <c r="G215" s="558"/>
      <c r="H215" s="558"/>
      <c r="I215" s="558"/>
      <c r="J215" s="558"/>
    </row>
    <row r="216" spans="1:17" ht="14.4" customHeight="1">
      <c r="A216" s="560"/>
      <c r="B216" s="559"/>
      <c r="C216" s="559" t="s">
        <v>1109</v>
      </c>
      <c r="D216" s="558"/>
      <c r="E216" s="559"/>
      <c r="F216" s="558"/>
      <c r="G216" s="558"/>
      <c r="H216" s="558"/>
      <c r="I216" s="558"/>
      <c r="J216" s="558"/>
    </row>
    <row r="217" spans="1:17" ht="14.4" customHeight="1">
      <c r="A217" s="560"/>
      <c r="B217" s="559"/>
      <c r="C217" s="561" t="s">
        <v>1110</v>
      </c>
      <c r="D217" s="562" t="s">
        <v>63</v>
      </c>
      <c r="E217" s="558" t="s">
        <v>1381</v>
      </c>
      <c r="F217" s="558"/>
      <c r="G217" s="559"/>
      <c r="H217" s="558"/>
      <c r="I217" s="558"/>
      <c r="J217" s="558"/>
    </row>
    <row r="218" spans="1:17" ht="14.4" customHeight="1">
      <c r="A218" s="560"/>
      <c r="B218" s="559"/>
      <c r="C218" s="561"/>
      <c r="D218" s="562" t="s">
        <v>63</v>
      </c>
      <c r="E218" s="559">
        <f>37.5*E204^2</f>
        <v>153600</v>
      </c>
      <c r="F218" s="558" t="s">
        <v>1111</v>
      </c>
      <c r="G218" s="559"/>
      <c r="H218" s="558"/>
      <c r="I218" s="558"/>
      <c r="J218" s="558"/>
    </row>
    <row r="219" spans="1:17" ht="14.4" customHeight="1">
      <c r="A219" s="560"/>
      <c r="B219" s="559"/>
      <c r="C219" s="561" t="s">
        <v>1382</v>
      </c>
      <c r="D219" s="562" t="s">
        <v>63</v>
      </c>
      <c r="E219" s="559">
        <f>1.5*E218</f>
        <v>230400</v>
      </c>
      <c r="F219" s="558" t="s">
        <v>1111</v>
      </c>
      <c r="G219" s="548" t="s">
        <v>1112</v>
      </c>
      <c r="I219" s="558"/>
      <c r="J219" s="558"/>
    </row>
    <row r="220" spans="1:17" ht="14.4" customHeight="1">
      <c r="A220" s="560"/>
      <c r="B220" s="559"/>
      <c r="C220" s="558"/>
      <c r="D220" s="562" t="s">
        <v>63</v>
      </c>
      <c r="E220" s="559">
        <f>E219/1000</f>
        <v>230.4</v>
      </c>
      <c r="F220" s="558" t="s">
        <v>1085</v>
      </c>
      <c r="G220" s="558"/>
      <c r="H220" s="558"/>
      <c r="I220" s="558"/>
      <c r="J220" s="558"/>
    </row>
    <row r="221" spans="1:17" ht="14.4" customHeight="1">
      <c r="A221" s="560"/>
      <c r="B221" s="559"/>
      <c r="C221" s="558"/>
      <c r="D221" s="562"/>
      <c r="E221" s="559"/>
      <c r="F221" s="558"/>
      <c r="G221" s="558"/>
      <c r="H221" s="558"/>
      <c r="I221" s="558"/>
      <c r="J221" s="558"/>
    </row>
    <row r="222" spans="1:17" ht="14.4" customHeight="1">
      <c r="A222" s="560"/>
      <c r="B222" s="591" t="s">
        <v>1198</v>
      </c>
      <c r="C222" s="558"/>
      <c r="D222" s="562"/>
      <c r="E222" s="559"/>
      <c r="F222" s="558"/>
      <c r="G222" s="558"/>
      <c r="H222" s="558"/>
      <c r="I222" s="558"/>
      <c r="J222" s="558"/>
    </row>
    <row r="223" spans="1:17" ht="14.4" customHeight="1">
      <c r="A223" s="560"/>
      <c r="B223" s="985" t="s">
        <v>1208</v>
      </c>
      <c r="C223" s="985"/>
      <c r="D223" s="985"/>
      <c r="E223" s="985"/>
      <c r="F223" s="985"/>
      <c r="G223" s="985"/>
      <c r="H223" s="985"/>
      <c r="I223" s="985"/>
      <c r="J223" s="985"/>
      <c r="K223" s="985"/>
      <c r="L223" s="985"/>
      <c r="M223" s="985"/>
      <c r="N223" s="985"/>
      <c r="O223" s="985"/>
      <c r="P223" s="985"/>
      <c r="Q223" s="985"/>
    </row>
    <row r="224" spans="1:17" ht="14.4" customHeight="1" thickBot="1">
      <c r="A224" s="560"/>
      <c r="B224" s="985"/>
      <c r="C224" s="985"/>
      <c r="D224" s="985"/>
      <c r="E224" s="985"/>
      <c r="F224" s="985"/>
      <c r="G224" s="985"/>
      <c r="H224" s="985"/>
      <c r="I224" s="985"/>
      <c r="J224" s="985"/>
      <c r="K224" s="985"/>
      <c r="L224" s="985"/>
      <c r="M224" s="985"/>
      <c r="N224" s="985"/>
      <c r="O224" s="985"/>
      <c r="P224" s="985"/>
      <c r="Q224" s="985"/>
    </row>
    <row r="225" spans="1:17" ht="14.4" customHeight="1">
      <c r="A225" s="560"/>
      <c r="B225" s="610"/>
      <c r="C225" s="611" t="s">
        <v>1076</v>
      </c>
      <c r="D225" s="612" t="s">
        <v>63</v>
      </c>
      <c r="E225" s="613" t="s">
        <v>1113</v>
      </c>
      <c r="F225" s="613"/>
      <c r="G225" s="614"/>
      <c r="H225" s="595"/>
      <c r="I225" s="558"/>
      <c r="J225" s="558"/>
    </row>
    <row r="226" spans="1:17" ht="14.4" customHeight="1">
      <c r="A226" s="560"/>
      <c r="B226" s="615"/>
      <c r="C226" s="616" t="s">
        <v>336</v>
      </c>
      <c r="D226" s="617" t="s">
        <v>63</v>
      </c>
      <c r="E226" s="549" t="s">
        <v>1217</v>
      </c>
      <c r="F226" s="549"/>
      <c r="G226" s="558"/>
      <c r="H226" s="599"/>
      <c r="I226" s="558"/>
      <c r="J226" s="558"/>
    </row>
    <row r="227" spans="1:17" ht="14.4" customHeight="1">
      <c r="A227" s="560"/>
      <c r="B227" s="618"/>
      <c r="C227" s="616" t="s">
        <v>1114</v>
      </c>
      <c r="D227" s="617" t="s">
        <v>63</v>
      </c>
      <c r="E227" s="551">
        <v>195</v>
      </c>
      <c r="F227" s="549" t="s">
        <v>1085</v>
      </c>
      <c r="G227" s="560"/>
      <c r="H227" s="619"/>
      <c r="I227" s="560"/>
      <c r="J227" s="560"/>
    </row>
    <row r="228" spans="1:17" ht="14.4" customHeight="1">
      <c r="A228" s="560"/>
      <c r="B228" s="618"/>
      <c r="C228" s="616" t="s">
        <v>44</v>
      </c>
      <c r="D228" s="617" t="s">
        <v>63</v>
      </c>
      <c r="E228" s="551">
        <v>15</v>
      </c>
      <c r="F228" s="549" t="s">
        <v>1115</v>
      </c>
      <c r="G228" s="560"/>
      <c r="H228" s="619"/>
      <c r="I228" s="560"/>
      <c r="J228" s="560"/>
    </row>
    <row r="229" spans="1:17" ht="14.4" customHeight="1">
      <c r="A229" s="560"/>
      <c r="B229" s="618"/>
      <c r="C229" s="616" t="s">
        <v>1116</v>
      </c>
      <c r="D229" s="617" t="s">
        <v>63</v>
      </c>
      <c r="E229" s="551">
        <v>45</v>
      </c>
      <c r="F229" s="549" t="s">
        <v>250</v>
      </c>
      <c r="G229" s="560"/>
      <c r="H229" s="619"/>
      <c r="I229" s="560"/>
      <c r="J229" s="560"/>
    </row>
    <row r="230" spans="1:17" ht="14.4" customHeight="1" thickBot="1">
      <c r="A230" s="560"/>
      <c r="B230" s="620"/>
      <c r="C230" s="621" t="s">
        <v>345</v>
      </c>
      <c r="D230" s="622" t="s">
        <v>63</v>
      </c>
      <c r="E230" s="623">
        <v>2200</v>
      </c>
      <c r="F230" s="624" t="s">
        <v>346</v>
      </c>
      <c r="G230" s="625"/>
      <c r="H230" s="626"/>
      <c r="I230" s="560"/>
      <c r="J230" s="560"/>
    </row>
    <row r="231" spans="1:17" ht="14.4" customHeight="1">
      <c r="A231" s="560"/>
      <c r="B231" s="572"/>
      <c r="C231" s="563"/>
      <c r="D231" s="617"/>
      <c r="E231" s="572"/>
      <c r="F231" s="560"/>
      <c r="G231" s="560"/>
      <c r="H231" s="560"/>
      <c r="I231" s="560"/>
      <c r="J231" s="560"/>
    </row>
    <row r="232" spans="1:17" ht="14.4" customHeight="1">
      <c r="A232" s="986" t="s">
        <v>1117</v>
      </c>
      <c r="B232" s="986"/>
      <c r="C232" s="986"/>
      <c r="D232" s="986"/>
      <c r="E232" s="986"/>
      <c r="F232" s="986"/>
      <c r="G232" s="986"/>
      <c r="H232" s="986"/>
      <c r="I232" s="986"/>
      <c r="J232" s="986"/>
      <c r="K232" s="986"/>
      <c r="L232" s="986"/>
      <c r="M232" s="986"/>
      <c r="N232" s="986"/>
      <c r="O232" s="986"/>
      <c r="P232" s="986"/>
      <c r="Q232" s="986"/>
    </row>
    <row r="233" spans="1:17" ht="14.4" customHeight="1">
      <c r="A233" s="986"/>
      <c r="B233" s="986"/>
      <c r="C233" s="986"/>
      <c r="D233" s="986"/>
      <c r="E233" s="986"/>
      <c r="F233" s="986"/>
      <c r="G233" s="986"/>
      <c r="H233" s="986"/>
      <c r="I233" s="986"/>
      <c r="J233" s="986"/>
      <c r="K233" s="986"/>
      <c r="L233" s="986"/>
      <c r="M233" s="986"/>
      <c r="N233" s="986"/>
      <c r="O233" s="986"/>
      <c r="P233" s="986"/>
      <c r="Q233" s="986"/>
    </row>
    <row r="234" spans="1:17" ht="14.4" customHeight="1">
      <c r="A234" s="578"/>
      <c r="B234" s="578" t="s">
        <v>1118</v>
      </c>
    </row>
    <row r="235" spans="1:17" ht="14.4" customHeight="1">
      <c r="B235" s="578" t="s">
        <v>1119</v>
      </c>
    </row>
    <row r="241" spans="2:17" ht="14.4" customHeight="1">
      <c r="B241" s="548" t="s">
        <v>1120</v>
      </c>
    </row>
    <row r="242" spans="2:17" ht="14.4" customHeight="1">
      <c r="C242" s="579" t="s">
        <v>1121</v>
      </c>
      <c r="D242" s="562" t="s">
        <v>63</v>
      </c>
      <c r="E242" s="548" t="s">
        <v>1122</v>
      </c>
      <c r="F242" s="627"/>
      <c r="H242" s="549"/>
    </row>
    <row r="243" spans="2:17" ht="14.4" customHeight="1">
      <c r="D243" s="562" t="s">
        <v>63</v>
      </c>
      <c r="E243" s="548" t="s">
        <v>1123</v>
      </c>
      <c r="H243" s="628"/>
    </row>
    <row r="244" spans="2:17" ht="14.4" customHeight="1">
      <c r="D244" s="562" t="s">
        <v>63</v>
      </c>
      <c r="E244" s="976" t="s">
        <v>1124</v>
      </c>
      <c r="F244" s="976"/>
      <c r="G244" s="976"/>
      <c r="H244" s="976"/>
      <c r="I244" s="976"/>
      <c r="J244" s="976"/>
      <c r="K244" s="976"/>
      <c r="L244" s="976"/>
      <c r="M244" s="976"/>
      <c r="N244" s="976"/>
      <c r="O244" s="976"/>
      <c r="P244" s="976"/>
      <c r="Q244" s="976"/>
    </row>
    <row r="245" spans="2:17" ht="14.4" customHeight="1">
      <c r="D245" s="562"/>
      <c r="E245" s="976"/>
      <c r="F245" s="976"/>
      <c r="G245" s="976"/>
      <c r="H245" s="976"/>
      <c r="I245" s="976"/>
      <c r="J245" s="976"/>
      <c r="K245" s="976"/>
      <c r="L245" s="976"/>
      <c r="M245" s="976"/>
      <c r="N245" s="976"/>
      <c r="O245" s="976"/>
      <c r="P245" s="976"/>
      <c r="Q245" s="976"/>
    </row>
    <row r="246" spans="2:17" ht="14.4" customHeight="1">
      <c r="D246" s="562" t="s">
        <v>63</v>
      </c>
      <c r="E246" s="548" t="s">
        <v>1125</v>
      </c>
      <c r="H246" s="549"/>
    </row>
    <row r="247" spans="2:17" ht="14.4" customHeight="1">
      <c r="D247" s="562"/>
      <c r="E247" s="548"/>
      <c r="H247" s="549"/>
    </row>
    <row r="248" spans="2:17" ht="14.4" customHeight="1">
      <c r="C248" s="579" t="s">
        <v>1126</v>
      </c>
      <c r="D248" s="562" t="s">
        <v>63</v>
      </c>
      <c r="E248" s="627" t="s">
        <v>1127</v>
      </c>
      <c r="G248" s="627"/>
      <c r="H248" s="628"/>
    </row>
    <row r="249" spans="2:17" ht="14.4" customHeight="1">
      <c r="D249" s="562" t="s">
        <v>63</v>
      </c>
      <c r="E249" s="627" t="s">
        <v>1128</v>
      </c>
      <c r="G249" s="627"/>
      <c r="H249" s="628"/>
    </row>
    <row r="250" spans="2:17" ht="14.4" customHeight="1">
      <c r="D250" s="562" t="s">
        <v>63</v>
      </c>
      <c r="E250" s="627" t="s">
        <v>1129</v>
      </c>
      <c r="G250" s="627"/>
      <c r="H250" s="628"/>
    </row>
    <row r="251" spans="2:17" ht="14.4" customHeight="1">
      <c r="D251" s="562" t="s">
        <v>63</v>
      </c>
      <c r="E251" s="627" t="s">
        <v>1130</v>
      </c>
      <c r="G251" s="627"/>
      <c r="H251" s="628"/>
    </row>
    <row r="252" spans="2:17" ht="14.4" customHeight="1">
      <c r="B252" s="627"/>
      <c r="D252" s="627"/>
      <c r="E252" s="628"/>
    </row>
    <row r="253" spans="2:17" ht="14.4" customHeight="1">
      <c r="C253" s="579" t="s">
        <v>1131</v>
      </c>
      <c r="D253" s="562" t="s">
        <v>63</v>
      </c>
      <c r="E253" s="627" t="s">
        <v>1132</v>
      </c>
    </row>
    <row r="254" spans="2:17" ht="14.4" customHeight="1">
      <c r="D254" s="562" t="s">
        <v>63</v>
      </c>
      <c r="E254" s="627" t="s">
        <v>1133</v>
      </c>
    </row>
    <row r="255" spans="2:17" ht="14.4" customHeight="1">
      <c r="D255" s="562" t="s">
        <v>63</v>
      </c>
      <c r="E255" s="627" t="s">
        <v>1134</v>
      </c>
    </row>
    <row r="256" spans="2:17" ht="14.4" customHeight="1">
      <c r="E256" s="628"/>
    </row>
    <row r="257" spans="2:18" ht="14.4" customHeight="1">
      <c r="C257" s="579" t="s">
        <v>1135</v>
      </c>
      <c r="D257" s="562" t="s">
        <v>63</v>
      </c>
      <c r="E257" s="627" t="s">
        <v>1136</v>
      </c>
    </row>
    <row r="258" spans="2:18" ht="14.4" customHeight="1">
      <c r="D258" s="627"/>
      <c r="E258" s="627" t="s">
        <v>1137</v>
      </c>
    </row>
    <row r="259" spans="2:18" ht="14.4" customHeight="1">
      <c r="D259" s="627"/>
      <c r="E259" s="627" t="s">
        <v>1138</v>
      </c>
    </row>
    <row r="261" spans="2:18" ht="14.4" customHeight="1">
      <c r="B261" s="627" t="s">
        <v>1139</v>
      </c>
      <c r="H261" s="629"/>
    </row>
    <row r="262" spans="2:18" ht="14.4" customHeight="1">
      <c r="C262" s="630" t="s">
        <v>1121</v>
      </c>
      <c r="D262" s="562" t="s">
        <v>63</v>
      </c>
      <c r="E262" s="551">
        <v>1</v>
      </c>
    </row>
    <row r="263" spans="2:18" ht="14.4" customHeight="1">
      <c r="B263" s="630"/>
      <c r="C263" s="630" t="s">
        <v>1126</v>
      </c>
      <c r="D263" s="562" t="s">
        <v>63</v>
      </c>
      <c r="E263" s="551">
        <v>1</v>
      </c>
    </row>
    <row r="264" spans="2:18" ht="14.4" customHeight="1">
      <c r="B264" s="630"/>
      <c r="C264" s="630" t="s">
        <v>1131</v>
      </c>
      <c r="D264" s="562" t="s">
        <v>63</v>
      </c>
      <c r="E264" s="551">
        <v>1</v>
      </c>
    </row>
    <row r="265" spans="2:18" ht="14.4" customHeight="1">
      <c r="B265" s="630"/>
      <c r="C265" s="630" t="s">
        <v>1135</v>
      </c>
      <c r="D265" s="562" t="s">
        <v>63</v>
      </c>
      <c r="E265" s="551">
        <v>1</v>
      </c>
    </row>
    <row r="267" spans="2:18" ht="14.4" customHeight="1">
      <c r="C267" s="630" t="s">
        <v>789</v>
      </c>
      <c r="D267" s="562" t="s">
        <v>63</v>
      </c>
      <c r="E267" s="548" t="s">
        <v>1392</v>
      </c>
    </row>
    <row r="268" spans="2:18" ht="14.4" customHeight="1">
      <c r="D268" s="562" t="s">
        <v>63</v>
      </c>
      <c r="E268" s="549" t="s">
        <v>1140</v>
      </c>
      <c r="G268" s="579" t="s">
        <v>1141</v>
      </c>
      <c r="H268" s="972">
        <f>E7</f>
        <v>137</v>
      </c>
      <c r="I268" s="972"/>
      <c r="J268" s="551" t="s">
        <v>1142</v>
      </c>
      <c r="K268" s="631">
        <f>E12</f>
        <v>9.9469999999999992</v>
      </c>
      <c r="L268" s="551" t="s">
        <v>1143</v>
      </c>
      <c r="M268" s="548" t="s">
        <v>1144</v>
      </c>
    </row>
    <row r="269" spans="2:18" ht="14.4" customHeight="1">
      <c r="D269" s="562" t="s">
        <v>63</v>
      </c>
      <c r="E269" s="983">
        <f>1*(1.75*E8*E12)/100</f>
        <v>24.801849799999996</v>
      </c>
      <c r="F269" s="983"/>
      <c r="G269" s="548" t="s">
        <v>1375</v>
      </c>
    </row>
    <row r="270" spans="2:18" ht="14.4" customHeight="1">
      <c r="B270" s="573"/>
      <c r="C270" s="573"/>
      <c r="D270" s="633"/>
      <c r="E270" s="573"/>
      <c r="F270" s="573"/>
      <c r="G270" s="573"/>
      <c r="H270" s="573"/>
      <c r="I270" s="573"/>
      <c r="J270" s="573"/>
      <c r="K270" s="573"/>
      <c r="L270" s="573"/>
      <c r="M270" s="573"/>
      <c r="N270" s="573"/>
      <c r="O270" s="573"/>
      <c r="P270" s="573"/>
      <c r="Q270" s="573"/>
    </row>
    <row r="271" spans="2:18" ht="14.4" customHeight="1">
      <c r="B271" s="634" t="s">
        <v>1145</v>
      </c>
    </row>
    <row r="272" spans="2:18" ht="14.4" customHeight="1">
      <c r="B272" s="984" t="s">
        <v>1199</v>
      </c>
      <c r="C272" s="984"/>
      <c r="D272" s="984"/>
      <c r="E272" s="984"/>
      <c r="F272" s="984"/>
      <c r="G272" s="984"/>
      <c r="H272" s="984"/>
      <c r="I272" s="984"/>
      <c r="J272" s="984"/>
      <c r="K272" s="984"/>
      <c r="L272" s="984"/>
      <c r="M272" s="984"/>
      <c r="N272" s="984"/>
      <c r="O272" s="984"/>
      <c r="P272" s="984"/>
      <c r="Q272" s="984"/>
      <c r="R272" s="984"/>
    </row>
    <row r="273" spans="2:25" ht="14.4" customHeight="1">
      <c r="B273" s="984"/>
      <c r="C273" s="984"/>
      <c r="D273" s="984"/>
      <c r="E273" s="984"/>
      <c r="F273" s="984"/>
      <c r="G273" s="984"/>
      <c r="H273" s="984"/>
      <c r="I273" s="984"/>
      <c r="J273" s="984"/>
      <c r="K273" s="984"/>
      <c r="L273" s="984"/>
      <c r="M273" s="984"/>
      <c r="N273" s="984"/>
      <c r="O273" s="984"/>
      <c r="P273" s="984"/>
      <c r="Q273" s="984"/>
      <c r="R273" s="984"/>
    </row>
    <row r="274" spans="2:25" ht="14.4" customHeight="1">
      <c r="B274" s="635"/>
      <c r="C274" s="635"/>
      <c r="D274" s="635"/>
      <c r="E274" s="635"/>
      <c r="F274" s="635"/>
      <c r="G274" s="635"/>
      <c r="H274" s="635"/>
      <c r="I274" s="635"/>
      <c r="J274" s="635"/>
      <c r="K274" s="635"/>
      <c r="L274" s="635"/>
      <c r="M274" s="635"/>
      <c r="N274" s="635"/>
      <c r="O274" s="635"/>
      <c r="P274" s="635"/>
      <c r="Q274" s="635"/>
    </row>
    <row r="275" spans="2:25" ht="14.4" customHeight="1">
      <c r="B275" s="636"/>
      <c r="C275" s="636"/>
      <c r="D275" s="636"/>
      <c r="E275" s="636"/>
      <c r="F275" s="636"/>
      <c r="G275" s="636"/>
      <c r="H275" s="636"/>
      <c r="I275" s="636"/>
      <c r="J275" s="636"/>
      <c r="K275" s="636"/>
      <c r="L275" s="636"/>
      <c r="M275" s="636"/>
      <c r="N275" s="636"/>
      <c r="O275" s="636"/>
      <c r="P275" s="636"/>
      <c r="Q275" s="636"/>
    </row>
    <row r="276" spans="2:25" ht="14.4" customHeight="1">
      <c r="B276" s="636"/>
      <c r="C276" s="636"/>
      <c r="D276" s="636"/>
      <c r="E276" s="636"/>
      <c r="F276" s="636"/>
      <c r="G276" s="636"/>
      <c r="H276" s="636"/>
      <c r="I276" s="636"/>
      <c r="J276" s="636"/>
      <c r="K276" s="636"/>
      <c r="L276" s="636"/>
      <c r="M276" s="636"/>
      <c r="N276" s="636"/>
      <c r="O276" s="636"/>
      <c r="P276" s="636"/>
      <c r="Q276" s="636"/>
    </row>
    <row r="277" spans="2:25" ht="14.4" customHeight="1">
      <c r="B277" s="636"/>
      <c r="C277" s="636"/>
      <c r="D277" s="636"/>
      <c r="E277" s="636"/>
      <c r="F277" s="636"/>
      <c r="G277" s="636"/>
      <c r="H277" s="636"/>
      <c r="I277" s="636"/>
      <c r="J277" s="636"/>
      <c r="K277" s="636"/>
      <c r="L277" s="636"/>
      <c r="M277" s="636"/>
      <c r="N277" s="636"/>
      <c r="O277" s="636"/>
      <c r="P277" s="636"/>
      <c r="Q277" s="636"/>
    </row>
    <row r="278" spans="2:25" ht="14.4" customHeight="1">
      <c r="B278" s="636"/>
      <c r="C278" s="636"/>
      <c r="D278" s="636"/>
      <c r="E278" s="636"/>
      <c r="F278" s="636"/>
      <c r="G278" s="636"/>
      <c r="H278" s="636"/>
      <c r="I278" s="636"/>
      <c r="J278" s="636"/>
      <c r="K278" s="636"/>
      <c r="L278" s="636"/>
      <c r="M278" s="636"/>
      <c r="N278" s="636"/>
      <c r="O278" s="636"/>
      <c r="P278" s="636"/>
      <c r="Q278" s="636"/>
    </row>
    <row r="279" spans="2:25" ht="14.4" customHeight="1">
      <c r="B279" s="636"/>
      <c r="C279" s="636"/>
      <c r="D279" s="636"/>
      <c r="E279" s="636"/>
      <c r="F279" s="636"/>
      <c r="G279" s="636"/>
      <c r="H279" s="636"/>
      <c r="I279" s="636"/>
      <c r="J279" s="636"/>
      <c r="K279" s="636"/>
      <c r="L279" s="636"/>
      <c r="M279" s="636"/>
      <c r="N279" s="636"/>
      <c r="O279" s="636"/>
      <c r="P279" s="636"/>
      <c r="Q279" s="636"/>
      <c r="Y279" s="548">
        <v>23.85</v>
      </c>
    </row>
    <row r="280" spans="2:25" ht="14.4" customHeight="1">
      <c r="B280" s="636"/>
      <c r="C280" s="636"/>
      <c r="D280" s="636"/>
      <c r="E280" s="636"/>
      <c r="F280" s="636"/>
      <c r="G280" s="636"/>
      <c r="H280" s="636"/>
      <c r="I280" s="636"/>
      <c r="J280" s="636"/>
      <c r="K280" s="636"/>
      <c r="L280" s="636"/>
      <c r="M280" s="636"/>
      <c r="N280" s="636"/>
      <c r="O280" s="636"/>
      <c r="P280" s="636"/>
      <c r="Q280" s="636"/>
    </row>
    <row r="281" spans="2:25" ht="14.4" customHeight="1">
      <c r="B281" s="636"/>
      <c r="C281" s="636"/>
      <c r="D281" s="636"/>
      <c r="E281" s="636"/>
      <c r="F281" s="636"/>
      <c r="G281" s="636"/>
      <c r="H281" s="636"/>
      <c r="I281" s="636"/>
      <c r="J281" s="636"/>
      <c r="K281" s="636"/>
      <c r="L281" s="636"/>
      <c r="M281" s="636"/>
      <c r="N281" s="636"/>
      <c r="O281" s="636"/>
      <c r="P281" s="636"/>
      <c r="Q281" s="636"/>
    </row>
    <row r="282" spans="2:25" ht="14.4" customHeight="1">
      <c r="B282" s="636"/>
      <c r="C282" s="636"/>
      <c r="D282" s="636"/>
      <c r="E282" s="636"/>
      <c r="F282" s="636"/>
      <c r="G282" s="636"/>
      <c r="H282" s="636"/>
      <c r="I282" s="636"/>
      <c r="J282" s="636"/>
      <c r="K282" s="636"/>
      <c r="L282" s="636"/>
      <c r="M282" s="636"/>
      <c r="N282" s="636"/>
      <c r="O282" s="636"/>
      <c r="P282" s="636"/>
      <c r="Q282" s="636"/>
    </row>
    <row r="283" spans="2:25" ht="14.4" customHeight="1">
      <c r="B283" s="636"/>
      <c r="C283" s="636"/>
      <c r="D283" s="636"/>
      <c r="E283" s="636"/>
      <c r="F283" s="636"/>
      <c r="G283" s="636"/>
      <c r="H283" s="636"/>
      <c r="I283" s="636"/>
      <c r="J283" s="636"/>
      <c r="K283" s="636"/>
      <c r="L283" s="636"/>
      <c r="M283" s="636"/>
      <c r="N283" s="636"/>
      <c r="O283" s="636"/>
      <c r="P283" s="636"/>
      <c r="Q283" s="636"/>
    </row>
    <row r="284" spans="2:25" ht="14.4" customHeight="1">
      <c r="B284" s="636"/>
      <c r="C284" s="636"/>
      <c r="D284" s="636"/>
      <c r="E284" s="636"/>
      <c r="F284" s="636"/>
      <c r="G284" s="636"/>
      <c r="H284" s="636"/>
      <c r="I284" s="636"/>
      <c r="J284" s="636"/>
      <c r="K284" s="636"/>
      <c r="L284" s="636"/>
      <c r="M284" s="636"/>
      <c r="N284" s="636"/>
      <c r="O284" s="636"/>
      <c r="P284" s="636"/>
      <c r="Q284" s="636"/>
    </row>
    <row r="285" spans="2:25" ht="14.4" customHeight="1">
      <c r="B285" s="636"/>
      <c r="C285" s="636"/>
      <c r="D285" s="636"/>
      <c r="E285" s="636"/>
      <c r="F285" s="636"/>
      <c r="G285" s="636"/>
      <c r="H285" s="636"/>
      <c r="I285" s="636"/>
      <c r="J285" s="636"/>
      <c r="K285" s="636"/>
      <c r="L285" s="636"/>
      <c r="M285" s="636"/>
      <c r="N285" s="636"/>
      <c r="O285" s="636"/>
      <c r="P285" s="636"/>
      <c r="Q285" s="636"/>
    </row>
    <row r="286" spans="2:25" ht="14.4" customHeight="1">
      <c r="B286" s="636"/>
      <c r="C286" s="636"/>
      <c r="D286" s="636"/>
      <c r="E286" s="636"/>
      <c r="F286" s="636"/>
      <c r="G286" s="636"/>
      <c r="H286" s="636"/>
      <c r="I286" s="636"/>
      <c r="J286" s="636"/>
      <c r="K286" s="636"/>
      <c r="L286" s="636"/>
      <c r="M286" s="636"/>
      <c r="N286" s="636"/>
      <c r="O286" s="636"/>
      <c r="P286" s="636"/>
      <c r="Q286" s="636"/>
    </row>
    <row r="287" spans="2:25" ht="14.4" customHeight="1">
      <c r="B287" s="974" t="s">
        <v>1200</v>
      </c>
      <c r="C287" s="974"/>
      <c r="D287" s="974"/>
      <c r="E287" s="974"/>
      <c r="F287" s="974"/>
      <c r="G287" s="974"/>
      <c r="H287" s="974"/>
      <c r="I287" s="974"/>
      <c r="J287" s="974"/>
      <c r="K287" s="974"/>
      <c r="L287" s="974"/>
      <c r="M287" s="974"/>
      <c r="N287" s="974"/>
      <c r="O287" s="974"/>
      <c r="P287" s="974"/>
      <c r="Q287" s="974"/>
    </row>
    <row r="288" spans="2:25" ht="14.4" customHeight="1">
      <c r="B288" s="974"/>
      <c r="C288" s="974"/>
      <c r="D288" s="974"/>
      <c r="E288" s="974"/>
      <c r="F288" s="974"/>
      <c r="G288" s="974"/>
      <c r="H288" s="974"/>
      <c r="I288" s="974"/>
      <c r="J288" s="974"/>
      <c r="K288" s="974"/>
      <c r="L288" s="974"/>
      <c r="M288" s="974"/>
      <c r="N288" s="974"/>
      <c r="O288" s="974"/>
      <c r="P288" s="974"/>
      <c r="Q288" s="974"/>
    </row>
    <row r="289" spans="2:17" ht="14.4" customHeight="1">
      <c r="B289" s="974"/>
      <c r="C289" s="974"/>
      <c r="D289" s="974"/>
      <c r="E289" s="974"/>
      <c r="F289" s="974"/>
      <c r="G289" s="974"/>
      <c r="H289" s="974"/>
      <c r="I289" s="974"/>
      <c r="J289" s="974"/>
      <c r="K289" s="974"/>
      <c r="L289" s="974"/>
      <c r="M289" s="974"/>
      <c r="N289" s="974"/>
      <c r="O289" s="974"/>
      <c r="P289" s="974"/>
      <c r="Q289" s="974"/>
    </row>
    <row r="290" spans="2:17" ht="14.4" customHeight="1">
      <c r="B290" s="974"/>
      <c r="C290" s="974"/>
      <c r="D290" s="974"/>
      <c r="E290" s="974"/>
      <c r="F290" s="974"/>
      <c r="G290" s="974"/>
      <c r="H290" s="974"/>
      <c r="I290" s="974"/>
      <c r="J290" s="974"/>
      <c r="K290" s="974"/>
      <c r="L290" s="974"/>
      <c r="M290" s="974"/>
      <c r="N290" s="974"/>
      <c r="O290" s="974"/>
      <c r="P290" s="974"/>
      <c r="Q290" s="974"/>
    </row>
    <row r="291" spans="2:17" ht="14.4" customHeight="1">
      <c r="B291" s="637"/>
      <c r="C291" s="637"/>
      <c r="D291" s="637"/>
      <c r="E291" s="637"/>
      <c r="F291" s="637"/>
      <c r="G291" s="637"/>
      <c r="H291" s="637"/>
      <c r="I291" s="637"/>
      <c r="J291" s="637"/>
      <c r="K291" s="637"/>
      <c r="L291" s="637"/>
      <c r="M291" s="637"/>
      <c r="N291" s="637"/>
      <c r="O291" s="637"/>
      <c r="P291" s="637"/>
      <c r="Q291" s="637"/>
    </row>
    <row r="292" spans="2:17" ht="14.4" customHeight="1">
      <c r="C292" s="579" t="s">
        <v>1383</v>
      </c>
      <c r="D292" s="617" t="s">
        <v>63</v>
      </c>
      <c r="E292" s="551" t="s">
        <v>1393</v>
      </c>
      <c r="F292" s="638">
        <f>E269</f>
        <v>24.801849799999996</v>
      </c>
      <c r="G292" s="638"/>
    </row>
    <row r="293" spans="2:17" ht="14.4" customHeight="1">
      <c r="D293" s="617" t="s">
        <v>63</v>
      </c>
      <c r="E293" s="632">
        <f>0.2*E269</f>
        <v>4.9603699599999995</v>
      </c>
      <c r="F293" s="548" t="s">
        <v>1375</v>
      </c>
    </row>
    <row r="294" spans="2:17" ht="14.4" customHeight="1">
      <c r="D294" s="617"/>
    </row>
    <row r="295" spans="2:17" ht="14.4" customHeight="1">
      <c r="C295" s="579" t="s">
        <v>789</v>
      </c>
      <c r="D295" s="617" t="s">
        <v>63</v>
      </c>
      <c r="E295" s="632">
        <f>E269-E293</f>
        <v>19.841479839999998</v>
      </c>
      <c r="F295" s="605" t="s">
        <v>1375</v>
      </c>
    </row>
    <row r="296" spans="2:17" ht="14.4" customHeight="1">
      <c r="C296" s="579"/>
      <c r="D296" s="617"/>
      <c r="E296" s="632"/>
      <c r="F296" s="605"/>
    </row>
    <row r="297" spans="2:17" ht="14.4" customHeight="1">
      <c r="C297" s="548" t="s">
        <v>925</v>
      </c>
      <c r="D297" s="548" t="s">
        <v>63</v>
      </c>
      <c r="E297" s="549">
        <f>(7.3168+6.2482-0.0415-0.0415)/2</f>
        <v>6.7410000000000005</v>
      </c>
      <c r="F297" s="548" t="s">
        <v>4</v>
      </c>
    </row>
    <row r="298" spans="2:17" ht="14.4" customHeight="1">
      <c r="L298" s="983"/>
      <c r="M298" s="983"/>
    </row>
    <row r="299" spans="2:17" ht="14.4" customHeight="1">
      <c r="C299" s="579" t="s">
        <v>929</v>
      </c>
      <c r="D299" s="617" t="s">
        <v>63</v>
      </c>
      <c r="E299" s="549">
        <v>4.0702999999999996</v>
      </c>
      <c r="F299" s="548" t="s">
        <v>4</v>
      </c>
      <c r="G299" s="549"/>
      <c r="J299" s="579"/>
      <c r="K299" s="617"/>
      <c r="L299" s="983"/>
      <c r="M299" s="983"/>
    </row>
    <row r="300" spans="2:17" ht="14.4" customHeight="1">
      <c r="C300" s="639"/>
      <c r="D300" s="617"/>
      <c r="E300" s="551"/>
      <c r="I300" s="639"/>
      <c r="J300" s="617"/>
    </row>
    <row r="301" spans="2:17" ht="14.4" customHeight="1">
      <c r="H301" s="640"/>
      <c r="I301" s="551"/>
      <c r="J301" s="551"/>
    </row>
    <row r="302" spans="2:17" ht="14.4" customHeight="1">
      <c r="C302" s="548" t="s">
        <v>1146</v>
      </c>
      <c r="H302" s="640" t="s">
        <v>63</v>
      </c>
      <c r="I302" s="981">
        <v>23.85</v>
      </c>
      <c r="J302" s="981"/>
      <c r="K302" s="548" t="s">
        <v>1375</v>
      </c>
    </row>
    <row r="303" spans="2:17" ht="14.4" customHeight="1">
      <c r="H303" s="640"/>
      <c r="I303" s="551"/>
      <c r="J303" s="551"/>
    </row>
    <row r="304" spans="2:17" ht="14.4" customHeight="1">
      <c r="B304" s="629" t="s">
        <v>1147</v>
      </c>
    </row>
    <row r="306" spans="3:24" ht="14.4" customHeight="1">
      <c r="C306" s="549"/>
      <c r="E306" s="548"/>
      <c r="G306" s="549"/>
    </row>
    <row r="307" spans="3:24" ht="14.4" customHeight="1">
      <c r="D307" s="617"/>
      <c r="E307" s="641"/>
      <c r="F307" s="641"/>
      <c r="G307" s="642"/>
      <c r="H307" s="641"/>
      <c r="I307" s="641"/>
    </row>
    <row r="308" spans="3:24" ht="14.4" customHeight="1">
      <c r="D308" s="643"/>
      <c r="E308" s="641"/>
      <c r="F308" s="573"/>
      <c r="G308" s="633"/>
      <c r="H308" s="573"/>
      <c r="I308" s="573"/>
    </row>
    <row r="309" spans="3:24" ht="14.4" customHeight="1">
      <c r="D309" s="644"/>
      <c r="E309" s="641"/>
      <c r="F309" s="573"/>
      <c r="G309" s="633"/>
      <c r="H309" s="573"/>
      <c r="I309" s="573"/>
    </row>
    <row r="310" spans="3:24" ht="14.4" customHeight="1">
      <c r="I310" s="573"/>
    </row>
    <row r="311" spans="3:24" ht="14.4" customHeight="1">
      <c r="D311" s="617"/>
      <c r="E311" s="633"/>
      <c r="F311" s="617"/>
      <c r="G311" s="643"/>
      <c r="I311" s="573"/>
    </row>
    <row r="312" spans="3:24" ht="14.4" customHeight="1">
      <c r="D312" s="617"/>
      <c r="E312" s="573"/>
      <c r="F312" s="573"/>
      <c r="G312" s="633"/>
      <c r="H312" s="573"/>
      <c r="I312" s="573"/>
    </row>
    <row r="313" spans="3:24" ht="14.4" customHeight="1">
      <c r="E313" s="548"/>
      <c r="F313" s="573"/>
      <c r="G313" s="633"/>
      <c r="H313" s="573"/>
      <c r="I313" s="573"/>
      <c r="X313" s="548" t="s">
        <v>641</v>
      </c>
    </row>
    <row r="314" spans="3:24" ht="14.4" customHeight="1">
      <c r="D314" s="549"/>
      <c r="E314" s="548"/>
      <c r="G314" s="549"/>
    </row>
    <row r="315" spans="3:24" ht="14.4" customHeight="1">
      <c r="D315" s="549"/>
      <c r="E315" s="548"/>
      <c r="G315" s="549"/>
    </row>
    <row r="316" spans="3:24" ht="14.4" customHeight="1">
      <c r="D316" s="549"/>
      <c r="E316" s="548"/>
      <c r="G316" s="549"/>
    </row>
    <row r="317" spans="3:24" ht="14.4" customHeight="1">
      <c r="D317" s="549"/>
      <c r="E317" s="548"/>
      <c r="G317" s="549"/>
    </row>
    <row r="318" spans="3:24" ht="14.4" customHeight="1">
      <c r="D318" s="549"/>
      <c r="E318" s="548"/>
      <c r="G318" s="549"/>
    </row>
    <row r="319" spans="3:24" ht="14.4" customHeight="1">
      <c r="D319" s="549"/>
      <c r="E319" s="548"/>
      <c r="G319" s="549"/>
    </row>
    <row r="320" spans="3:24" ht="14.4" customHeight="1">
      <c r="D320" s="549"/>
      <c r="E320" s="548"/>
      <c r="G320" s="549"/>
    </row>
    <row r="321" spans="3:9" ht="14.4" customHeight="1">
      <c r="D321" s="549"/>
      <c r="E321" s="548"/>
      <c r="G321" s="549"/>
    </row>
    <row r="322" spans="3:9" ht="14.4" customHeight="1">
      <c r="G322" s="549"/>
    </row>
    <row r="323" spans="3:9" ht="14.4" customHeight="1">
      <c r="C323" s="645"/>
      <c r="D323" s="617"/>
      <c r="E323" s="641"/>
      <c r="F323" s="641"/>
    </row>
    <row r="324" spans="3:9" ht="14.4" customHeight="1">
      <c r="D324" s="617"/>
      <c r="E324" s="573"/>
      <c r="F324" s="573"/>
      <c r="G324" s="633"/>
      <c r="H324" s="573"/>
      <c r="I324" s="573"/>
    </row>
    <row r="325" spans="3:9" ht="14.4" customHeight="1">
      <c r="I325" s="573"/>
    </row>
    <row r="326" spans="3:9" ht="14.4" customHeight="1">
      <c r="H326" s="573"/>
      <c r="I326" s="573"/>
    </row>
    <row r="327" spans="3:9" ht="14.4" customHeight="1">
      <c r="H327" s="573"/>
      <c r="I327" s="573"/>
    </row>
    <row r="328" spans="3:9" ht="14.4" customHeight="1">
      <c r="H328" s="573"/>
      <c r="I328" s="573"/>
    </row>
    <row r="329" spans="3:9" ht="14.4" customHeight="1">
      <c r="H329" s="573"/>
      <c r="I329" s="573"/>
    </row>
    <row r="330" spans="3:9" ht="14.4" customHeight="1">
      <c r="H330" s="573"/>
      <c r="I330" s="573"/>
    </row>
    <row r="331" spans="3:9" ht="14.4" customHeight="1">
      <c r="H331" s="573"/>
      <c r="I331" s="573"/>
    </row>
    <row r="332" spans="3:9" ht="14.4" customHeight="1">
      <c r="H332" s="573"/>
      <c r="I332" s="573"/>
    </row>
    <row r="333" spans="3:9" ht="14.4" customHeight="1">
      <c r="H333" s="573"/>
      <c r="I333" s="573"/>
    </row>
    <row r="334" spans="3:9" ht="14.4" customHeight="1">
      <c r="H334" s="573"/>
      <c r="I334" s="573"/>
    </row>
    <row r="335" spans="3:9" ht="14.4" customHeight="1">
      <c r="H335" s="573"/>
      <c r="I335" s="573"/>
    </row>
    <row r="336" spans="3:9" ht="14.4" customHeight="1">
      <c r="H336" s="573"/>
      <c r="I336" s="573"/>
    </row>
    <row r="337" spans="2:17" ht="14.4" customHeight="1">
      <c r="H337" s="573"/>
      <c r="I337" s="573"/>
    </row>
    <row r="338" spans="2:17" ht="14.4" customHeight="1">
      <c r="H338" s="573"/>
      <c r="I338" s="573"/>
    </row>
    <row r="339" spans="2:17" ht="14.4" customHeight="1">
      <c r="H339" s="573"/>
      <c r="I339" s="573"/>
    </row>
    <row r="340" spans="2:17" ht="14.4" customHeight="1">
      <c r="H340" s="573"/>
      <c r="I340" s="573"/>
    </row>
    <row r="341" spans="2:17" ht="14.4" customHeight="1">
      <c r="H341" s="573"/>
      <c r="I341" s="573"/>
    </row>
    <row r="342" spans="2:17" ht="14.4" customHeight="1">
      <c r="H342" s="573"/>
      <c r="I342" s="573"/>
    </row>
    <row r="343" spans="2:17" ht="14.4" customHeight="1">
      <c r="H343" s="573"/>
      <c r="I343" s="573"/>
    </row>
    <row r="344" spans="2:17" ht="14.4" customHeight="1">
      <c r="H344" s="573"/>
      <c r="I344" s="573"/>
    </row>
    <row r="345" spans="2:17" ht="14.4" customHeight="1">
      <c r="H345" s="573"/>
      <c r="I345" s="573"/>
    </row>
    <row r="346" spans="2:17" ht="14.4" customHeight="1">
      <c r="H346" s="573"/>
      <c r="I346" s="573"/>
    </row>
    <row r="347" spans="2:17" ht="14.4" customHeight="1">
      <c r="H347" s="573"/>
      <c r="I347" s="573"/>
    </row>
    <row r="348" spans="2:17" ht="14.4" customHeight="1">
      <c r="B348" s="548" t="s">
        <v>1148</v>
      </c>
      <c r="H348" s="573"/>
      <c r="I348" s="573"/>
    </row>
    <row r="349" spans="2:17" ht="14.4" customHeight="1">
      <c r="C349" s="548" t="s">
        <v>1201</v>
      </c>
      <c r="D349" s="617" t="s">
        <v>63</v>
      </c>
      <c r="E349" s="633" t="s">
        <v>1202</v>
      </c>
      <c r="F349" s="617"/>
      <c r="G349" s="643"/>
      <c r="H349" s="532"/>
      <c r="I349" s="532" t="s">
        <v>547</v>
      </c>
      <c r="J349" s="532" t="s">
        <v>63</v>
      </c>
      <c r="K349" s="975">
        <v>0.13200000000000001</v>
      </c>
      <c r="L349" s="975"/>
      <c r="M349" s="532"/>
      <c r="N349" s="532"/>
      <c r="O349" s="532"/>
      <c r="P349" s="532"/>
      <c r="Q349" s="532"/>
    </row>
    <row r="350" spans="2:17" ht="14.4" customHeight="1">
      <c r="C350" s="549"/>
      <c r="D350" s="617" t="s">
        <v>63</v>
      </c>
      <c r="E350" s="633">
        <f>(((E297^2)/I302)+2)/3</f>
        <v>1.3017621383647799</v>
      </c>
      <c r="F350" s="617"/>
      <c r="G350" s="643"/>
      <c r="H350" s="532"/>
      <c r="I350" s="532"/>
      <c r="J350" s="532"/>
      <c r="K350" s="532"/>
      <c r="L350" s="532"/>
      <c r="M350" s="532"/>
      <c r="N350" s="532"/>
      <c r="O350" s="532"/>
      <c r="P350" s="532"/>
      <c r="Q350" s="532"/>
    </row>
    <row r="351" spans="2:17" ht="14.4" customHeight="1">
      <c r="C351" s="549" t="s">
        <v>1203</v>
      </c>
      <c r="D351" s="617" t="s">
        <v>63</v>
      </c>
      <c r="E351" s="633">
        <v>1.1000000000000001</v>
      </c>
      <c r="F351" s="617"/>
      <c r="G351" s="643"/>
      <c r="H351" s="532"/>
      <c r="I351" s="532"/>
      <c r="J351" s="532"/>
      <c r="K351" s="532"/>
      <c r="L351" s="532"/>
      <c r="M351" s="532"/>
      <c r="N351" s="532"/>
      <c r="O351" s="532"/>
      <c r="P351" s="532"/>
      <c r="Q351" s="532"/>
    </row>
    <row r="352" spans="2:17" ht="14.4" customHeight="1">
      <c r="C352" s="548" t="s">
        <v>1204</v>
      </c>
      <c r="D352" s="617" t="s">
        <v>63</v>
      </c>
      <c r="E352" s="549">
        <v>1.1499999999999999</v>
      </c>
      <c r="F352" s="573"/>
      <c r="G352" s="633"/>
      <c r="H352" s="532"/>
      <c r="I352" s="532"/>
      <c r="J352" s="532"/>
      <c r="K352" s="532"/>
      <c r="L352" s="532"/>
      <c r="M352" s="532"/>
      <c r="N352" s="532"/>
      <c r="O352" s="532"/>
      <c r="P352" s="532"/>
      <c r="Q352" s="532"/>
    </row>
    <row r="353" spans="2:11" ht="14.4" customHeight="1">
      <c r="C353" s="579" t="s">
        <v>1384</v>
      </c>
      <c r="D353" s="617" t="s">
        <v>63</v>
      </c>
      <c r="E353" s="551" t="s">
        <v>1385</v>
      </c>
      <c r="F353" s="573"/>
      <c r="H353" s="646"/>
      <c r="I353" s="646"/>
      <c r="J353" s="646"/>
      <c r="K353" s="646"/>
    </row>
    <row r="354" spans="2:11" ht="14.4" customHeight="1">
      <c r="D354" s="617" t="s">
        <v>63</v>
      </c>
      <c r="E354" s="551">
        <f>E13^2</f>
        <v>256</v>
      </c>
      <c r="F354" s="573"/>
      <c r="H354" s="646"/>
      <c r="I354" s="646"/>
      <c r="J354" s="646"/>
      <c r="K354" s="646"/>
    </row>
    <row r="355" spans="2:11" ht="14.4" customHeight="1">
      <c r="E355" s="548"/>
    </row>
    <row r="356" spans="2:11" ht="14.4" customHeight="1">
      <c r="B356" s="549"/>
      <c r="C356" s="548" t="s">
        <v>1149</v>
      </c>
    </row>
    <row r="357" spans="2:11" ht="14.4" customHeight="1">
      <c r="B357" s="645"/>
      <c r="C357" s="645" t="s">
        <v>1386</v>
      </c>
      <c r="D357" s="617" t="s">
        <v>63</v>
      </c>
      <c r="E357" s="641" t="s">
        <v>1387</v>
      </c>
      <c r="F357" s="641"/>
    </row>
    <row r="358" spans="2:11" ht="14.4" customHeight="1">
      <c r="B358" s="549"/>
      <c r="D358" s="617" t="s">
        <v>63</v>
      </c>
      <c r="E358" s="982">
        <f>0.132*I302*E351*E352*E354*E350</f>
        <v>1327.1635375257604</v>
      </c>
      <c r="F358" s="982"/>
      <c r="G358" s="548" t="s">
        <v>1085</v>
      </c>
    </row>
    <row r="359" spans="2:11" ht="14.4" customHeight="1">
      <c r="B359" s="549"/>
      <c r="D359" s="617"/>
      <c r="E359" s="647"/>
      <c r="F359" s="647"/>
    </row>
    <row r="360" spans="2:11" ht="14.4" customHeight="1">
      <c r="B360" s="549"/>
      <c r="D360" s="617"/>
      <c r="E360" s="606"/>
      <c r="F360" s="606"/>
    </row>
    <row r="361" spans="2:11" ht="14.4" customHeight="1">
      <c r="B361" s="629" t="s">
        <v>1150</v>
      </c>
    </row>
    <row r="362" spans="2:11" ht="14.4" customHeight="1">
      <c r="C362" s="644"/>
      <c r="D362" s="617"/>
      <c r="E362" s="633"/>
      <c r="J362" s="643"/>
    </row>
    <row r="363" spans="2:11" ht="14.4" customHeight="1">
      <c r="B363" s="549"/>
      <c r="C363" s="549"/>
    </row>
    <row r="364" spans="2:11" ht="14.4" customHeight="1">
      <c r="B364" s="549"/>
      <c r="C364" s="549"/>
    </row>
    <row r="365" spans="2:11" ht="14.4" customHeight="1">
      <c r="B365" s="549"/>
      <c r="C365" s="549"/>
    </row>
    <row r="366" spans="2:11" ht="14.4" customHeight="1">
      <c r="B366" s="549"/>
      <c r="C366" s="549"/>
    </row>
    <row r="367" spans="2:11" ht="14.4" customHeight="1">
      <c r="B367" s="549"/>
      <c r="C367" s="549"/>
    </row>
    <row r="368" spans="2:11" ht="14.4" customHeight="1">
      <c r="B368" s="549"/>
      <c r="C368" s="549"/>
    </row>
    <row r="369" spans="2:3" ht="14.4" customHeight="1">
      <c r="B369" s="549"/>
      <c r="C369" s="549"/>
    </row>
    <row r="370" spans="2:3" ht="14.4" customHeight="1">
      <c r="B370" s="549"/>
      <c r="C370" s="549"/>
    </row>
    <row r="371" spans="2:3" ht="14.4" customHeight="1">
      <c r="B371" s="549"/>
      <c r="C371" s="549"/>
    </row>
    <row r="372" spans="2:3" ht="14.4" customHeight="1">
      <c r="B372" s="549"/>
      <c r="C372" s="549"/>
    </row>
    <row r="373" spans="2:3" ht="14.4" customHeight="1">
      <c r="B373" s="549"/>
      <c r="C373" s="549"/>
    </row>
    <row r="374" spans="2:3" ht="14.4" customHeight="1">
      <c r="B374" s="549"/>
      <c r="C374" s="549"/>
    </row>
    <row r="375" spans="2:3" ht="14.4" customHeight="1">
      <c r="B375" s="549"/>
      <c r="C375" s="549"/>
    </row>
    <row r="376" spans="2:3" ht="14.4" customHeight="1">
      <c r="B376" s="549"/>
      <c r="C376" s="549"/>
    </row>
    <row r="377" spans="2:3" ht="14.4" customHeight="1">
      <c r="B377" s="549"/>
      <c r="C377" s="549"/>
    </row>
    <row r="378" spans="2:3" ht="14.4" customHeight="1">
      <c r="B378" s="549"/>
      <c r="C378" s="549"/>
    </row>
    <row r="379" spans="2:3" ht="14.4" customHeight="1">
      <c r="B379" s="549"/>
      <c r="C379" s="549"/>
    </row>
    <row r="380" spans="2:3" ht="14.4" customHeight="1">
      <c r="B380" s="549"/>
      <c r="C380" s="549"/>
    </row>
    <row r="381" spans="2:3" ht="14.4" customHeight="1">
      <c r="B381" s="549"/>
      <c r="C381" s="549"/>
    </row>
    <row r="382" spans="2:3" ht="14.4" customHeight="1">
      <c r="B382" s="549"/>
      <c r="C382" s="549"/>
    </row>
    <row r="383" spans="2:3" ht="14.4" customHeight="1">
      <c r="B383" s="549"/>
      <c r="C383" s="549"/>
    </row>
    <row r="384" spans="2:3" ht="14.4" customHeight="1">
      <c r="B384" s="549"/>
      <c r="C384" s="549"/>
    </row>
    <row r="385" spans="2:12" ht="14.4" customHeight="1">
      <c r="B385" s="549"/>
      <c r="C385" s="549"/>
    </row>
    <row r="386" spans="2:12" ht="14.4" customHeight="1">
      <c r="B386" s="549"/>
      <c r="C386" s="549"/>
    </row>
    <row r="387" spans="2:12" ht="14.4" customHeight="1">
      <c r="B387" s="549"/>
      <c r="C387" s="549"/>
    </row>
    <row r="388" spans="2:12" ht="14.4" customHeight="1">
      <c r="C388" s="579" t="s">
        <v>1151</v>
      </c>
      <c r="D388" s="617" t="s">
        <v>63</v>
      </c>
      <c r="E388" s="573" t="s">
        <v>1152</v>
      </c>
      <c r="G388" s="549"/>
    </row>
    <row r="389" spans="2:12" ht="14.4" customHeight="1">
      <c r="C389" s="579" t="s">
        <v>929</v>
      </c>
      <c r="D389" s="617" t="s">
        <v>63</v>
      </c>
      <c r="E389" s="551">
        <f>E299</f>
        <v>4.0702999999999996</v>
      </c>
      <c r="F389" s="548" t="s">
        <v>4</v>
      </c>
      <c r="G389" s="549"/>
      <c r="I389" s="579"/>
      <c r="J389" s="617"/>
    </row>
    <row r="390" spans="2:12" ht="14.4" customHeight="1">
      <c r="C390" s="644" t="s">
        <v>1153</v>
      </c>
      <c r="D390" s="617" t="s">
        <v>63</v>
      </c>
      <c r="E390" s="648">
        <v>0.33</v>
      </c>
      <c r="F390" s="573" t="s">
        <v>1154</v>
      </c>
      <c r="G390" s="633"/>
      <c r="H390" s="573"/>
    </row>
    <row r="391" spans="2:12" ht="14.4" customHeight="1">
      <c r="C391" s="573"/>
      <c r="D391" s="617" t="s">
        <v>63</v>
      </c>
      <c r="E391" s="648">
        <v>0.66</v>
      </c>
      <c r="F391" s="573" t="s">
        <v>1155</v>
      </c>
      <c r="G391" s="633"/>
      <c r="H391" s="573"/>
    </row>
    <row r="392" spans="2:12" ht="14.4" customHeight="1">
      <c r="C392" s="644" t="s">
        <v>1205</v>
      </c>
      <c r="D392" s="617" t="s">
        <v>63</v>
      </c>
      <c r="E392" s="649" t="s">
        <v>1156</v>
      </c>
      <c r="G392" s="549"/>
      <c r="J392" s="617"/>
      <c r="K392" s="641"/>
      <c r="L392" s="641"/>
    </row>
    <row r="393" spans="2:12" ht="14.4" customHeight="1">
      <c r="C393" s="644" t="s">
        <v>1206</v>
      </c>
      <c r="D393" s="617" t="s">
        <v>63</v>
      </c>
      <c r="E393" s="632">
        <f>E293</f>
        <v>4.9603699599999995</v>
      </c>
      <c r="F393" s="548" t="s">
        <v>1375</v>
      </c>
      <c r="G393" s="549"/>
      <c r="J393" s="617"/>
    </row>
    <row r="394" spans="2:12" ht="14.4" customHeight="1">
      <c r="C394" s="644" t="s">
        <v>789</v>
      </c>
      <c r="D394" s="617" t="s">
        <v>63</v>
      </c>
      <c r="E394" s="632">
        <f>E295</f>
        <v>19.841479839999998</v>
      </c>
      <c r="F394" s="548" t="s">
        <v>1375</v>
      </c>
      <c r="J394" s="617"/>
    </row>
    <row r="395" spans="2:12" ht="14.4" customHeight="1">
      <c r="C395" s="644" t="s">
        <v>1205</v>
      </c>
      <c r="D395" s="617" t="s">
        <v>63</v>
      </c>
      <c r="E395" s="649">
        <f>E393/E394</f>
        <v>0.25</v>
      </c>
      <c r="G395" s="549"/>
      <c r="J395" s="617"/>
      <c r="K395" s="641"/>
      <c r="L395" s="641"/>
    </row>
    <row r="396" spans="2:12" ht="14.4" customHeight="1">
      <c r="C396" s="579" t="s">
        <v>1151</v>
      </c>
      <c r="D396" s="617" t="s">
        <v>63</v>
      </c>
      <c r="E396" s="650">
        <f>E389*(E390-E395)</f>
        <v>0.32562400000000002</v>
      </c>
      <c r="G396" s="549"/>
      <c r="I396" s="579"/>
      <c r="J396" s="617"/>
      <c r="K396" s="650"/>
      <c r="L396" s="650"/>
    </row>
    <row r="397" spans="2:12" ht="14.4" customHeight="1">
      <c r="C397" s="644" t="s">
        <v>209</v>
      </c>
      <c r="D397" s="617" t="s">
        <v>63</v>
      </c>
      <c r="E397" s="549">
        <f>E358*(E394+E393)/I302</f>
        <v>1380.1304284172145</v>
      </c>
      <c r="F397" s="548" t="s">
        <v>1111</v>
      </c>
      <c r="J397" s="617"/>
    </row>
    <row r="398" spans="2:12" ht="14.4" customHeight="1">
      <c r="C398" s="644" t="s">
        <v>1388</v>
      </c>
      <c r="D398" s="617" t="s">
        <v>63</v>
      </c>
      <c r="E398" s="651">
        <f>E397*E396</f>
        <v>449.40359062292708</v>
      </c>
      <c r="F398" s="548" t="s">
        <v>1157</v>
      </c>
      <c r="I398" s="644"/>
      <c r="J398" s="617"/>
    </row>
    <row r="399" spans="2:12" ht="14.4" customHeight="1">
      <c r="C399" s="644"/>
      <c r="D399" s="617"/>
      <c r="E399" s="633"/>
      <c r="G399" s="643"/>
    </row>
    <row r="400" spans="2:12" ht="14.4" customHeight="1">
      <c r="B400" s="578" t="s">
        <v>1158</v>
      </c>
    </row>
    <row r="404" spans="2:4" ht="14.4" customHeight="1">
      <c r="B404" s="644"/>
    </row>
    <row r="405" spans="2:4" ht="14.4" customHeight="1">
      <c r="B405" s="644"/>
      <c r="C405" s="573"/>
      <c r="D405" s="573"/>
    </row>
    <row r="425" spans="2:13" ht="14.4" customHeight="1">
      <c r="B425" s="548" t="s">
        <v>1389</v>
      </c>
    </row>
    <row r="426" spans="2:13" ht="14.4" customHeight="1">
      <c r="C426" s="579" t="s">
        <v>1159</v>
      </c>
      <c r="D426" s="617" t="s">
        <v>63</v>
      </c>
      <c r="E426" s="548" t="s">
        <v>1207</v>
      </c>
      <c r="K426" s="548" t="s">
        <v>1111</v>
      </c>
      <c r="L426" s="548" t="s">
        <v>63</v>
      </c>
      <c r="M426" s="548">
        <v>42</v>
      </c>
    </row>
    <row r="427" spans="2:13" ht="14.4" customHeight="1">
      <c r="D427" s="617" t="s">
        <v>63</v>
      </c>
      <c r="E427" s="548">
        <f>(235/300)^0.75</f>
        <v>0.8326451479909156</v>
      </c>
    </row>
    <row r="429" spans="2:13" ht="14.4" customHeight="1">
      <c r="B429" s="548" t="s">
        <v>1160</v>
      </c>
    </row>
    <row r="430" spans="2:13" ht="14.4" customHeight="1">
      <c r="C430" s="579" t="s">
        <v>819</v>
      </c>
      <c r="D430" s="617" t="s">
        <v>63</v>
      </c>
      <c r="E430" s="549" t="s">
        <v>1390</v>
      </c>
    </row>
    <row r="431" spans="2:13" ht="14.4" customHeight="1">
      <c r="C431" s="579" t="s">
        <v>819</v>
      </c>
      <c r="D431" s="617" t="s">
        <v>63</v>
      </c>
      <c r="E431" s="980">
        <f>42*(($E$398*$E$427)^(1/3))</f>
        <v>302.65518716153434</v>
      </c>
      <c r="F431" s="980"/>
      <c r="G431" s="548" t="s">
        <v>351</v>
      </c>
    </row>
    <row r="432" spans="2:13" ht="14.4" customHeight="1">
      <c r="C432" s="579" t="s">
        <v>737</v>
      </c>
      <c r="D432" s="617" t="s">
        <v>63</v>
      </c>
      <c r="E432" s="972">
        <v>300</v>
      </c>
      <c r="F432" s="972"/>
      <c r="G432" s="548" t="s">
        <v>351</v>
      </c>
    </row>
    <row r="433" spans="1:17" ht="14.4" customHeight="1">
      <c r="E433" s="981">
        <f>$E$432/1000</f>
        <v>0.3</v>
      </c>
      <c r="F433" s="981"/>
      <c r="G433" s="548" t="s">
        <v>4</v>
      </c>
    </row>
    <row r="434" spans="1:17" ht="14.4" customHeight="1">
      <c r="E434" s="551"/>
      <c r="F434" s="551"/>
    </row>
    <row r="435" spans="1:17" ht="14.4" customHeight="1" thickBot="1">
      <c r="B435" s="578" t="s">
        <v>1161</v>
      </c>
      <c r="C435" s="579"/>
      <c r="D435" s="617"/>
      <c r="E435" s="551"/>
    </row>
    <row r="436" spans="1:17" ht="14.4" customHeight="1">
      <c r="B436" s="580"/>
      <c r="C436" s="592"/>
      <c r="D436" s="581" t="s">
        <v>1076</v>
      </c>
      <c r="E436" s="612" t="s">
        <v>63</v>
      </c>
      <c r="F436" s="613" t="s">
        <v>1214</v>
      </c>
      <c r="G436" s="592"/>
      <c r="H436" s="592"/>
      <c r="I436" s="592"/>
      <c r="J436" s="592"/>
      <c r="K436" s="584"/>
    </row>
    <row r="437" spans="1:17" ht="14.4" customHeight="1">
      <c r="B437" s="598"/>
      <c r="D437" s="579" t="s">
        <v>336</v>
      </c>
      <c r="E437" s="617" t="s">
        <v>63</v>
      </c>
      <c r="F437" s="549" t="s">
        <v>1216</v>
      </c>
      <c r="K437" s="652"/>
    </row>
    <row r="438" spans="1:17" ht="14.4" customHeight="1">
      <c r="B438" s="598"/>
      <c r="D438" s="579" t="s">
        <v>1162</v>
      </c>
      <c r="E438" s="617" t="s">
        <v>63</v>
      </c>
      <c r="F438" s="551">
        <v>275</v>
      </c>
      <c r="G438" s="548" t="s">
        <v>1163</v>
      </c>
      <c r="K438" s="652"/>
    </row>
    <row r="439" spans="1:17" ht="14.4" customHeight="1">
      <c r="B439" s="598"/>
      <c r="D439" s="579" t="s">
        <v>1164</v>
      </c>
      <c r="E439" s="617" t="s">
        <v>63</v>
      </c>
      <c r="F439" s="551" t="s">
        <v>1215</v>
      </c>
      <c r="G439" s="548" t="s">
        <v>1165</v>
      </c>
      <c r="K439" s="652"/>
    </row>
    <row r="440" spans="1:17" ht="14.4" customHeight="1">
      <c r="B440" s="598"/>
      <c r="D440" s="579" t="s">
        <v>365</v>
      </c>
      <c r="E440" s="617" t="s">
        <v>63</v>
      </c>
      <c r="F440" s="977">
        <v>1610</v>
      </c>
      <c r="G440" s="977"/>
      <c r="H440" s="548" t="s">
        <v>351</v>
      </c>
      <c r="K440" s="652"/>
    </row>
    <row r="441" spans="1:17" ht="14.4" customHeight="1">
      <c r="B441" s="598"/>
      <c r="D441" s="579" t="s">
        <v>367</v>
      </c>
      <c r="E441" s="617" t="s">
        <v>63</v>
      </c>
      <c r="F441" s="977">
        <v>1470</v>
      </c>
      <c r="G441" s="977"/>
      <c r="H441" s="548" t="s">
        <v>351</v>
      </c>
      <c r="K441" s="652"/>
    </row>
    <row r="442" spans="1:17" ht="14.4" customHeight="1">
      <c r="B442" s="598"/>
      <c r="D442" s="579" t="s">
        <v>369</v>
      </c>
      <c r="E442" s="617" t="s">
        <v>63</v>
      </c>
      <c r="F442" s="977">
        <v>875</v>
      </c>
      <c r="G442" s="977"/>
      <c r="H442" s="548" t="s">
        <v>351</v>
      </c>
      <c r="K442" s="652"/>
    </row>
    <row r="443" spans="1:17" ht="14.4" customHeight="1" thickBot="1">
      <c r="B443" s="585"/>
      <c r="C443" s="596"/>
      <c r="D443" s="621" t="s">
        <v>1116</v>
      </c>
      <c r="E443" s="622" t="s">
        <v>63</v>
      </c>
      <c r="F443" s="973" t="s">
        <v>1166</v>
      </c>
      <c r="G443" s="973"/>
      <c r="H443" s="973"/>
      <c r="I443" s="596"/>
      <c r="J443" s="596"/>
      <c r="K443" s="653"/>
    </row>
    <row r="444" spans="1:17" ht="14.4" customHeight="1">
      <c r="C444" s="616"/>
      <c r="D444" s="617"/>
      <c r="E444" s="639"/>
      <c r="G444" s="549"/>
    </row>
    <row r="445" spans="1:17" ht="14.4" customHeight="1">
      <c r="D445" s="605"/>
      <c r="E445" s="654"/>
      <c r="G445" s="549"/>
    </row>
    <row r="446" spans="1:17" ht="14.4" customHeight="1">
      <c r="A446" s="978" t="s">
        <v>1167</v>
      </c>
      <c r="B446" s="978"/>
      <c r="C446" s="978"/>
      <c r="D446" s="978"/>
      <c r="E446" s="978"/>
      <c r="F446" s="978"/>
      <c r="G446" s="978"/>
      <c r="H446" s="978"/>
      <c r="I446" s="978"/>
      <c r="J446" s="978"/>
      <c r="K446" s="978"/>
      <c r="L446" s="978"/>
      <c r="M446" s="978"/>
      <c r="N446" s="978"/>
      <c r="O446" s="978"/>
      <c r="P446" s="978"/>
      <c r="Q446" s="978"/>
    </row>
    <row r="447" spans="1:17" ht="14.4" customHeight="1">
      <c r="A447" s="978"/>
      <c r="B447" s="978"/>
      <c r="C447" s="978"/>
      <c r="D447" s="978"/>
      <c r="E447" s="978"/>
      <c r="F447" s="978"/>
      <c r="G447" s="978"/>
      <c r="H447" s="978"/>
      <c r="I447" s="978"/>
      <c r="J447" s="978"/>
      <c r="K447" s="978"/>
      <c r="L447" s="978"/>
      <c r="M447" s="978"/>
      <c r="N447" s="978"/>
      <c r="O447" s="978"/>
      <c r="P447" s="978"/>
      <c r="Q447" s="978"/>
    </row>
    <row r="448" spans="1:17" ht="14.4" customHeight="1">
      <c r="B448" s="578" t="s">
        <v>1168</v>
      </c>
      <c r="C448" s="579"/>
      <c r="D448" s="617"/>
      <c r="E448" s="551"/>
    </row>
    <row r="449" spans="2:11" ht="14.4" customHeight="1">
      <c r="C449" s="548" t="s">
        <v>709</v>
      </c>
      <c r="D449" s="550" t="s">
        <v>63</v>
      </c>
      <c r="E449" s="548" t="s">
        <v>1169</v>
      </c>
      <c r="H449" s="548" t="s">
        <v>291</v>
      </c>
      <c r="I449" s="972">
        <v>3.5000000000000003E-2</v>
      </c>
      <c r="J449" s="972"/>
      <c r="K449" s="548" t="s">
        <v>711</v>
      </c>
    </row>
    <row r="450" spans="2:11" ht="14.4" customHeight="1">
      <c r="D450" s="551" t="s">
        <v>63</v>
      </c>
      <c r="E450" s="607">
        <f>'DOC 3 ATTACH'!E56:F56</f>
        <v>3843.12699000877</v>
      </c>
      <c r="F450" s="548" t="s">
        <v>361</v>
      </c>
      <c r="H450" s="548" t="s">
        <v>1170</v>
      </c>
    </row>
    <row r="451" spans="2:11" ht="14.4" customHeight="1">
      <c r="B451" s="578" t="s">
        <v>712</v>
      </c>
      <c r="C451" s="578"/>
      <c r="D451" s="578"/>
      <c r="E451" s="578"/>
      <c r="F451" s="578"/>
      <c r="G451" s="578"/>
    </row>
    <row r="452" spans="2:11" ht="14.4" customHeight="1">
      <c r="C452" s="579" t="s">
        <v>713</v>
      </c>
      <c r="D452" s="550" t="s">
        <v>63</v>
      </c>
      <c r="E452" s="548" t="s">
        <v>714</v>
      </c>
    </row>
    <row r="453" spans="2:11" ht="14.4" customHeight="1">
      <c r="D453" s="550" t="s">
        <v>63</v>
      </c>
      <c r="E453" s="607">
        <f>'DOC 3 ATTACH'!E60:F60</f>
        <v>1298.76</v>
      </c>
      <c r="F453" s="548" t="s">
        <v>361</v>
      </c>
      <c r="H453" s="548" t="s">
        <v>1171</v>
      </c>
    </row>
    <row r="454" spans="2:11" ht="14.4" customHeight="1">
      <c r="B454" s="629" t="s">
        <v>716</v>
      </c>
      <c r="C454" s="629"/>
      <c r="D454" s="629"/>
      <c r="E454" s="629"/>
      <c r="F454" s="629"/>
    </row>
    <row r="455" spans="2:11" ht="14.4" customHeight="1">
      <c r="C455" s="579" t="s">
        <v>717</v>
      </c>
      <c r="D455" s="550" t="s">
        <v>63</v>
      </c>
      <c r="E455" s="548" t="s">
        <v>1391</v>
      </c>
    </row>
    <row r="456" spans="2:11" ht="14.4" customHeight="1">
      <c r="D456" s="550" t="s">
        <v>63</v>
      </c>
      <c r="E456" s="607">
        <f>'DOC 3 ATTACH'!E64:F64</f>
        <v>828.45770145707399</v>
      </c>
      <c r="F456" s="548" t="s">
        <v>361</v>
      </c>
      <c r="H456" s="548" t="s">
        <v>1171</v>
      </c>
    </row>
    <row r="457" spans="2:11" ht="14.4" customHeight="1">
      <c r="B457" s="578" t="s">
        <v>719</v>
      </c>
      <c r="C457" s="578"/>
      <c r="D457" s="578"/>
      <c r="E457" s="578"/>
      <c r="F457" s="578"/>
    </row>
    <row r="458" spans="2:11" ht="14.4" customHeight="1">
      <c r="C458" s="579" t="s">
        <v>720</v>
      </c>
      <c r="D458" s="550" t="s">
        <v>63</v>
      </c>
      <c r="E458" s="548" t="s">
        <v>1172</v>
      </c>
    </row>
    <row r="459" spans="2:11" ht="14.4" customHeight="1">
      <c r="C459" s="579"/>
      <c r="D459" s="550" t="s">
        <v>63</v>
      </c>
      <c r="E459" s="607">
        <f>2.5%*(E450+E453+E456)</f>
        <v>149.25861728664611</v>
      </c>
      <c r="F459" s="548" t="s">
        <v>361</v>
      </c>
    </row>
    <row r="460" spans="2:11" ht="14.4" customHeight="1">
      <c r="B460" s="578" t="s">
        <v>722</v>
      </c>
      <c r="C460" s="579"/>
      <c r="D460" s="550"/>
      <c r="E460" s="551"/>
    </row>
    <row r="461" spans="2:11" ht="14.4" customHeight="1">
      <c r="C461" s="579" t="s">
        <v>723</v>
      </c>
      <c r="D461" s="550" t="s">
        <v>63</v>
      </c>
      <c r="E461" s="548" t="s">
        <v>724</v>
      </c>
    </row>
    <row r="462" spans="2:11" ht="14.4" customHeight="1">
      <c r="D462" s="550" t="s">
        <v>63</v>
      </c>
      <c r="E462" s="607">
        <f>E450+E453+E456+E459</f>
        <v>6119.6033087524902</v>
      </c>
      <c r="F462" s="548" t="s">
        <v>361</v>
      </c>
    </row>
    <row r="463" spans="2:11" ht="14.4" customHeight="1">
      <c r="D463" s="550"/>
      <c r="E463" s="548"/>
    </row>
    <row r="464" spans="2:11" ht="14.25" customHeight="1">
      <c r="D464" s="550"/>
      <c r="E464" s="548"/>
    </row>
    <row r="465" spans="1:17" ht="14.4" customHeight="1">
      <c r="D465" s="550"/>
      <c r="E465" s="548"/>
    </row>
    <row r="466" spans="1:17" ht="14.4" customHeight="1">
      <c r="A466" s="978" t="s">
        <v>1173</v>
      </c>
      <c r="B466" s="978"/>
      <c r="C466" s="978"/>
      <c r="D466" s="978"/>
      <c r="E466" s="978"/>
      <c r="F466" s="978"/>
      <c r="G466" s="978"/>
      <c r="H466" s="978"/>
      <c r="I466" s="978"/>
      <c r="J466" s="978"/>
      <c r="K466" s="978"/>
      <c r="L466" s="978"/>
      <c r="M466" s="978"/>
      <c r="N466" s="978"/>
      <c r="O466" s="978"/>
      <c r="P466" s="978"/>
      <c r="Q466" s="978"/>
    </row>
    <row r="467" spans="1:17" ht="14.4" customHeight="1">
      <c r="A467" s="978"/>
      <c r="B467" s="978"/>
      <c r="C467" s="978"/>
      <c r="D467" s="978"/>
      <c r="E467" s="978"/>
      <c r="F467" s="978"/>
      <c r="G467" s="978"/>
      <c r="H467" s="978"/>
      <c r="I467" s="978"/>
      <c r="J467" s="978"/>
      <c r="K467" s="978"/>
      <c r="L467" s="978"/>
      <c r="M467" s="978"/>
      <c r="N467" s="978"/>
      <c r="O467" s="978"/>
      <c r="P467" s="978"/>
      <c r="Q467" s="978"/>
    </row>
    <row r="468" spans="1:17" ht="14.4" customHeight="1">
      <c r="B468" s="655" t="s">
        <v>1174</v>
      </c>
      <c r="C468" s="549"/>
      <c r="D468" s="549"/>
      <c r="F468" s="549"/>
    </row>
    <row r="469" spans="1:17" ht="14.4" customHeight="1">
      <c r="C469" s="616" t="s">
        <v>940</v>
      </c>
      <c r="D469" s="617" t="s">
        <v>63</v>
      </c>
      <c r="E469" s="551">
        <v>20</v>
      </c>
      <c r="F469" s="656" t="s">
        <v>798</v>
      </c>
    </row>
    <row r="470" spans="1:17" ht="14.4" customHeight="1">
      <c r="C470" s="616" t="s">
        <v>142</v>
      </c>
      <c r="D470" s="617" t="s">
        <v>63</v>
      </c>
      <c r="E470" s="551">
        <v>11</v>
      </c>
      <c r="F470" s="656" t="s">
        <v>1175</v>
      </c>
    </row>
    <row r="471" spans="1:17" ht="14.4" customHeight="1">
      <c r="C471" s="616" t="s">
        <v>1176</v>
      </c>
      <c r="D471" s="617" t="s">
        <v>63</v>
      </c>
      <c r="E471" s="551">
        <v>25</v>
      </c>
      <c r="F471" s="548" t="s">
        <v>346</v>
      </c>
      <c r="G471" s="656" t="s">
        <v>1177</v>
      </c>
    </row>
    <row r="472" spans="1:17" ht="14.4" customHeight="1">
      <c r="B472" s="656"/>
      <c r="C472" s="579" t="s">
        <v>1178</v>
      </c>
      <c r="D472" s="617" t="s">
        <v>63</v>
      </c>
      <c r="E472" s="657">
        <v>500</v>
      </c>
      <c r="F472" s="656" t="s">
        <v>346</v>
      </c>
    </row>
    <row r="473" spans="1:17" ht="14.4" customHeight="1">
      <c r="B473" s="656"/>
      <c r="C473" s="579"/>
      <c r="D473" s="617" t="s">
        <v>63</v>
      </c>
      <c r="E473" s="657">
        <f>E472/1000</f>
        <v>0.5</v>
      </c>
      <c r="F473" s="656" t="s">
        <v>361</v>
      </c>
    </row>
    <row r="474" spans="1:17" ht="14.4" customHeight="1">
      <c r="B474" s="979" t="s">
        <v>1179</v>
      </c>
      <c r="C474" s="979"/>
      <c r="D474" s="979"/>
      <c r="E474" s="979"/>
      <c r="F474" s="979"/>
      <c r="G474" s="979"/>
      <c r="H474" s="979"/>
      <c r="I474" s="979"/>
      <c r="J474" s="979"/>
      <c r="K474" s="979"/>
      <c r="L474" s="979"/>
      <c r="M474" s="979"/>
      <c r="N474" s="979"/>
      <c r="O474" s="979"/>
      <c r="P474" s="979"/>
      <c r="Q474" s="979"/>
    </row>
    <row r="475" spans="1:17" ht="14.4" customHeight="1">
      <c r="B475" s="979"/>
      <c r="C475" s="979"/>
      <c r="D475" s="979"/>
      <c r="E475" s="979"/>
      <c r="F475" s="979"/>
      <c r="G475" s="979"/>
      <c r="H475" s="979"/>
      <c r="I475" s="979"/>
      <c r="J475" s="979"/>
      <c r="K475" s="979"/>
      <c r="L475" s="979"/>
      <c r="M475" s="979"/>
      <c r="N475" s="979"/>
      <c r="O475" s="979"/>
      <c r="P475" s="979"/>
      <c r="Q475" s="979"/>
    </row>
    <row r="476" spans="1:17" ht="14.4" customHeight="1">
      <c r="B476" s="979"/>
      <c r="C476" s="979"/>
      <c r="D476" s="979"/>
      <c r="E476" s="979"/>
      <c r="F476" s="979"/>
      <c r="G476" s="979"/>
      <c r="H476" s="979"/>
      <c r="I476" s="979"/>
      <c r="J476" s="979"/>
      <c r="K476" s="979"/>
      <c r="L476" s="979"/>
      <c r="M476" s="979"/>
      <c r="N476" s="979"/>
      <c r="O476" s="979"/>
      <c r="P476" s="979"/>
      <c r="Q476" s="979"/>
    </row>
    <row r="477" spans="1:17" ht="14.4" customHeight="1">
      <c r="B477" s="656" t="s">
        <v>1180</v>
      </c>
      <c r="C477" s="549"/>
      <c r="D477" s="549"/>
      <c r="F477" s="549"/>
    </row>
    <row r="478" spans="1:17" ht="14.4" customHeight="1" thickBot="1">
      <c r="B478" s="656"/>
      <c r="C478" s="549"/>
      <c r="D478" s="549"/>
      <c r="F478" s="549"/>
    </row>
    <row r="479" spans="1:17" ht="14.4" customHeight="1">
      <c r="B479" s="658" t="s">
        <v>1181</v>
      </c>
      <c r="C479" s="613"/>
      <c r="D479" s="613"/>
      <c r="E479" s="613"/>
      <c r="F479" s="613"/>
      <c r="G479" s="592"/>
      <c r="H479" s="592"/>
      <c r="I479" s="592"/>
      <c r="J479" s="584"/>
    </row>
    <row r="480" spans="1:17" ht="14.4" customHeight="1">
      <c r="A480" s="656"/>
      <c r="B480" s="598"/>
      <c r="C480" s="656"/>
      <c r="D480" s="616" t="s">
        <v>1076</v>
      </c>
      <c r="E480" s="617" t="s">
        <v>63</v>
      </c>
      <c r="F480" s="549" t="s">
        <v>1113</v>
      </c>
      <c r="G480" s="549"/>
      <c r="J480" s="652"/>
    </row>
    <row r="481" spans="2:17" ht="14.4" customHeight="1">
      <c r="B481" s="598"/>
      <c r="C481" s="656"/>
      <c r="D481" s="616" t="s">
        <v>336</v>
      </c>
      <c r="E481" s="617" t="s">
        <v>63</v>
      </c>
      <c r="F481" s="549" t="s">
        <v>1182</v>
      </c>
      <c r="G481" s="549"/>
      <c r="J481" s="652"/>
    </row>
    <row r="482" spans="2:17" ht="14.4" customHeight="1">
      <c r="B482" s="598"/>
      <c r="C482" s="656"/>
      <c r="D482" s="616" t="s">
        <v>1183</v>
      </c>
      <c r="E482" s="617" t="s">
        <v>63</v>
      </c>
      <c r="F482" s="551">
        <v>1</v>
      </c>
      <c r="G482" s="549" t="s">
        <v>361</v>
      </c>
      <c r="J482" s="652"/>
    </row>
    <row r="483" spans="2:17" ht="14.4" customHeight="1">
      <c r="B483" s="598"/>
      <c r="C483" s="656"/>
      <c r="D483" s="616" t="s">
        <v>1184</v>
      </c>
      <c r="E483" s="617" t="s">
        <v>63</v>
      </c>
      <c r="F483" s="549" t="s">
        <v>1185</v>
      </c>
      <c r="G483" s="549"/>
      <c r="J483" s="652"/>
    </row>
    <row r="484" spans="2:17" ht="14.4" customHeight="1">
      <c r="B484" s="598"/>
      <c r="C484" s="656"/>
      <c r="D484" s="616" t="s">
        <v>1186</v>
      </c>
      <c r="E484" s="617" t="s">
        <v>63</v>
      </c>
      <c r="F484" s="972">
        <v>10</v>
      </c>
      <c r="G484" s="972"/>
      <c r="H484" s="549" t="s">
        <v>1115</v>
      </c>
      <c r="J484" s="652"/>
    </row>
    <row r="485" spans="2:17" ht="14.4" customHeight="1">
      <c r="B485" s="598"/>
      <c r="C485" s="656"/>
      <c r="D485" s="616" t="s">
        <v>1187</v>
      </c>
      <c r="E485" s="617" t="s">
        <v>63</v>
      </c>
      <c r="F485" s="972">
        <v>0.5</v>
      </c>
      <c r="G485" s="972"/>
      <c r="H485" s="549" t="s">
        <v>349</v>
      </c>
      <c r="J485" s="652"/>
    </row>
    <row r="486" spans="2:17" ht="14.4" customHeight="1">
      <c r="B486" s="598"/>
      <c r="C486" s="656"/>
      <c r="D486" s="616" t="s">
        <v>1116</v>
      </c>
      <c r="E486" s="617" t="s">
        <v>63</v>
      </c>
      <c r="F486" s="972">
        <v>7.5</v>
      </c>
      <c r="G486" s="972"/>
      <c r="H486" s="549" t="s">
        <v>250</v>
      </c>
      <c r="J486" s="652"/>
    </row>
    <row r="487" spans="2:17" ht="14.4" customHeight="1" thickBot="1">
      <c r="B487" s="585"/>
      <c r="C487" s="659"/>
      <c r="D487" s="621" t="s">
        <v>345</v>
      </c>
      <c r="E487" s="622" t="s">
        <v>63</v>
      </c>
      <c r="F487" s="973">
        <v>3150</v>
      </c>
      <c r="G487" s="973"/>
      <c r="H487" s="624" t="s">
        <v>346</v>
      </c>
      <c r="I487" s="596"/>
      <c r="J487" s="653"/>
    </row>
    <row r="488" spans="2:17" ht="14.4" customHeight="1">
      <c r="B488" s="656"/>
      <c r="C488" s="616"/>
      <c r="D488" s="617"/>
      <c r="E488" s="551"/>
      <c r="F488" s="549"/>
    </row>
    <row r="489" spans="2:17" ht="14.4" customHeight="1">
      <c r="B489" s="655" t="s">
        <v>1188</v>
      </c>
      <c r="C489" s="549"/>
      <c r="D489" s="549"/>
      <c r="F489" s="549"/>
    </row>
    <row r="490" spans="2:17" ht="14.4" customHeight="1">
      <c r="B490" s="976" t="s">
        <v>1189</v>
      </c>
      <c r="C490" s="976"/>
      <c r="D490" s="976"/>
      <c r="E490" s="976"/>
      <c r="F490" s="976"/>
      <c r="G490" s="976"/>
      <c r="H490" s="976"/>
      <c r="I490" s="976"/>
      <c r="J490" s="976"/>
      <c r="K490" s="976"/>
      <c r="L490" s="976"/>
      <c r="M490" s="976"/>
      <c r="N490" s="976"/>
      <c r="O490" s="976"/>
      <c r="P490" s="976"/>
      <c r="Q490" s="976"/>
    </row>
    <row r="491" spans="2:17" ht="14.4" customHeight="1" thickBot="1">
      <c r="B491" s="656" t="s">
        <v>1190</v>
      </c>
      <c r="F491" s="549"/>
    </row>
    <row r="492" spans="2:17" ht="14.4" customHeight="1">
      <c r="B492" s="580"/>
      <c r="C492" s="660"/>
      <c r="D492" s="611" t="s">
        <v>1076</v>
      </c>
      <c r="E492" s="612" t="s">
        <v>63</v>
      </c>
      <c r="F492" s="613" t="s">
        <v>1113</v>
      </c>
      <c r="G492" s="613"/>
      <c r="H492" s="592"/>
      <c r="I492" s="592"/>
      <c r="J492" s="592"/>
      <c r="K492" s="584"/>
    </row>
    <row r="493" spans="2:17" ht="14.4" customHeight="1">
      <c r="B493" s="598"/>
      <c r="C493" s="656"/>
      <c r="D493" s="616" t="s">
        <v>336</v>
      </c>
      <c r="E493" s="617" t="s">
        <v>63</v>
      </c>
      <c r="F493" s="549" t="s">
        <v>1191</v>
      </c>
      <c r="G493" s="549"/>
      <c r="K493" s="652"/>
    </row>
    <row r="494" spans="2:17" ht="14.4" customHeight="1">
      <c r="B494" s="598"/>
      <c r="C494" s="656"/>
      <c r="D494" s="616" t="s">
        <v>1183</v>
      </c>
      <c r="E494" s="617" t="s">
        <v>63</v>
      </c>
      <c r="F494" s="551">
        <v>2</v>
      </c>
      <c r="G494" s="549" t="s">
        <v>361</v>
      </c>
      <c r="K494" s="652"/>
    </row>
    <row r="495" spans="2:17" ht="14.4" customHeight="1">
      <c r="B495" s="598"/>
      <c r="C495" s="656"/>
      <c r="D495" s="616" t="s">
        <v>1184</v>
      </c>
      <c r="E495" s="617" t="s">
        <v>63</v>
      </c>
      <c r="F495" s="549" t="s">
        <v>1192</v>
      </c>
      <c r="G495" s="549"/>
      <c r="K495" s="652"/>
    </row>
    <row r="496" spans="2:17" ht="14.4" customHeight="1">
      <c r="B496" s="598"/>
      <c r="C496" s="656"/>
      <c r="D496" s="616" t="s">
        <v>1186</v>
      </c>
      <c r="E496" s="617" t="s">
        <v>63</v>
      </c>
      <c r="F496" s="972">
        <v>10</v>
      </c>
      <c r="G496" s="972"/>
      <c r="H496" s="549" t="s">
        <v>1115</v>
      </c>
      <c r="K496" s="652"/>
    </row>
    <row r="497" spans="2:11" ht="14.4" customHeight="1">
      <c r="B497" s="598"/>
      <c r="C497" s="656"/>
      <c r="D497" s="616" t="s">
        <v>1116</v>
      </c>
      <c r="E497" s="617" t="s">
        <v>63</v>
      </c>
      <c r="F497" s="972">
        <v>15</v>
      </c>
      <c r="G497" s="972"/>
      <c r="H497" s="549" t="s">
        <v>250</v>
      </c>
      <c r="K497" s="652"/>
    </row>
    <row r="498" spans="2:11" ht="14.4" customHeight="1" thickBot="1">
      <c r="B498" s="585"/>
      <c r="C498" s="659"/>
      <c r="D498" s="621" t="s">
        <v>345</v>
      </c>
      <c r="E498" s="622" t="s">
        <v>63</v>
      </c>
      <c r="F498" s="973">
        <v>6750</v>
      </c>
      <c r="G498" s="973"/>
      <c r="H498" s="624" t="s">
        <v>346</v>
      </c>
      <c r="I498" s="596"/>
      <c r="J498" s="596"/>
      <c r="K498" s="653"/>
    </row>
    <row r="499" spans="2:11" ht="14.4" customHeight="1">
      <c r="C499" s="616"/>
      <c r="D499" s="617"/>
      <c r="E499" s="551"/>
      <c r="F499" s="549"/>
    </row>
    <row r="500" spans="2:11" ht="14.4" customHeight="1">
      <c r="C500" s="616"/>
      <c r="D500" s="617"/>
      <c r="E500" s="551"/>
      <c r="F500" s="549">
        <v>16.624700000000001</v>
      </c>
    </row>
    <row r="501" spans="2:11" ht="14.4" customHeight="1">
      <c r="C501" s="616"/>
      <c r="D501" s="617"/>
      <c r="E501" s="551"/>
      <c r="F501" s="549">
        <v>82.076899999999995</v>
      </c>
    </row>
    <row r="502" spans="2:11" ht="14.4" customHeight="1">
      <c r="C502" s="616"/>
      <c r="D502" s="617"/>
      <c r="E502" s="551"/>
      <c r="F502" s="549">
        <f>F500/F501</f>
        <v>0.20255029125125343</v>
      </c>
    </row>
  </sheetData>
  <mergeCells count="52">
    <mergeCell ref="E13:F13"/>
    <mergeCell ref="A1:Q2"/>
    <mergeCell ref="E7:F7"/>
    <mergeCell ref="O7:P7"/>
    <mergeCell ref="E8:F8"/>
    <mergeCell ref="O8:P8"/>
    <mergeCell ref="E9:F9"/>
    <mergeCell ref="O9:P9"/>
    <mergeCell ref="E10:F10"/>
    <mergeCell ref="O10:P10"/>
    <mergeCell ref="E11:F11"/>
    <mergeCell ref="O11:P11"/>
    <mergeCell ref="E12:F12"/>
    <mergeCell ref="H268:I268"/>
    <mergeCell ref="B223:Q224"/>
    <mergeCell ref="E14:F14"/>
    <mergeCell ref="E15:F15"/>
    <mergeCell ref="A18:Q19"/>
    <mergeCell ref="E76:F76"/>
    <mergeCell ref="E78:F78"/>
    <mergeCell ref="B169:R170"/>
    <mergeCell ref="B171:J171"/>
    <mergeCell ref="B192:R193"/>
    <mergeCell ref="A232:Q233"/>
    <mergeCell ref="E244:Q245"/>
    <mergeCell ref="I302:J302"/>
    <mergeCell ref="E358:F358"/>
    <mergeCell ref="E269:F269"/>
    <mergeCell ref="B272:R273"/>
    <mergeCell ref="L298:M298"/>
    <mergeCell ref="L299:M299"/>
    <mergeCell ref="E431:F431"/>
    <mergeCell ref="E432:F432"/>
    <mergeCell ref="E433:F433"/>
    <mergeCell ref="F440:G440"/>
    <mergeCell ref="F441:G441"/>
    <mergeCell ref="F497:G497"/>
    <mergeCell ref="F498:G498"/>
    <mergeCell ref="B287:Q290"/>
    <mergeCell ref="K349:L349"/>
    <mergeCell ref="F484:G484"/>
    <mergeCell ref="F485:G485"/>
    <mergeCell ref="F486:G486"/>
    <mergeCell ref="F487:G487"/>
    <mergeCell ref="B490:Q490"/>
    <mergeCell ref="F496:G496"/>
    <mergeCell ref="F442:G442"/>
    <mergeCell ref="F443:H443"/>
    <mergeCell ref="A446:Q447"/>
    <mergeCell ref="I449:J449"/>
    <mergeCell ref="A466:Q467"/>
    <mergeCell ref="B474:Q476"/>
  </mergeCells>
  <pageMargins left="0.7" right="0.7" top="0.75" bottom="0.75" header="0.3" footer="0.3"/>
  <pageSetup paperSize="13" orientation="portrait" horizontalDpi="4294967293" r:id="rId1"/>
  <headerFooter>
    <oddHeader>&amp;LAttachment No. 4 : Anchor and Deck Machineries&amp;R(Doc. No. 04 – 421 18 41 023 - AM)
Rev. No. 0</oddHeader>
    <oddFoote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C691-6447-4636-944E-60D5B5CDDCC4}">
  <dimension ref="A1:AH515"/>
  <sheetViews>
    <sheetView tabSelected="1" topLeftCell="A286" zoomScale="118" zoomScaleNormal="118" workbookViewId="0">
      <selection activeCell="I294" sqref="I294"/>
    </sheetView>
  </sheetViews>
  <sheetFormatPr defaultColWidth="3.88671875" defaultRowHeight="14.4" customHeight="1"/>
  <cols>
    <col min="1" max="1" width="3.88671875" style="335"/>
    <col min="2" max="4" width="3.88671875" style="335" customWidth="1"/>
    <col min="5" max="5" width="6.88671875" style="336" customWidth="1"/>
    <col min="6" max="6" width="5.33203125" style="335" customWidth="1"/>
    <col min="7" max="7" width="3.88671875" style="335" customWidth="1"/>
    <col min="8" max="8" width="4.88671875" style="335" customWidth="1"/>
    <col min="9" max="9" width="6.44140625" style="335" customWidth="1"/>
    <col min="10" max="10" width="5" style="335" customWidth="1"/>
    <col min="11" max="11" width="4.5546875" style="335" customWidth="1"/>
    <col min="12" max="12" width="5.44140625" style="335" customWidth="1"/>
    <col min="13" max="13" width="3.88671875" style="335"/>
    <col min="14" max="14" width="3.88671875" style="335" customWidth="1"/>
    <col min="15" max="15" width="3.5546875" style="335" customWidth="1"/>
    <col min="16" max="16" width="3.88671875" style="335" customWidth="1"/>
    <col min="17" max="22" width="3.88671875" style="335"/>
    <col min="23" max="23" width="3.88671875" style="335" customWidth="1"/>
    <col min="24" max="25" width="3.88671875" style="335"/>
    <col min="26" max="26" width="4.88671875" style="335" customWidth="1"/>
    <col min="27" max="28" width="3.88671875" style="335"/>
    <col min="29" max="29" width="5.5546875" style="335" customWidth="1"/>
    <col min="30" max="16384" width="3.88671875" style="335"/>
  </cols>
  <sheetData>
    <row r="1" spans="1:17" ht="14.4" customHeight="1">
      <c r="A1" s="1001" t="s">
        <v>1218</v>
      </c>
      <c r="B1" s="1001"/>
      <c r="C1" s="1001"/>
      <c r="D1" s="1001"/>
      <c r="E1" s="1001"/>
      <c r="F1" s="1001"/>
      <c r="G1" s="1001"/>
      <c r="H1" s="1001"/>
      <c r="I1" s="1001"/>
      <c r="J1" s="1001"/>
      <c r="K1" s="1001"/>
      <c r="L1" s="1001"/>
      <c r="M1" s="1001"/>
      <c r="N1" s="1001"/>
      <c r="O1" s="1001"/>
      <c r="P1" s="1001"/>
      <c r="Q1" s="1001"/>
    </row>
    <row r="2" spans="1:17" ht="14.4" customHeight="1">
      <c r="A2" s="1001"/>
      <c r="B2" s="1001"/>
      <c r="C2" s="1001"/>
      <c r="D2" s="1001"/>
      <c r="E2" s="1001"/>
      <c r="F2" s="1001"/>
      <c r="G2" s="1001"/>
      <c r="H2" s="1001"/>
      <c r="I2" s="1001"/>
      <c r="J2" s="1001"/>
      <c r="K2" s="1001"/>
      <c r="L2" s="1001"/>
      <c r="M2" s="1001"/>
      <c r="N2" s="1001"/>
      <c r="O2" s="1001"/>
      <c r="P2" s="1001"/>
      <c r="Q2" s="1001"/>
    </row>
    <row r="3" spans="1:17" ht="14.4" customHeight="1">
      <c r="A3" s="1001"/>
      <c r="B3" s="1001"/>
      <c r="C3" s="1001"/>
      <c r="D3" s="1001"/>
      <c r="E3" s="1001"/>
      <c r="F3" s="1001"/>
      <c r="G3" s="1001"/>
      <c r="H3" s="1001"/>
      <c r="I3" s="1001"/>
      <c r="J3" s="1001"/>
      <c r="K3" s="1001"/>
      <c r="L3" s="1001"/>
      <c r="M3" s="1001"/>
      <c r="N3" s="1001"/>
      <c r="O3" s="1001"/>
      <c r="P3" s="1001"/>
      <c r="Q3" s="1001"/>
    </row>
    <row r="4" spans="1:17" ht="14.4" customHeight="1">
      <c r="B4" s="335" t="s">
        <v>566</v>
      </c>
      <c r="E4" s="335"/>
    </row>
    <row r="5" spans="1:17" ht="14.4" customHeight="1">
      <c r="B5" s="335" t="s">
        <v>688</v>
      </c>
      <c r="E5" s="335"/>
    </row>
    <row r="6" spans="1:17" ht="14.4" customHeight="1">
      <c r="B6" s="335" t="s">
        <v>567</v>
      </c>
      <c r="E6" s="335"/>
    </row>
    <row r="7" spans="1:17" ht="14.4" customHeight="1">
      <c r="E7" s="335"/>
    </row>
    <row r="8" spans="1:17" ht="14.4" customHeight="1">
      <c r="B8" s="336" t="s">
        <v>568</v>
      </c>
      <c r="D8" s="337" t="s">
        <v>63</v>
      </c>
      <c r="E8" s="800">
        <v>139.85</v>
      </c>
      <c r="F8" s="800"/>
      <c r="G8" s="335" t="s">
        <v>4</v>
      </c>
      <c r="I8" s="335" t="s">
        <v>569</v>
      </c>
      <c r="N8" s="337" t="s">
        <v>63</v>
      </c>
      <c r="O8" s="800">
        <v>4480</v>
      </c>
      <c r="P8" s="800"/>
      <c r="Q8" s="335" t="s">
        <v>250</v>
      </c>
    </row>
    <row r="9" spans="1:17" ht="14.4" customHeight="1">
      <c r="B9" s="336" t="s">
        <v>5</v>
      </c>
      <c r="D9" s="337" t="s">
        <v>63</v>
      </c>
      <c r="E9" s="800">
        <v>145.44399999999999</v>
      </c>
      <c r="F9" s="800"/>
      <c r="G9" s="335" t="s">
        <v>4</v>
      </c>
      <c r="I9" s="335" t="s">
        <v>570</v>
      </c>
      <c r="N9" s="337" t="s">
        <v>63</v>
      </c>
      <c r="O9" s="800">
        <v>23583.523788769598</v>
      </c>
      <c r="P9" s="800"/>
      <c r="Q9" s="335" t="s">
        <v>571</v>
      </c>
    </row>
    <row r="10" spans="1:17" ht="14.4" customHeight="1">
      <c r="B10" s="336" t="s">
        <v>572</v>
      </c>
      <c r="D10" s="337" t="s">
        <v>63</v>
      </c>
      <c r="E10" s="800">
        <f>(E9+E8)/2</f>
        <v>142.64699999999999</v>
      </c>
      <c r="F10" s="800"/>
      <c r="G10" s="335" t="s">
        <v>4</v>
      </c>
      <c r="I10" s="335" t="s">
        <v>142</v>
      </c>
      <c r="N10" s="337" t="s">
        <v>63</v>
      </c>
      <c r="O10" s="800">
        <v>11</v>
      </c>
      <c r="P10" s="800"/>
      <c r="Q10" s="335" t="s">
        <v>573</v>
      </c>
    </row>
    <row r="11" spans="1:17" ht="14.4" customHeight="1">
      <c r="B11" s="336" t="s">
        <v>6</v>
      </c>
      <c r="D11" s="337" t="s">
        <v>63</v>
      </c>
      <c r="E11" s="800">
        <v>23.535</v>
      </c>
      <c r="F11" s="800"/>
      <c r="G11" s="335" t="s">
        <v>4</v>
      </c>
      <c r="I11" s="335" t="s">
        <v>461</v>
      </c>
      <c r="N11" s="337" t="s">
        <v>63</v>
      </c>
      <c r="O11" s="800">
        <f>1.025*O9</f>
        <v>24173.111883488837</v>
      </c>
      <c r="P11" s="800"/>
      <c r="Q11" s="335" t="s">
        <v>26</v>
      </c>
    </row>
    <row r="12" spans="1:17" ht="14.4" customHeight="1">
      <c r="B12" s="336" t="s">
        <v>7</v>
      </c>
      <c r="D12" s="337" t="s">
        <v>63</v>
      </c>
      <c r="E12" s="800">
        <v>12.353999999999999</v>
      </c>
      <c r="F12" s="800"/>
      <c r="G12" s="335" t="s">
        <v>4</v>
      </c>
      <c r="I12" s="335" t="s">
        <v>817</v>
      </c>
      <c r="N12" s="335" t="s">
        <v>430</v>
      </c>
      <c r="O12" s="800">
        <v>746.56647342846145</v>
      </c>
      <c r="P12" s="800"/>
      <c r="Q12" s="337" t="s">
        <v>26</v>
      </c>
    </row>
    <row r="13" spans="1:17" ht="14.4" customHeight="1">
      <c r="B13" s="336" t="s">
        <v>8</v>
      </c>
      <c r="D13" s="337" t="s">
        <v>63</v>
      </c>
      <c r="E13" s="800">
        <v>9.0536999999999992</v>
      </c>
      <c r="F13" s="800"/>
      <c r="G13" s="335" t="s">
        <v>4</v>
      </c>
    </row>
    <row r="14" spans="1:17" ht="14.4" customHeight="1">
      <c r="B14" s="336" t="s">
        <v>10</v>
      </c>
      <c r="D14" s="337" t="s">
        <v>63</v>
      </c>
      <c r="E14" s="800">
        <v>13</v>
      </c>
      <c r="F14" s="800"/>
      <c r="G14" s="335" t="s">
        <v>157</v>
      </c>
    </row>
    <row r="15" spans="1:17" ht="14.4" customHeight="1">
      <c r="B15" s="336" t="s">
        <v>12</v>
      </c>
      <c r="D15" s="337" t="s">
        <v>63</v>
      </c>
      <c r="E15" s="800">
        <v>0.77590000000000003</v>
      </c>
      <c r="F15" s="800"/>
    </row>
    <row r="16" spans="1:17" ht="14.4" customHeight="1">
      <c r="B16" s="336" t="s">
        <v>14</v>
      </c>
      <c r="D16" s="337" t="s">
        <v>63</v>
      </c>
      <c r="E16" s="800">
        <v>0.78500000000000003</v>
      </c>
      <c r="F16" s="800"/>
    </row>
    <row r="17" spans="1:18" ht="14.4" customHeight="1">
      <c r="E17" s="335"/>
    </row>
    <row r="18" spans="1:18" ht="14.4" customHeight="1">
      <c r="A18" s="1000" t="s">
        <v>1219</v>
      </c>
      <c r="B18" s="1000"/>
      <c r="C18" s="1000"/>
      <c r="D18" s="1000"/>
      <c r="E18" s="1000"/>
      <c r="F18" s="1000"/>
      <c r="G18" s="1000"/>
      <c r="H18" s="1000"/>
      <c r="I18" s="1000"/>
      <c r="J18" s="1000"/>
      <c r="K18" s="1000"/>
      <c r="L18" s="1000"/>
      <c r="M18" s="1000"/>
      <c r="N18" s="1000"/>
      <c r="O18" s="1000"/>
      <c r="P18" s="1000"/>
      <c r="Q18" s="1000"/>
      <c r="R18" s="483"/>
    </row>
    <row r="19" spans="1:18" ht="14.4" customHeight="1">
      <c r="A19" s="1000"/>
      <c r="B19" s="1000"/>
      <c r="C19" s="1000"/>
      <c r="D19" s="1000"/>
      <c r="E19" s="1000"/>
      <c r="F19" s="1000"/>
      <c r="G19" s="1000"/>
      <c r="H19" s="1000"/>
      <c r="I19" s="1000"/>
      <c r="J19" s="1000"/>
      <c r="K19" s="1000"/>
      <c r="L19" s="1000"/>
      <c r="M19" s="1000"/>
      <c r="N19" s="1000"/>
      <c r="O19" s="1000"/>
      <c r="P19" s="1000"/>
      <c r="Q19" s="1000"/>
      <c r="R19" s="483"/>
    </row>
    <row r="20" spans="1:18" ht="14.4" customHeight="1">
      <c r="B20" s="346" t="s">
        <v>1300</v>
      </c>
      <c r="E20" s="335"/>
    </row>
    <row r="21" spans="1:18" ht="14.4" customHeight="1">
      <c r="B21" s="335" t="s">
        <v>1220</v>
      </c>
      <c r="E21" s="335"/>
      <c r="J21" s="484">
        <v>12</v>
      </c>
      <c r="K21" s="335" t="s">
        <v>631</v>
      </c>
    </row>
    <row r="22" spans="1:18" ht="14.4" customHeight="1">
      <c r="C22" s="335" t="s">
        <v>1221</v>
      </c>
      <c r="D22" s="335" t="s">
        <v>1222</v>
      </c>
      <c r="E22" s="995" t="s">
        <v>1223</v>
      </c>
      <c r="F22" s="995"/>
    </row>
    <row r="23" spans="1:18" ht="14.4" customHeight="1">
      <c r="E23" s="996" t="s">
        <v>587</v>
      </c>
      <c r="F23" s="996"/>
    </row>
    <row r="24" spans="1:18" ht="14.4" customHeight="1">
      <c r="B24" s="336"/>
      <c r="D24" s="337" t="s">
        <v>577</v>
      </c>
      <c r="E24" s="335">
        <f>'DOC 3 ATTACH'!E82:F82/J21</f>
        <v>1451.4051625052525</v>
      </c>
      <c r="F24" s="881" t="s">
        <v>1224</v>
      </c>
      <c r="G24" s="881"/>
      <c r="N24" s="337"/>
    </row>
    <row r="25" spans="1:18" ht="14.4" customHeight="1">
      <c r="B25" s="336"/>
      <c r="D25" s="337" t="s">
        <v>577</v>
      </c>
      <c r="E25" s="335">
        <f>E24/3600</f>
        <v>0.40316810069590348</v>
      </c>
      <c r="F25" s="335" t="s">
        <v>1225</v>
      </c>
      <c r="N25" s="337"/>
    </row>
    <row r="26" spans="1:18" ht="14.4" customHeight="1">
      <c r="B26" s="336"/>
      <c r="D26" s="337"/>
      <c r="E26" s="335"/>
      <c r="N26" s="337"/>
    </row>
    <row r="27" spans="1:18" ht="14.4" customHeight="1">
      <c r="B27" s="348" t="s">
        <v>1226</v>
      </c>
      <c r="D27" s="337"/>
      <c r="E27" s="335"/>
      <c r="N27" s="337"/>
    </row>
    <row r="28" spans="1:18" ht="14.4" customHeight="1">
      <c r="C28" s="336" t="s">
        <v>1227</v>
      </c>
      <c r="E28" s="337"/>
      <c r="F28" s="485"/>
      <c r="G28" s="335" t="s">
        <v>577</v>
      </c>
      <c r="H28" s="881">
        <v>3</v>
      </c>
      <c r="I28" s="881"/>
      <c r="J28" s="335" t="s">
        <v>45</v>
      </c>
      <c r="N28" s="337"/>
      <c r="O28" s="349"/>
    </row>
    <row r="29" spans="1:18" ht="14.4" customHeight="1">
      <c r="B29" s="336"/>
      <c r="C29" t="s">
        <v>1221</v>
      </c>
      <c r="D29" t="s">
        <v>63</v>
      </c>
      <c r="E29" t="s">
        <v>1228</v>
      </c>
      <c r="F29"/>
      <c r="G29"/>
      <c r="H29"/>
      <c r="I29"/>
    </row>
    <row r="30" spans="1:18" ht="14.4" customHeight="1">
      <c r="B30" s="336"/>
      <c r="C30" t="s">
        <v>789</v>
      </c>
      <c r="D30" t="s">
        <v>63</v>
      </c>
      <c r="E30" t="s">
        <v>1229</v>
      </c>
      <c r="F30"/>
      <c r="G30"/>
      <c r="H30"/>
      <c r="I30"/>
    </row>
    <row r="31" spans="1:18" ht="14.4" customHeight="1">
      <c r="B31" s="336"/>
      <c r="C31" s="486" t="s">
        <v>779</v>
      </c>
      <c r="D31" t="s">
        <v>63</v>
      </c>
      <c r="E31" t="s">
        <v>1230</v>
      </c>
      <c r="F31"/>
      <c r="G31"/>
      <c r="H31"/>
      <c r="I31"/>
    </row>
    <row r="32" spans="1:18" ht="14.4" customHeight="1">
      <c r="B32" s="336"/>
      <c r="C32" t="s">
        <v>779</v>
      </c>
      <c r="D32" t="s">
        <v>63</v>
      </c>
      <c r="E32">
        <f>((4*E25/(H28*3.14))^(1/2))</f>
        <v>0.41375916392358558</v>
      </c>
      <c r="F32" t="s">
        <v>4</v>
      </c>
      <c r="G32"/>
      <c r="H32"/>
      <c r="I32"/>
    </row>
    <row r="33" spans="1:17" ht="14.4" customHeight="1">
      <c r="C33"/>
      <c r="D33" t="s">
        <v>63</v>
      </c>
      <c r="E33">
        <f>E32*1000</f>
        <v>413.75916392358556</v>
      </c>
      <c r="F33" t="s">
        <v>351</v>
      </c>
      <c r="G33"/>
      <c r="H33"/>
      <c r="I33"/>
    </row>
    <row r="34" spans="1:17" ht="14.4" customHeight="1">
      <c r="A34" s="444"/>
      <c r="B34" s="445"/>
      <c r="C34"/>
      <c r="D34" t="s">
        <v>63</v>
      </c>
      <c r="E34">
        <f>E33*0.0393701</f>
        <v>16.289739659587955</v>
      </c>
      <c r="F34" t="s">
        <v>1231</v>
      </c>
      <c r="G34"/>
      <c r="H34"/>
      <c r="I34"/>
      <c r="J34" s="444"/>
      <c r="K34" s="444"/>
      <c r="L34" s="444"/>
      <c r="M34" s="444"/>
      <c r="N34" s="444"/>
      <c r="O34" s="444"/>
      <c r="P34" s="444"/>
      <c r="Q34" s="444"/>
    </row>
    <row r="35" spans="1:17" ht="14.4" customHeight="1">
      <c r="A35" s="487"/>
      <c r="B35" s="487"/>
      <c r="C35" s="488" t="s">
        <v>1232</v>
      </c>
      <c r="D35" t="s">
        <v>63</v>
      </c>
      <c r="E35">
        <f>ROUNDUP(E34,0)</f>
        <v>17</v>
      </c>
      <c r="F35" t="s">
        <v>1231</v>
      </c>
      <c r="G35" t="s">
        <v>1233</v>
      </c>
      <c r="H35"/>
      <c r="I35"/>
      <c r="J35" s="487"/>
      <c r="K35" s="487"/>
      <c r="L35" s="487"/>
      <c r="M35" s="487"/>
      <c r="N35" s="487"/>
      <c r="O35" s="487"/>
      <c r="P35" s="487"/>
      <c r="Q35" s="487"/>
    </row>
    <row r="36" spans="1:17" ht="14.4" customHeight="1">
      <c r="A36" s="487"/>
      <c r="B36" s="487"/>
      <c r="C36" s="487"/>
      <c r="D36" s="487"/>
      <c r="E36" s="487"/>
      <c r="F36" s="487"/>
      <c r="G36" s="487"/>
      <c r="H36" s="487"/>
      <c r="I36" s="487"/>
      <c r="J36" s="487"/>
      <c r="K36" s="487"/>
      <c r="L36" s="487"/>
      <c r="M36" s="487"/>
      <c r="N36" s="487"/>
      <c r="O36" s="487"/>
      <c r="P36" s="487"/>
      <c r="Q36" s="487"/>
    </row>
    <row r="37" spans="1:17" ht="14.4" customHeight="1">
      <c r="A37" s="487"/>
      <c r="B37" s="487"/>
      <c r="C37" s="487"/>
      <c r="D37" s="487"/>
      <c r="E37" s="487"/>
      <c r="F37" s="487"/>
      <c r="G37" s="487"/>
      <c r="H37" s="487"/>
      <c r="I37" s="487"/>
      <c r="J37" s="487"/>
      <c r="K37" s="487"/>
      <c r="L37" s="487"/>
      <c r="M37" s="487"/>
      <c r="N37" s="487"/>
      <c r="O37" s="487"/>
      <c r="P37" s="487"/>
      <c r="Q37" s="487"/>
    </row>
    <row r="38" spans="1:17" ht="14.4" customHeight="1">
      <c r="A38" s="487"/>
      <c r="B38" s="487"/>
      <c r="C38" s="487"/>
      <c r="D38" s="487"/>
      <c r="E38" s="487"/>
      <c r="F38" s="487"/>
      <c r="G38" s="487"/>
      <c r="H38" s="487"/>
      <c r="I38" s="487"/>
      <c r="J38" s="487"/>
      <c r="K38" s="487"/>
      <c r="L38" s="487"/>
      <c r="M38" s="487"/>
      <c r="N38" s="487"/>
      <c r="O38" s="487"/>
      <c r="P38" s="487"/>
      <c r="Q38" s="487"/>
    </row>
    <row r="39" spans="1:17" ht="14.4" customHeight="1">
      <c r="A39" s="487"/>
      <c r="B39" s="487"/>
      <c r="C39" s="487"/>
      <c r="D39" s="487"/>
      <c r="E39" s="487"/>
      <c r="F39" s="487"/>
      <c r="G39" s="487"/>
      <c r="H39" s="487"/>
      <c r="I39" s="487"/>
      <c r="J39" s="487"/>
      <c r="K39" s="487"/>
      <c r="L39" s="487"/>
      <c r="M39" s="487"/>
      <c r="N39" s="487"/>
      <c r="O39" s="487"/>
      <c r="P39" s="487"/>
      <c r="Q39" s="487"/>
    </row>
    <row r="40" spans="1:17" ht="14.4" customHeight="1">
      <c r="A40" s="487"/>
      <c r="B40" s="487"/>
      <c r="C40" s="487"/>
      <c r="D40" s="487"/>
      <c r="E40" s="487"/>
      <c r="F40" s="487"/>
      <c r="G40" s="487"/>
      <c r="H40" s="487"/>
      <c r="I40" s="487"/>
      <c r="J40" s="487"/>
      <c r="K40" s="487"/>
      <c r="L40" s="487"/>
      <c r="M40" s="487"/>
      <c r="N40" s="487"/>
      <c r="O40" s="487"/>
      <c r="P40" s="487"/>
      <c r="Q40" s="487"/>
    </row>
    <row r="41" spans="1:17" ht="14.4" customHeight="1">
      <c r="A41" s="487"/>
      <c r="B41" s="487"/>
      <c r="C41" s="487"/>
      <c r="D41" s="487"/>
      <c r="E41" s="487"/>
      <c r="F41" s="487"/>
      <c r="G41" s="487"/>
      <c r="H41" s="487"/>
      <c r="I41" s="487"/>
      <c r="J41" s="487"/>
      <c r="K41" s="487"/>
      <c r="L41" s="487"/>
      <c r="M41" s="487"/>
      <c r="N41" s="487"/>
      <c r="O41" s="487"/>
      <c r="P41" s="487"/>
      <c r="Q41" s="487"/>
    </row>
    <row r="42" spans="1:17" ht="14.4" customHeight="1">
      <c r="A42" s="487"/>
      <c r="B42" s="487"/>
      <c r="C42" s="487"/>
      <c r="D42" s="487"/>
      <c r="E42" s="487"/>
      <c r="F42" s="487"/>
      <c r="G42" s="487"/>
      <c r="H42" s="487"/>
      <c r="I42" s="487"/>
      <c r="J42" s="487"/>
      <c r="K42" s="487"/>
      <c r="L42" s="487"/>
      <c r="M42" s="487"/>
      <c r="N42" s="487"/>
      <c r="O42" s="487"/>
      <c r="P42" s="487"/>
      <c r="Q42" s="487"/>
    </row>
    <row r="43" spans="1:17" ht="14.4" customHeight="1">
      <c r="A43" s="487"/>
      <c r="B43" s="487"/>
      <c r="C43" s="487"/>
      <c r="D43" s="487"/>
      <c r="E43" s="487"/>
      <c r="F43" s="487"/>
      <c r="G43" s="487"/>
      <c r="H43" s="487"/>
      <c r="I43" s="487"/>
      <c r="J43" s="487"/>
      <c r="K43" s="487"/>
      <c r="L43" s="487"/>
      <c r="M43" s="487"/>
      <c r="N43" s="487"/>
      <c r="O43" s="487"/>
      <c r="P43" s="487"/>
      <c r="Q43" s="487"/>
    </row>
    <row r="44" spans="1:17" ht="14.4" customHeight="1">
      <c r="A44" s="487"/>
      <c r="B44" s="487"/>
      <c r="C44" s="487"/>
      <c r="D44" s="487"/>
      <c r="E44" s="487"/>
      <c r="F44" s="487"/>
      <c r="G44" s="487"/>
      <c r="H44" s="487"/>
      <c r="I44" s="487"/>
      <c r="J44" s="487"/>
      <c r="K44" s="487"/>
      <c r="L44" s="487"/>
      <c r="M44" s="487"/>
      <c r="N44" s="487"/>
      <c r="O44" s="487"/>
      <c r="P44" s="487"/>
      <c r="Q44" s="487"/>
    </row>
    <row r="45" spans="1:17" ht="14.4" customHeight="1">
      <c r="A45" s="487"/>
      <c r="B45" s="487"/>
      <c r="C45" s="487"/>
      <c r="D45" s="487"/>
      <c r="E45" s="487"/>
      <c r="F45" s="487"/>
      <c r="G45" s="487"/>
      <c r="H45" s="487"/>
      <c r="I45" s="487"/>
      <c r="J45" s="487"/>
      <c r="K45" s="487"/>
      <c r="L45" s="487"/>
      <c r="M45" s="487"/>
      <c r="N45" s="487"/>
      <c r="O45" s="487"/>
      <c r="P45" s="487"/>
      <c r="Q45" s="487"/>
    </row>
    <row r="46" spans="1:17" ht="14.4" customHeight="1">
      <c r="A46" s="487"/>
      <c r="B46" s="487"/>
      <c r="C46" s="487"/>
      <c r="D46" s="487"/>
      <c r="E46" s="487"/>
      <c r="F46" s="487"/>
      <c r="G46" s="487"/>
      <c r="H46" s="487"/>
      <c r="I46" s="487"/>
      <c r="J46" s="487"/>
      <c r="K46" s="487"/>
      <c r="L46" s="487"/>
      <c r="M46" s="487"/>
      <c r="N46" s="487"/>
      <c r="O46" s="487"/>
      <c r="P46" s="487"/>
      <c r="Q46" s="487"/>
    </row>
    <row r="47" spans="1:17" ht="14.4" customHeight="1">
      <c r="A47" s="446"/>
      <c r="B47" s="447"/>
      <c r="C47" s="357"/>
      <c r="D47" s="357"/>
      <c r="E47" s="448"/>
      <c r="F47" s="357"/>
      <c r="G47" s="357"/>
      <c r="H47" s="357"/>
      <c r="I47" s="357"/>
      <c r="J47" s="357"/>
    </row>
    <row r="48" spans="1:17" ht="14.4" customHeight="1">
      <c r="A48" s="449"/>
      <c r="B48" s="489"/>
      <c r="C48" s="489"/>
      <c r="D48" s="489"/>
      <c r="E48" s="489"/>
      <c r="F48" s="489"/>
      <c r="G48" s="489"/>
      <c r="H48" s="489"/>
      <c r="I48" s="489"/>
      <c r="J48" s="489"/>
      <c r="K48" s="489"/>
      <c r="L48" s="489"/>
      <c r="M48" s="489"/>
      <c r="N48" s="489"/>
      <c r="O48" s="489"/>
      <c r="P48" s="489"/>
      <c r="Q48" s="489"/>
    </row>
    <row r="49" spans="1:17" ht="14.4" customHeight="1">
      <c r="A49" s="449"/>
      <c r="B49" s="489"/>
      <c r="C49" s="489"/>
      <c r="D49" s="489"/>
      <c r="E49" s="489"/>
      <c r="F49" s="489"/>
      <c r="G49" s="489"/>
      <c r="H49" s="489"/>
      <c r="I49" s="489"/>
      <c r="J49" s="489"/>
      <c r="K49" s="489"/>
      <c r="L49" s="489"/>
      <c r="M49" s="489"/>
      <c r="N49" s="489"/>
      <c r="O49" s="489"/>
      <c r="P49" s="489"/>
      <c r="Q49" s="489"/>
    </row>
    <row r="50" spans="1:17" ht="14.4" customHeight="1">
      <c r="A50" s="450"/>
      <c r="B50" s="357"/>
      <c r="C50" s="357"/>
      <c r="D50" s="357"/>
      <c r="E50" s="448"/>
      <c r="F50" s="357"/>
      <c r="G50" s="357"/>
      <c r="H50" s="357"/>
      <c r="I50" s="357"/>
      <c r="J50" s="357"/>
    </row>
    <row r="51" spans="1:17" ht="14.4" customHeight="1">
      <c r="A51" s="450"/>
      <c r="B51" s="357"/>
      <c r="C51" s="451"/>
      <c r="D51" s="452"/>
      <c r="E51" s="448"/>
      <c r="F51" s="357"/>
      <c r="G51" s="357"/>
      <c r="H51" s="357"/>
      <c r="I51" s="357"/>
      <c r="J51" s="357"/>
    </row>
    <row r="52" spans="1:17" ht="14.4" customHeight="1">
      <c r="A52" s="450"/>
      <c r="C52" s="451"/>
      <c r="D52" s="357"/>
      <c r="E52" s="448"/>
      <c r="F52" s="357"/>
      <c r="G52" s="357"/>
      <c r="H52" s="357"/>
      <c r="I52" s="357"/>
      <c r="J52" s="357"/>
    </row>
    <row r="53" spans="1:17" ht="14.4" customHeight="1">
      <c r="A53" s="453"/>
      <c r="C53" s="356"/>
      <c r="D53" s="452"/>
      <c r="E53" s="454"/>
      <c r="F53" s="454"/>
      <c r="G53" s="454"/>
      <c r="H53" s="454"/>
      <c r="I53" s="454"/>
      <c r="J53" s="454"/>
      <c r="K53" s="454"/>
      <c r="L53" s="454"/>
      <c r="M53" s="454"/>
      <c r="N53" s="454"/>
      <c r="O53" s="454"/>
      <c r="P53" s="454"/>
      <c r="Q53" s="454"/>
    </row>
    <row r="54" spans="1:17" ht="14.4" customHeight="1">
      <c r="A54" s="453"/>
      <c r="C54" s="356"/>
      <c r="D54" s="452"/>
      <c r="E54" s="454"/>
      <c r="F54" s="454"/>
      <c r="G54" s="454"/>
      <c r="H54" s="454"/>
      <c r="I54" s="454"/>
      <c r="J54" s="454"/>
      <c r="K54" s="454"/>
      <c r="L54" s="454"/>
      <c r="M54" s="454"/>
      <c r="N54" s="454"/>
      <c r="O54" s="454"/>
      <c r="P54" s="454"/>
      <c r="Q54" s="454"/>
    </row>
    <row r="55" spans="1:17" ht="14.4" customHeight="1">
      <c r="A55" s="453"/>
      <c r="C55" s="335" t="s">
        <v>1304</v>
      </c>
      <c r="D55" s="452"/>
      <c r="E55" s="335"/>
      <c r="G55" s="357"/>
      <c r="H55" s="357"/>
      <c r="I55" s="357"/>
      <c r="J55" s="357"/>
      <c r="Q55" s="357"/>
    </row>
    <row r="56" spans="1:17" ht="14.4" customHeight="1">
      <c r="A56" s="453"/>
      <c r="C56" t="s">
        <v>1234</v>
      </c>
      <c r="D56"/>
      <c r="E56"/>
      <c r="F56"/>
      <c r="G56" t="s">
        <v>1235</v>
      </c>
      <c r="H56">
        <v>20</v>
      </c>
      <c r="I56" t="s">
        <v>1231</v>
      </c>
      <c r="J56"/>
      <c r="K56" s="454"/>
      <c r="L56" s="454"/>
      <c r="M56" s="454"/>
      <c r="N56" s="454"/>
      <c r="O56" s="454"/>
      <c r="P56" s="454"/>
      <c r="Q56" s="454"/>
    </row>
    <row r="57" spans="1:17" ht="14.4" customHeight="1">
      <c r="A57" s="453"/>
      <c r="C57" t="s">
        <v>1236</v>
      </c>
      <c r="D57"/>
      <c r="E57"/>
      <c r="F57"/>
      <c r="G57" t="s">
        <v>1235</v>
      </c>
      <c r="H57">
        <v>506</v>
      </c>
      <c r="I57" t="s">
        <v>351</v>
      </c>
      <c r="J57"/>
      <c r="K57" s="454"/>
      <c r="L57" s="454"/>
      <c r="M57" s="454"/>
      <c r="N57" s="454"/>
      <c r="O57" s="454"/>
      <c r="P57" s="454"/>
      <c r="Q57" s="454"/>
    </row>
    <row r="58" spans="1:17" ht="14.4" customHeight="1">
      <c r="A58" s="453"/>
      <c r="C58" t="s">
        <v>1237</v>
      </c>
      <c r="D58"/>
      <c r="E58"/>
      <c r="F58"/>
      <c r="G58" t="s">
        <v>1235</v>
      </c>
      <c r="H58">
        <v>500</v>
      </c>
      <c r="I58" t="s">
        <v>351</v>
      </c>
      <c r="J58"/>
      <c r="K58" s="454"/>
      <c r="L58" s="454"/>
      <c r="M58" s="454"/>
      <c r="N58" s="454"/>
      <c r="O58" s="454"/>
      <c r="P58" s="454"/>
      <c r="Q58" s="454"/>
    </row>
    <row r="59" spans="1:17" ht="14.4" customHeight="1">
      <c r="A59" s="450"/>
      <c r="B59" s="356"/>
      <c r="C59" t="s">
        <v>1238</v>
      </c>
      <c r="D59"/>
      <c r="E59"/>
      <c r="F59"/>
      <c r="G59" t="s">
        <v>1235</v>
      </c>
      <c r="H59">
        <v>4.78</v>
      </c>
      <c r="I59" t="s">
        <v>351</v>
      </c>
      <c r="J59"/>
      <c r="K59" s="454"/>
      <c r="L59" s="454"/>
      <c r="M59" s="454"/>
      <c r="N59" s="454"/>
      <c r="O59" s="454"/>
      <c r="P59" s="454"/>
      <c r="Q59" s="454"/>
    </row>
    <row r="60" spans="1:17" ht="14.4" customHeight="1">
      <c r="A60" s="450"/>
      <c r="C60" t="s">
        <v>1239</v>
      </c>
      <c r="D60"/>
      <c r="E60"/>
      <c r="F60"/>
      <c r="G60" t="s">
        <v>1235</v>
      </c>
      <c r="H60" t="s">
        <v>1299</v>
      </c>
      <c r="I60"/>
      <c r="J60"/>
    </row>
    <row r="61" spans="1:17" ht="14.4" customHeight="1">
      <c r="A61" s="450"/>
      <c r="C61" t="s">
        <v>1240</v>
      </c>
      <c r="D61"/>
      <c r="E61"/>
      <c r="F61"/>
      <c r="G61" t="s">
        <v>1235</v>
      </c>
      <c r="H61" t="s">
        <v>1298</v>
      </c>
      <c r="I61"/>
      <c r="J61"/>
    </row>
    <row r="62" spans="1:17" ht="14.4" customHeight="1">
      <c r="A62" s="450"/>
      <c r="C62" s="451"/>
      <c r="D62" s="357"/>
      <c r="E62" s="448"/>
      <c r="F62" s="357"/>
      <c r="G62" s="357"/>
      <c r="H62" s="357"/>
      <c r="I62" s="357"/>
      <c r="J62" s="357"/>
    </row>
    <row r="63" spans="1:17" ht="14.4" customHeight="1">
      <c r="A63" s="450"/>
      <c r="B63" s="490" t="s">
        <v>1241</v>
      </c>
      <c r="C63"/>
      <c r="D63"/>
      <c r="E63"/>
      <c r="F63"/>
      <c r="G63"/>
      <c r="H63"/>
      <c r="I63"/>
      <c r="J63"/>
      <c r="K63"/>
      <c r="L63"/>
      <c r="M63"/>
      <c r="N63"/>
    </row>
    <row r="64" spans="1:17" ht="14.4" customHeight="1">
      <c r="A64" s="450"/>
      <c r="B64"/>
      <c r="C64" t="s">
        <v>7</v>
      </c>
      <c r="D64" t="s">
        <v>63</v>
      </c>
      <c r="E64" t="s">
        <v>1242</v>
      </c>
      <c r="F64"/>
      <c r="G64"/>
      <c r="H64"/>
      <c r="I64"/>
      <c r="J64"/>
      <c r="K64"/>
      <c r="L64"/>
      <c r="M64"/>
      <c r="N64"/>
    </row>
    <row r="65" spans="1:17" ht="14.4" customHeight="1">
      <c r="A65" s="450"/>
      <c r="B65"/>
      <c r="C65" t="s">
        <v>1243</v>
      </c>
      <c r="D65" t="s">
        <v>63</v>
      </c>
      <c r="E65" t="s">
        <v>1244</v>
      </c>
      <c r="F65"/>
      <c r="G65"/>
      <c r="H65"/>
      <c r="I65"/>
      <c r="J65"/>
      <c r="K65"/>
      <c r="L65"/>
      <c r="M65"/>
      <c r="N65"/>
    </row>
    <row r="66" spans="1:17" ht="14.4" customHeight="1">
      <c r="A66" s="450"/>
      <c r="B66"/>
      <c r="C66" t="s">
        <v>1243</v>
      </c>
      <c r="D66" t="s">
        <v>63</v>
      </c>
      <c r="E66" t="s">
        <v>1245</v>
      </c>
      <c r="F66"/>
      <c r="G66"/>
      <c r="H66"/>
      <c r="I66"/>
      <c r="J66" t="s">
        <v>1246</v>
      </c>
      <c r="K66" t="s">
        <v>1247</v>
      </c>
      <c r="L66"/>
      <c r="M66" t="s">
        <v>63</v>
      </c>
      <c r="N66" s="491">
        <v>12.35</v>
      </c>
    </row>
    <row r="67" spans="1:17" ht="14.4" customHeight="1">
      <c r="A67" s="450"/>
      <c r="B67"/>
      <c r="C67"/>
      <c r="D67" t="s">
        <v>63</v>
      </c>
      <c r="E67" s="438">
        <f>N66-N67</f>
        <v>11</v>
      </c>
      <c r="F67" t="s">
        <v>4</v>
      </c>
      <c r="G67"/>
      <c r="H67"/>
      <c r="I67"/>
      <c r="J67" t="s">
        <v>1248</v>
      </c>
      <c r="K67" t="s">
        <v>1249</v>
      </c>
      <c r="L67"/>
      <c r="M67" t="s">
        <v>63</v>
      </c>
      <c r="N67" s="491">
        <v>1.35</v>
      </c>
    </row>
    <row r="68" spans="1:17" ht="14.4" customHeight="1">
      <c r="A68" s="450"/>
      <c r="B68"/>
      <c r="C68"/>
      <c r="D68"/>
      <c r="E68"/>
      <c r="F68"/>
      <c r="G68"/>
      <c r="H68"/>
      <c r="I68"/>
      <c r="J68"/>
      <c r="K68"/>
      <c r="L68"/>
      <c r="M68"/>
      <c r="N68"/>
    </row>
    <row r="69" spans="1:17" ht="14.4" customHeight="1">
      <c r="A69" s="450"/>
      <c r="B69"/>
      <c r="C69" t="s">
        <v>1250</v>
      </c>
      <c r="D69" t="s">
        <v>63</v>
      </c>
      <c r="E69" s="995" t="s">
        <v>1251</v>
      </c>
      <c r="F69" s="995"/>
      <c r="G69" s="995"/>
      <c r="H69" s="995"/>
      <c r="I69"/>
      <c r="J69"/>
      <c r="K69"/>
      <c r="L69"/>
      <c r="M69"/>
      <c r="N69"/>
    </row>
    <row r="70" spans="1:17" ht="14.4" customHeight="1">
      <c r="A70" s="450"/>
      <c r="B70"/>
      <c r="C70"/>
      <c r="D70"/>
      <c r="E70" s="996" t="s">
        <v>1252</v>
      </c>
      <c r="F70" s="996"/>
      <c r="G70" s="996"/>
      <c r="H70" s="996"/>
      <c r="I70"/>
      <c r="J70"/>
      <c r="K70"/>
      <c r="L70"/>
      <c r="M70"/>
      <c r="N70"/>
    </row>
    <row r="71" spans="1:17" ht="14.4" customHeight="1">
      <c r="A71" s="453"/>
      <c r="B71"/>
      <c r="C71"/>
      <c r="D71" t="s">
        <v>63</v>
      </c>
      <c r="E71" s="438">
        <v>0</v>
      </c>
      <c r="F71" t="s">
        <v>1253</v>
      </c>
      <c r="G71"/>
      <c r="H71"/>
      <c r="I71"/>
      <c r="J71"/>
      <c r="K71"/>
      <c r="L71"/>
      <c r="M71"/>
      <c r="N71"/>
      <c r="O71" s="455"/>
      <c r="P71" s="455"/>
      <c r="Q71" s="455"/>
    </row>
    <row r="72" spans="1:17" ht="14.4" customHeight="1">
      <c r="A72" s="453"/>
      <c r="B72"/>
      <c r="C72"/>
      <c r="D72"/>
      <c r="E72"/>
      <c r="F72"/>
      <c r="G72"/>
      <c r="H72"/>
      <c r="I72"/>
      <c r="J72"/>
      <c r="K72"/>
      <c r="L72"/>
      <c r="M72"/>
      <c r="N72"/>
    </row>
    <row r="73" spans="1:17" ht="14.4" customHeight="1">
      <c r="A73" s="453"/>
      <c r="B73"/>
      <c r="C73" t="s">
        <v>1254</v>
      </c>
      <c r="D73" t="s">
        <v>63</v>
      </c>
      <c r="E73" s="995" t="s">
        <v>1255</v>
      </c>
      <c r="F73" s="995"/>
      <c r="G73" s="995"/>
      <c r="H73" s="995"/>
      <c r="I73" s="995"/>
      <c r="J73"/>
      <c r="K73"/>
      <c r="L73"/>
      <c r="M73"/>
      <c r="N73"/>
    </row>
    <row r="74" spans="1:17" ht="14.4" customHeight="1">
      <c r="A74" s="453"/>
      <c r="B74"/>
      <c r="C74"/>
      <c r="D74"/>
      <c r="E74" s="996" t="s">
        <v>1256</v>
      </c>
      <c r="F74" s="996"/>
      <c r="G74" s="996"/>
      <c r="H74" s="996"/>
      <c r="I74" s="996"/>
      <c r="J74"/>
      <c r="K74"/>
      <c r="L74"/>
      <c r="M74"/>
      <c r="N74"/>
    </row>
    <row r="75" spans="1:17" ht="14.4" customHeight="1">
      <c r="A75" s="453"/>
      <c r="B75"/>
      <c r="C75"/>
      <c r="D75" t="s">
        <v>63</v>
      </c>
      <c r="E75" s="438">
        <v>0</v>
      </c>
      <c r="F75" t="s">
        <v>1257</v>
      </c>
      <c r="G75"/>
      <c r="H75"/>
      <c r="I75"/>
      <c r="J75"/>
      <c r="K75"/>
      <c r="L75"/>
      <c r="M75"/>
      <c r="N75"/>
    </row>
    <row r="76" spans="1:17" ht="14.4" customHeight="1">
      <c r="A76" s="453"/>
      <c r="B76"/>
      <c r="C76"/>
      <c r="D76"/>
      <c r="E76"/>
      <c r="F76"/>
      <c r="G76"/>
      <c r="H76"/>
      <c r="I76"/>
      <c r="J76"/>
      <c r="K76"/>
      <c r="L76"/>
      <c r="M76"/>
      <c r="N76"/>
    </row>
    <row r="77" spans="1:17" ht="14.4" customHeight="1">
      <c r="A77" s="453"/>
      <c r="B77"/>
      <c r="C77" s="490" t="s">
        <v>1258</v>
      </c>
      <c r="D77"/>
      <c r="E77"/>
      <c r="F77"/>
      <c r="G77"/>
      <c r="H77"/>
      <c r="I77"/>
      <c r="J77"/>
      <c r="K77"/>
      <c r="L77"/>
      <c r="M77"/>
      <c r="N77"/>
    </row>
    <row r="78" spans="1:17" ht="14.4" customHeight="1">
      <c r="A78" s="453"/>
      <c r="B78"/>
      <c r="C78" s="490" t="s">
        <v>1259</v>
      </c>
      <c r="D78"/>
      <c r="E78"/>
      <c r="F78"/>
      <c r="G78"/>
      <c r="H78"/>
      <c r="I78"/>
      <c r="J78"/>
      <c r="K78"/>
      <c r="L78"/>
      <c r="M78"/>
      <c r="N78"/>
    </row>
    <row r="79" spans="1:17" ht="14.4" customHeight="1">
      <c r="A79" s="453"/>
      <c r="B79"/>
      <c r="C79"/>
      <c r="D79" t="s">
        <v>1260</v>
      </c>
      <c r="E79"/>
      <c r="F79"/>
      <c r="G79"/>
      <c r="H79"/>
      <c r="I79"/>
      <c r="J79" t="s">
        <v>1261</v>
      </c>
      <c r="K79"/>
      <c r="L79"/>
      <c r="M79"/>
      <c r="N79"/>
    </row>
    <row r="80" spans="1:17" ht="14.4" customHeight="1">
      <c r="A80" s="450"/>
      <c r="B80"/>
      <c r="C80"/>
      <c r="D80" t="s">
        <v>158</v>
      </c>
      <c r="E80" t="s">
        <v>63</v>
      </c>
      <c r="F80" s="992" t="s">
        <v>1262</v>
      </c>
      <c r="G80" s="992"/>
      <c r="H80"/>
      <c r="I80"/>
      <c r="J80" t="s">
        <v>1263</v>
      </c>
      <c r="K80" t="s">
        <v>1264</v>
      </c>
      <c r="L80" s="997">
        <v>2.2349E-6</v>
      </c>
      <c r="M80" s="997"/>
      <c r="N80" s="997"/>
      <c r="O80" s="335" t="s">
        <v>1265</v>
      </c>
    </row>
    <row r="81" spans="1:16" ht="14.4" customHeight="1">
      <c r="A81" s="456"/>
      <c r="B81"/>
      <c r="C81"/>
      <c r="D81"/>
      <c r="E81"/>
      <c r="F81" s="998" t="s">
        <v>1266</v>
      </c>
      <c r="G81" s="998"/>
      <c r="H81"/>
      <c r="I81"/>
      <c r="J81"/>
      <c r="K81"/>
      <c r="L81" s="993">
        <f>L80*1000000</f>
        <v>2.2349000000000001</v>
      </c>
      <c r="M81" s="993"/>
      <c r="N81"/>
      <c r="O81" s="335" t="s">
        <v>1267</v>
      </c>
    </row>
    <row r="82" spans="1:16" ht="14.4" customHeight="1">
      <c r="A82" s="457"/>
      <c r="B82"/>
      <c r="C82"/>
      <c r="D82" t="s">
        <v>158</v>
      </c>
      <c r="E82" t="s">
        <v>63</v>
      </c>
      <c r="F82" s="993">
        <f>(E32*H28)/L80</f>
        <v>555406.2784781229</v>
      </c>
      <c r="G82" s="993"/>
      <c r="H82" t="str">
        <f>_xlfn.IFS(F82&lt;=2300,"Laminar",F82&lt;=3500,"Transitional",F82&gt;3500,"Turbulent")</f>
        <v>Turbulent</v>
      </c>
      <c r="I82"/>
      <c r="J82" t="s">
        <v>1302</v>
      </c>
      <c r="K82"/>
      <c r="L82"/>
      <c r="M82"/>
      <c r="N82"/>
    </row>
    <row r="83" spans="1:16" ht="14.4" customHeight="1">
      <c r="A83" s="457"/>
      <c r="B83"/>
      <c r="C83"/>
      <c r="D83"/>
      <c r="E83"/>
      <c r="F83"/>
      <c r="G83"/>
      <c r="H83"/>
      <c r="I83"/>
      <c r="J83"/>
      <c r="K83"/>
      <c r="L83"/>
      <c r="M83"/>
      <c r="N83"/>
    </row>
    <row r="84" spans="1:16" ht="14.4" customHeight="1">
      <c r="A84" s="457"/>
      <c r="B84"/>
      <c r="C84"/>
      <c r="D84" t="s">
        <v>1268</v>
      </c>
      <c r="E84"/>
      <c r="F84"/>
      <c r="G84"/>
      <c r="H84"/>
      <c r="I84"/>
      <c r="J84"/>
      <c r="K84" t="s">
        <v>1269</v>
      </c>
      <c r="L84"/>
      <c r="M84"/>
      <c r="N84"/>
    </row>
    <row r="85" spans="1:16" ht="14.4" customHeight="1">
      <c r="A85" s="457"/>
      <c r="B85"/>
      <c r="C85"/>
      <c r="D85"/>
      <c r="E85"/>
      <c r="F85"/>
      <c r="G85"/>
      <c r="H85"/>
      <c r="I85"/>
      <c r="J85"/>
      <c r="K85" t="s">
        <v>1270</v>
      </c>
      <c r="L85"/>
      <c r="M85"/>
      <c r="N85" t="s">
        <v>577</v>
      </c>
      <c r="O85" s="881">
        <v>1.4999999999999999E-2</v>
      </c>
      <c r="P85" s="881"/>
    </row>
    <row r="86" spans="1:16" ht="14.4" customHeight="1">
      <c r="A86" s="457"/>
      <c r="B86"/>
      <c r="C86"/>
      <c r="D86"/>
      <c r="E86"/>
      <c r="F86"/>
      <c r="G86"/>
      <c r="H86"/>
      <c r="I86"/>
      <c r="J86"/>
      <c r="K86"/>
      <c r="L86"/>
      <c r="M86"/>
      <c r="N86"/>
    </row>
    <row r="87" spans="1:16" ht="14.4" customHeight="1">
      <c r="A87" s="457"/>
      <c r="B87"/>
      <c r="C87"/>
      <c r="D87"/>
      <c r="E87"/>
      <c r="F87"/>
      <c r="G87"/>
      <c r="H87"/>
      <c r="I87"/>
      <c r="J87"/>
      <c r="K87"/>
      <c r="L87"/>
      <c r="M87"/>
      <c r="N87"/>
    </row>
    <row r="88" spans="1:16" ht="14.4" customHeight="1">
      <c r="A88" s="457"/>
      <c r="B88"/>
      <c r="C88"/>
      <c r="D88"/>
      <c r="E88"/>
      <c r="F88"/>
      <c r="G88"/>
      <c r="H88"/>
      <c r="I88"/>
      <c r="J88"/>
      <c r="K88"/>
      <c r="L88"/>
      <c r="M88"/>
      <c r="N88"/>
    </row>
    <row r="89" spans="1:16" ht="14.4" customHeight="1">
      <c r="A89" s="457"/>
      <c r="B89"/>
      <c r="C89"/>
      <c r="D89"/>
      <c r="E89"/>
      <c r="F89"/>
      <c r="G89"/>
      <c r="H89"/>
      <c r="I89"/>
      <c r="J89"/>
      <c r="K89"/>
      <c r="L89"/>
      <c r="M89"/>
      <c r="N89"/>
    </row>
    <row r="90" spans="1:16" ht="14.4" customHeight="1">
      <c r="A90" s="457"/>
      <c r="B90"/>
      <c r="C90"/>
      <c r="D90"/>
      <c r="E90"/>
      <c r="F90"/>
      <c r="G90"/>
      <c r="H90"/>
      <c r="I90"/>
      <c r="J90"/>
      <c r="K90"/>
      <c r="L90"/>
      <c r="M90"/>
      <c r="N90"/>
    </row>
    <row r="91" spans="1:16" ht="14.4" customHeight="1">
      <c r="A91" s="457"/>
      <c r="B91"/>
      <c r="C91"/>
      <c r="D91"/>
      <c r="E91"/>
      <c r="F91"/>
      <c r="G91"/>
      <c r="H91"/>
      <c r="I91"/>
      <c r="J91"/>
      <c r="K91"/>
      <c r="L91"/>
      <c r="M91"/>
      <c r="N91"/>
    </row>
    <row r="92" spans="1:16" ht="14.4" customHeight="1">
      <c r="A92" s="457"/>
      <c r="B92"/>
      <c r="C92"/>
      <c r="D92"/>
      <c r="E92"/>
      <c r="F92"/>
      <c r="G92"/>
      <c r="H92"/>
      <c r="I92"/>
      <c r="J92"/>
      <c r="K92"/>
      <c r="L92"/>
      <c r="M92"/>
      <c r="N92"/>
    </row>
    <row r="93" spans="1:16" ht="14.4" customHeight="1">
      <c r="A93" s="457"/>
      <c r="B93"/>
      <c r="C93"/>
      <c r="D93" t="s">
        <v>1271</v>
      </c>
      <c r="E93"/>
      <c r="F93"/>
      <c r="G93"/>
      <c r="H93" t="s">
        <v>577</v>
      </c>
      <c r="I93" s="999">
        <f>O85/H58</f>
        <v>2.9999999999999997E-5</v>
      </c>
      <c r="J93" s="999"/>
      <c r="K93" s="999"/>
      <c r="L93" s="999"/>
      <c r="M93"/>
      <c r="N93"/>
    </row>
    <row r="94" spans="1:16" ht="14.4" customHeight="1">
      <c r="A94" s="457"/>
      <c r="B94"/>
      <c r="C94"/>
      <c r="D94" t="s">
        <v>1272</v>
      </c>
      <c r="E94"/>
      <c r="F94"/>
      <c r="G94"/>
      <c r="H94"/>
      <c r="I94"/>
      <c r="J94"/>
      <c r="K94"/>
      <c r="L94"/>
      <c r="M94"/>
      <c r="N94"/>
    </row>
    <row r="95" spans="1:16" ht="14.4" customHeight="1">
      <c r="A95" s="457"/>
      <c r="B95"/>
      <c r="C95"/>
      <c r="D95" t="s">
        <v>1273</v>
      </c>
      <c r="E95"/>
      <c r="F95"/>
      <c r="G95"/>
      <c r="H95"/>
      <c r="I95"/>
      <c r="J95"/>
      <c r="K95"/>
      <c r="L95"/>
      <c r="M95"/>
      <c r="N95"/>
    </row>
    <row r="96" spans="1:16" ht="14.4" customHeight="1">
      <c r="A96" s="457"/>
      <c r="B96"/>
      <c r="C96"/>
      <c r="D96"/>
      <c r="E96"/>
      <c r="F96"/>
      <c r="G96"/>
      <c r="H96"/>
      <c r="I96"/>
      <c r="J96"/>
      <c r="K96"/>
      <c r="L96"/>
      <c r="M96"/>
      <c r="N96"/>
    </row>
    <row r="97" spans="1:14" ht="14.4" customHeight="1">
      <c r="A97" s="457"/>
      <c r="B97"/>
      <c r="C97"/>
      <c r="D97" t="s">
        <v>1274</v>
      </c>
      <c r="E97"/>
      <c r="F97"/>
      <c r="G97"/>
      <c r="H97"/>
      <c r="I97"/>
      <c r="J97"/>
      <c r="K97"/>
      <c r="L97"/>
      <c r="M97"/>
      <c r="N97"/>
    </row>
    <row r="98" spans="1:14" ht="14.4" customHeight="1">
      <c r="A98" s="457"/>
      <c r="B98"/>
      <c r="C98"/>
      <c r="D98" s="342" t="s">
        <v>1275</v>
      </c>
      <c r="E98" s="342" t="s">
        <v>63</v>
      </c>
      <c r="F98" s="992">
        <v>1.37271436877924E-2</v>
      </c>
      <c r="G98" s="992"/>
      <c r="H98"/>
      <c r="I98"/>
      <c r="J98"/>
      <c r="K98"/>
      <c r="L98"/>
      <c r="M98"/>
      <c r="N98"/>
    </row>
    <row r="99" spans="1:14" ht="14.4" customHeight="1">
      <c r="A99" s="457"/>
      <c r="B99"/>
      <c r="C99"/>
      <c r="D99" s="342"/>
      <c r="E99" s="342"/>
      <c r="F99" s="342"/>
      <c r="G99"/>
      <c r="H99"/>
      <c r="I99"/>
      <c r="J99"/>
      <c r="K99"/>
      <c r="L99"/>
      <c r="M99"/>
      <c r="N99"/>
    </row>
    <row r="100" spans="1:14" ht="14.4" customHeight="1">
      <c r="A100" s="457"/>
      <c r="B100"/>
      <c r="C100"/>
      <c r="D100" t="s">
        <v>1260</v>
      </c>
      <c r="E100"/>
      <c r="F100"/>
      <c r="G100"/>
      <c r="H100"/>
      <c r="I100"/>
      <c r="J100"/>
      <c r="K100"/>
      <c r="L100"/>
      <c r="M100"/>
      <c r="N100"/>
    </row>
    <row r="101" spans="1:14" ht="14.4" customHeight="1">
      <c r="A101" s="457"/>
      <c r="B101"/>
      <c r="C101"/>
      <c r="D101" t="s">
        <v>1276</v>
      </c>
      <c r="E101"/>
      <c r="F101" t="s">
        <v>63</v>
      </c>
      <c r="G101" t="s">
        <v>1277</v>
      </c>
      <c r="H101"/>
      <c r="I101"/>
      <c r="J101"/>
      <c r="K101"/>
      <c r="L101"/>
      <c r="M101"/>
      <c r="N101"/>
    </row>
    <row r="102" spans="1:14" ht="14.4" customHeight="1">
      <c r="A102" s="457"/>
      <c r="B102"/>
      <c r="C102"/>
      <c r="D102" t="s">
        <v>1278</v>
      </c>
      <c r="E102"/>
      <c r="F102"/>
      <c r="G102"/>
      <c r="H102"/>
      <c r="I102"/>
      <c r="J102"/>
      <c r="K102"/>
      <c r="L102"/>
      <c r="M102"/>
      <c r="N102"/>
    </row>
    <row r="103" spans="1:14" ht="14.4" customHeight="1">
      <c r="A103" s="457"/>
      <c r="B103"/>
      <c r="C103"/>
      <c r="D103"/>
      <c r="E103" t="s">
        <v>1279</v>
      </c>
      <c r="F103" t="s">
        <v>1280</v>
      </c>
      <c r="G103"/>
      <c r="H103"/>
      <c r="I103"/>
      <c r="J103" t="s">
        <v>63</v>
      </c>
      <c r="K103" s="491">
        <v>210</v>
      </c>
      <c r="L103" t="s">
        <v>4</v>
      </c>
      <c r="M103"/>
      <c r="N103"/>
    </row>
    <row r="104" spans="1:14" ht="14.4" customHeight="1">
      <c r="A104" s="457"/>
      <c r="B104"/>
      <c r="C104"/>
      <c r="D104"/>
      <c r="E104" t="s">
        <v>1281</v>
      </c>
      <c r="F104" t="s">
        <v>1282</v>
      </c>
      <c r="G104"/>
      <c r="H104"/>
      <c r="I104"/>
      <c r="J104" t="s">
        <v>63</v>
      </c>
      <c r="K104" s="491">
        <f>H28</f>
        <v>3</v>
      </c>
      <c r="L104" t="s">
        <v>45</v>
      </c>
      <c r="M104"/>
      <c r="N104"/>
    </row>
    <row r="105" spans="1:14" ht="14.4" customHeight="1">
      <c r="A105" s="457"/>
      <c r="B105"/>
      <c r="C105"/>
      <c r="D105" t="s">
        <v>1276</v>
      </c>
      <c r="E105"/>
      <c r="F105" t="s">
        <v>63</v>
      </c>
      <c r="G105" s="993">
        <f>F98*K103*(K104^2)/(E32*2*9.8)</f>
        <v>3.1991771325529261</v>
      </c>
      <c r="H105" s="993"/>
      <c r="I105" t="s">
        <v>4</v>
      </c>
      <c r="J105"/>
      <c r="K105"/>
      <c r="L105"/>
      <c r="M105"/>
      <c r="N105"/>
    </row>
    <row r="106" spans="1:14" ht="14.4" customHeight="1">
      <c r="A106" s="457"/>
      <c r="B106"/>
      <c r="C106"/>
      <c r="D106"/>
      <c r="E106"/>
      <c r="F106"/>
      <c r="G106"/>
      <c r="H106"/>
      <c r="I106"/>
      <c r="J106"/>
      <c r="K106"/>
      <c r="L106"/>
      <c r="M106"/>
      <c r="N106"/>
    </row>
    <row r="107" spans="1:14" ht="14.4" customHeight="1">
      <c r="A107" s="457"/>
      <c r="B107"/>
      <c r="C107"/>
      <c r="D107" t="s">
        <v>1283</v>
      </c>
      <c r="E107"/>
      <c r="F107"/>
      <c r="G107"/>
      <c r="H107"/>
      <c r="I107"/>
      <c r="J107"/>
      <c r="K107"/>
      <c r="L107"/>
      <c r="M107"/>
      <c r="N107"/>
    </row>
    <row r="108" spans="1:14" ht="14.4" customHeight="1">
      <c r="A108" s="457"/>
      <c r="B108"/>
      <c r="C108"/>
      <c r="D108" t="s">
        <v>1284</v>
      </c>
      <c r="E108"/>
      <c r="F108"/>
      <c r="G108"/>
      <c r="H108"/>
      <c r="I108"/>
      <c r="J108"/>
      <c r="K108"/>
      <c r="L108"/>
      <c r="M108"/>
      <c r="N108"/>
    </row>
    <row r="109" spans="1:14" ht="14.4" customHeight="1">
      <c r="A109" s="457"/>
      <c r="B109"/>
      <c r="C109"/>
      <c r="D109" s="492" t="s">
        <v>603</v>
      </c>
      <c r="E109" s="994" t="s">
        <v>336</v>
      </c>
      <c r="F109" s="994"/>
      <c r="G109" s="994"/>
      <c r="H109" s="492" t="s">
        <v>547</v>
      </c>
      <c r="I109" s="492" t="s">
        <v>1205</v>
      </c>
      <c r="J109" s="492" t="s">
        <v>1285</v>
      </c>
      <c r="K109"/>
      <c r="L109"/>
      <c r="M109"/>
      <c r="N109"/>
    </row>
    <row r="110" spans="1:14" ht="14.4" customHeight="1">
      <c r="A110" s="457"/>
      <c r="B110"/>
      <c r="C110"/>
      <c r="D110" s="492">
        <v>1</v>
      </c>
      <c r="E110" s="994" t="s">
        <v>1286</v>
      </c>
      <c r="F110" s="994"/>
      <c r="G110" s="994"/>
      <c r="H110" s="492">
        <v>12</v>
      </c>
      <c r="I110" s="492">
        <v>0.17</v>
      </c>
      <c r="J110" s="492">
        <f>H110*I110</f>
        <v>2.04</v>
      </c>
      <c r="K110"/>
      <c r="L110"/>
      <c r="M110"/>
      <c r="N110"/>
    </row>
    <row r="111" spans="1:14" ht="14.4" customHeight="1">
      <c r="A111" s="457"/>
      <c r="B111"/>
      <c r="C111"/>
      <c r="D111" s="492">
        <v>2</v>
      </c>
      <c r="E111" s="994" t="s">
        <v>1287</v>
      </c>
      <c r="F111" s="994"/>
      <c r="G111" s="994"/>
      <c r="H111" s="492">
        <v>8</v>
      </c>
      <c r="I111" s="492">
        <v>0.9</v>
      </c>
      <c r="J111" s="492">
        <f t="shared" ref="J111:J113" si="0">H111*I111</f>
        <v>7.2</v>
      </c>
      <c r="K111"/>
      <c r="L111"/>
      <c r="M111"/>
      <c r="N111"/>
    </row>
    <row r="112" spans="1:14" ht="14.4" customHeight="1">
      <c r="A112" s="457"/>
      <c r="B112"/>
      <c r="C112"/>
      <c r="D112" s="492">
        <v>3</v>
      </c>
      <c r="E112" s="994" t="s">
        <v>1288</v>
      </c>
      <c r="F112" s="994"/>
      <c r="G112" s="994"/>
      <c r="H112" s="492">
        <v>1</v>
      </c>
      <c r="I112" s="492">
        <v>0.57999999999999996</v>
      </c>
      <c r="J112" s="492">
        <f t="shared" si="0"/>
        <v>0.57999999999999996</v>
      </c>
      <c r="K112"/>
      <c r="L112"/>
      <c r="M112"/>
      <c r="N112"/>
    </row>
    <row r="113" spans="1:32" ht="14.4" customHeight="1">
      <c r="A113" s="457"/>
      <c r="B113"/>
      <c r="C113"/>
      <c r="D113" s="492">
        <v>4</v>
      </c>
      <c r="E113" s="994" t="s">
        <v>1289</v>
      </c>
      <c r="F113" s="994"/>
      <c r="G113" s="994"/>
      <c r="H113" s="492">
        <v>8</v>
      </c>
      <c r="I113" s="492">
        <v>1</v>
      </c>
      <c r="J113" s="492">
        <f t="shared" si="0"/>
        <v>8</v>
      </c>
      <c r="K113"/>
      <c r="L113"/>
      <c r="M113"/>
      <c r="N113"/>
    </row>
    <row r="114" spans="1:32" ht="14.4" customHeight="1">
      <c r="A114" s="457"/>
      <c r="B114"/>
      <c r="C114"/>
      <c r="D114"/>
      <c r="E114" s="342"/>
      <c r="F114" s="342"/>
      <c r="G114" s="342"/>
      <c r="H114"/>
      <c r="I114" s="437" t="s">
        <v>1290</v>
      </c>
      <c r="J114" s="437">
        <f>SUM(J110:J113)</f>
        <v>17.82</v>
      </c>
      <c r="K114"/>
      <c r="L114"/>
      <c r="M114"/>
      <c r="N114"/>
    </row>
    <row r="115" spans="1:32" ht="14.4" customHeight="1">
      <c r="B115"/>
      <c r="C115"/>
      <c r="D115"/>
      <c r="E115" s="342"/>
      <c r="F115" s="342"/>
      <c r="G115" s="342"/>
      <c r="H115"/>
      <c r="I115"/>
      <c r="J115"/>
      <c r="K115"/>
      <c r="L115"/>
      <c r="M115"/>
      <c r="N115"/>
    </row>
    <row r="116" spans="1:32" ht="14.4" customHeight="1">
      <c r="B116"/>
      <c r="C116"/>
      <c r="D116" t="s">
        <v>1291</v>
      </c>
      <c r="E116" s="342"/>
      <c r="F116" s="342" t="s">
        <v>63</v>
      </c>
      <c r="G116" t="s">
        <v>1292</v>
      </c>
      <c r="H116"/>
      <c r="I116"/>
      <c r="J116"/>
      <c r="K116"/>
      <c r="L116"/>
      <c r="M116"/>
      <c r="N116"/>
    </row>
    <row r="117" spans="1:32" ht="14.4" customHeight="1">
      <c r="B117"/>
      <c r="C117"/>
      <c r="D117"/>
      <c r="E117" s="342"/>
      <c r="F117" s="342" t="s">
        <v>63</v>
      </c>
      <c r="G117" s="992">
        <f>(J114*(K104^2))/(2*9.8)</f>
        <v>8.1826530612244888</v>
      </c>
      <c r="H117" s="992"/>
      <c r="I117" t="s">
        <v>4</v>
      </c>
      <c r="J117"/>
      <c r="K117"/>
      <c r="L117"/>
      <c r="M117"/>
      <c r="N117"/>
    </row>
    <row r="118" spans="1:32" ht="14.4" customHeight="1">
      <c r="B118"/>
      <c r="C118"/>
      <c r="D118"/>
      <c r="E118" s="342"/>
      <c r="F118" s="342"/>
      <c r="G118" s="342"/>
      <c r="H118" s="342"/>
      <c r="I118"/>
      <c r="J118"/>
      <c r="K118"/>
      <c r="L118"/>
      <c r="M118"/>
      <c r="N118"/>
    </row>
    <row r="119" spans="1:32" ht="14.4" customHeight="1">
      <c r="B119"/>
      <c r="C119"/>
      <c r="D119"/>
      <c r="E119" s="488" t="s">
        <v>1258</v>
      </c>
      <c r="F119" s="342" t="s">
        <v>63</v>
      </c>
      <c r="G119" s="969">
        <f>G117+G105</f>
        <v>11.381830193777414</v>
      </c>
      <c r="H119" s="969"/>
      <c r="I119" t="s">
        <v>4</v>
      </c>
      <c r="J119"/>
      <c r="K119"/>
      <c r="L119"/>
      <c r="M119"/>
      <c r="N119"/>
    </row>
    <row r="120" spans="1:32" ht="14.4" customHeight="1">
      <c r="B120"/>
      <c r="C120"/>
      <c r="D120"/>
      <c r="E120" s="342"/>
      <c r="F120" s="342"/>
      <c r="G120" s="342"/>
      <c r="H120"/>
      <c r="I120"/>
      <c r="J120"/>
      <c r="K120"/>
      <c r="L120"/>
      <c r="M120"/>
      <c r="N120"/>
    </row>
    <row r="121" spans="1:32" ht="14.4" customHeight="1">
      <c r="B121"/>
      <c r="C121" s="490" t="s">
        <v>1293</v>
      </c>
      <c r="D121" s="490"/>
      <c r="E121" s="493"/>
      <c r="F121" s="342"/>
      <c r="G121" s="342"/>
      <c r="H121"/>
      <c r="I121"/>
      <c r="J121"/>
      <c r="K121"/>
      <c r="L121"/>
      <c r="M121"/>
      <c r="N121"/>
    </row>
    <row r="122" spans="1:32" ht="14.4" customHeight="1">
      <c r="B122"/>
      <c r="C122"/>
      <c r="D122" t="s">
        <v>1260</v>
      </c>
      <c r="E122"/>
      <c r="F122"/>
      <c r="G122"/>
      <c r="H122"/>
      <c r="I122"/>
      <c r="J122" t="s">
        <v>1261</v>
      </c>
      <c r="K122"/>
      <c r="L122"/>
      <c r="M122"/>
      <c r="N122"/>
      <c r="T122"/>
      <c r="U122"/>
      <c r="V122"/>
      <c r="W122"/>
      <c r="X122"/>
      <c r="Y122"/>
      <c r="Z122"/>
      <c r="AA122"/>
      <c r="AB122"/>
      <c r="AC122"/>
      <c r="AD122"/>
      <c r="AE122"/>
      <c r="AF122"/>
    </row>
    <row r="123" spans="1:32" ht="14.4" customHeight="1">
      <c r="B123"/>
      <c r="C123"/>
      <c r="D123" t="s">
        <v>158</v>
      </c>
      <c r="E123" t="s">
        <v>63</v>
      </c>
      <c r="F123" s="992" t="s">
        <v>1262</v>
      </c>
      <c r="G123" s="992"/>
      <c r="H123"/>
      <c r="I123"/>
      <c r="J123" t="s">
        <v>1263</v>
      </c>
      <c r="K123" t="s">
        <v>1264</v>
      </c>
      <c r="L123" s="992">
        <v>2.2348999999999999E-4</v>
      </c>
      <c r="M123" s="992"/>
      <c r="N123" s="992"/>
      <c r="T123"/>
      <c r="U123"/>
      <c r="V123"/>
      <c r="W123"/>
      <c r="X123"/>
      <c r="Y123"/>
      <c r="Z123"/>
      <c r="AA123"/>
      <c r="AB123"/>
      <c r="AC123"/>
      <c r="AD123" s="992"/>
      <c r="AE123" s="992"/>
      <c r="AF123" s="992"/>
    </row>
    <row r="124" spans="1:32" ht="14.4" customHeight="1">
      <c r="B124"/>
      <c r="C124"/>
      <c r="D124"/>
      <c r="E124"/>
      <c r="F124" s="998" t="s">
        <v>1266</v>
      </c>
      <c r="G124" s="998"/>
      <c r="H124"/>
      <c r="I124"/>
      <c r="J124"/>
      <c r="K124"/>
      <c r="L124"/>
      <c r="M124"/>
      <c r="N124"/>
      <c r="T124"/>
      <c r="U124"/>
      <c r="V124"/>
      <c r="W124"/>
      <c r="X124"/>
      <c r="Y124"/>
      <c r="Z124"/>
      <c r="AA124"/>
      <c r="AB124"/>
      <c r="AC124"/>
      <c r="AD124"/>
      <c r="AE124"/>
      <c r="AF124"/>
    </row>
    <row r="125" spans="1:32" ht="14.4" customHeight="1">
      <c r="B125"/>
      <c r="C125"/>
      <c r="D125" t="s">
        <v>158</v>
      </c>
      <c r="E125" t="s">
        <v>63</v>
      </c>
      <c r="F125" s="993">
        <f>F82</f>
        <v>555406.2784781229</v>
      </c>
      <c r="G125" s="993"/>
      <c r="H125" s="993" t="s">
        <v>1294</v>
      </c>
      <c r="I125" s="993"/>
      <c r="J125" t="s">
        <v>1295</v>
      </c>
      <c r="K125"/>
      <c r="L125"/>
      <c r="M125"/>
      <c r="N125"/>
      <c r="T125"/>
      <c r="U125"/>
      <c r="V125"/>
      <c r="W125"/>
      <c r="X125"/>
      <c r="Y125"/>
      <c r="Z125"/>
      <c r="AA125"/>
      <c r="AB125"/>
      <c r="AC125"/>
      <c r="AD125"/>
      <c r="AE125"/>
      <c r="AF125"/>
    </row>
    <row r="126" spans="1:32" ht="14.4" customHeight="1">
      <c r="B126"/>
      <c r="C126"/>
      <c r="D126"/>
      <c r="E126"/>
      <c r="F126"/>
      <c r="G126"/>
      <c r="H126"/>
      <c r="I126"/>
      <c r="J126"/>
      <c r="K126"/>
      <c r="L126"/>
      <c r="M126"/>
      <c r="N126"/>
      <c r="T126"/>
      <c r="U126"/>
      <c r="V126"/>
      <c r="W126"/>
      <c r="X126"/>
      <c r="Y126"/>
      <c r="Z126"/>
      <c r="AA126"/>
      <c r="AB126"/>
      <c r="AC126"/>
      <c r="AD126"/>
      <c r="AE126"/>
      <c r="AF126"/>
    </row>
    <row r="127" spans="1:32" ht="14.4" customHeight="1">
      <c r="B127"/>
      <c r="C127"/>
      <c r="D127" t="s">
        <v>1274</v>
      </c>
      <c r="E127"/>
      <c r="F127"/>
      <c r="G127"/>
      <c r="H127"/>
      <c r="I127"/>
      <c r="J127"/>
      <c r="K127"/>
      <c r="L127"/>
      <c r="M127"/>
      <c r="N127"/>
      <c r="T127"/>
      <c r="U127"/>
      <c r="V127"/>
      <c r="W127"/>
      <c r="X127"/>
      <c r="Y127"/>
      <c r="Z127"/>
      <c r="AA127"/>
      <c r="AB127"/>
      <c r="AC127"/>
      <c r="AD127"/>
      <c r="AE127"/>
      <c r="AF127"/>
    </row>
    <row r="128" spans="1:32" ht="14.4" customHeight="1">
      <c r="B128"/>
      <c r="C128"/>
      <c r="D128" s="342" t="s">
        <v>1275</v>
      </c>
      <c r="E128" s="342" t="s">
        <v>63</v>
      </c>
      <c r="F128" s="992">
        <f>F98</f>
        <v>1.37271436877924E-2</v>
      </c>
      <c r="G128" s="992"/>
      <c r="H128"/>
      <c r="I128"/>
      <c r="J128"/>
      <c r="K128"/>
      <c r="L128"/>
      <c r="M128"/>
      <c r="N128"/>
      <c r="T128"/>
      <c r="U128"/>
      <c r="V128" s="342"/>
      <c r="W128" s="342"/>
      <c r="X128" s="992"/>
      <c r="Y128" s="992"/>
      <c r="Z128"/>
      <c r="AA128"/>
      <c r="AB128"/>
      <c r="AC128"/>
      <c r="AD128"/>
      <c r="AE128"/>
      <c r="AF128"/>
    </row>
    <row r="129" spans="1:34" ht="14.4" customHeight="1">
      <c r="A129" s="450"/>
      <c r="B129"/>
      <c r="C129"/>
      <c r="D129" s="342"/>
      <c r="E129" s="342"/>
      <c r="F129" s="342"/>
      <c r="G129"/>
      <c r="H129"/>
      <c r="I129"/>
      <c r="J129"/>
      <c r="K129"/>
      <c r="L129"/>
      <c r="M129"/>
      <c r="N129"/>
      <c r="T129"/>
      <c r="U129"/>
      <c r="V129" s="342"/>
      <c r="W129" s="342"/>
      <c r="X129" s="342"/>
      <c r="Y129"/>
      <c r="Z129"/>
      <c r="AA129"/>
      <c r="AB129"/>
      <c r="AC129"/>
      <c r="AD129"/>
      <c r="AE129"/>
      <c r="AF129"/>
    </row>
    <row r="130" spans="1:34" ht="14.4" customHeight="1">
      <c r="B130"/>
      <c r="C130"/>
      <c r="D130" t="s">
        <v>1260</v>
      </c>
      <c r="E130"/>
      <c r="F130"/>
      <c r="G130"/>
      <c r="H130"/>
      <c r="I130"/>
      <c r="J130"/>
      <c r="K130"/>
      <c r="L130"/>
      <c r="M130"/>
      <c r="N130"/>
      <c r="T130"/>
      <c r="U130"/>
      <c r="V130"/>
      <c r="W130"/>
      <c r="X130"/>
      <c r="Y130"/>
      <c r="Z130"/>
      <c r="AA130"/>
      <c r="AB130"/>
      <c r="AC130"/>
      <c r="AD130"/>
      <c r="AE130"/>
      <c r="AF130"/>
    </row>
    <row r="131" spans="1:34" ht="14.4" customHeight="1">
      <c r="A131" s="450"/>
      <c r="B131"/>
      <c r="C131"/>
      <c r="D131" t="s">
        <v>1276</v>
      </c>
      <c r="E131"/>
      <c r="F131" t="s">
        <v>63</v>
      </c>
      <c r="G131" t="s">
        <v>1277</v>
      </c>
      <c r="H131"/>
      <c r="I131"/>
      <c r="J131"/>
      <c r="K131"/>
      <c r="L131"/>
      <c r="M131"/>
      <c r="N131"/>
      <c r="T131"/>
      <c r="U131"/>
      <c r="V131"/>
      <c r="W131"/>
      <c r="X131"/>
      <c r="Y131"/>
      <c r="Z131"/>
      <c r="AA131"/>
      <c r="AB131"/>
      <c r="AC131"/>
      <c r="AD131"/>
      <c r="AE131"/>
      <c r="AF131"/>
    </row>
    <row r="132" spans="1:34" ht="14.4" customHeight="1">
      <c r="A132" s="450"/>
      <c r="B132"/>
      <c r="C132"/>
      <c r="D132" t="s">
        <v>1278</v>
      </c>
      <c r="E132"/>
      <c r="F132"/>
      <c r="G132"/>
      <c r="H132"/>
      <c r="I132"/>
      <c r="J132"/>
      <c r="K132"/>
      <c r="L132"/>
      <c r="M132"/>
      <c r="N132"/>
      <c r="T132"/>
      <c r="U132"/>
      <c r="V132"/>
      <c r="W132"/>
      <c r="X132"/>
      <c r="Y132"/>
      <c r="Z132"/>
      <c r="AA132"/>
      <c r="AB132"/>
      <c r="AC132"/>
      <c r="AD132"/>
      <c r="AE132"/>
      <c r="AF132"/>
    </row>
    <row r="133" spans="1:34" ht="14.4" customHeight="1">
      <c r="A133" s="450"/>
      <c r="B133"/>
      <c r="C133"/>
      <c r="D133"/>
      <c r="E133" t="s">
        <v>1279</v>
      </c>
      <c r="F133" t="s">
        <v>1296</v>
      </c>
      <c r="G133"/>
      <c r="H133"/>
      <c r="I133"/>
      <c r="J133" t="s">
        <v>63</v>
      </c>
      <c r="K133" s="491">
        <v>95</v>
      </c>
      <c r="L133" t="s">
        <v>4</v>
      </c>
      <c r="M133"/>
      <c r="N133"/>
      <c r="T133"/>
      <c r="U133"/>
      <c r="V133"/>
      <c r="W133"/>
      <c r="X133"/>
      <c r="Y133"/>
      <c r="Z133"/>
      <c r="AA133"/>
      <c r="AB133"/>
      <c r="AC133"/>
      <c r="AD133"/>
      <c r="AE133"/>
      <c r="AF133"/>
    </row>
    <row r="134" spans="1:34" ht="14.4" customHeight="1">
      <c r="A134" s="450"/>
      <c r="B134"/>
      <c r="C134"/>
      <c r="D134"/>
      <c r="E134" t="s">
        <v>1281</v>
      </c>
      <c r="F134" t="s">
        <v>1282</v>
      </c>
      <c r="G134"/>
      <c r="H134"/>
      <c r="I134"/>
      <c r="J134" t="s">
        <v>63</v>
      </c>
      <c r="K134" s="491">
        <f>K104</f>
        <v>3</v>
      </c>
      <c r="L134" t="s">
        <v>45</v>
      </c>
      <c r="M134"/>
      <c r="N134"/>
      <c r="T134"/>
      <c r="U134"/>
      <c r="V134"/>
      <c r="W134"/>
      <c r="X134"/>
      <c r="Y134"/>
      <c r="Z134"/>
      <c r="AA134"/>
      <c r="AB134"/>
      <c r="AC134"/>
      <c r="AD134"/>
      <c r="AE134"/>
      <c r="AF134"/>
    </row>
    <row r="135" spans="1:34" ht="14.4" customHeight="1">
      <c r="A135" s="446"/>
      <c r="B135"/>
      <c r="C135"/>
      <c r="D135" t="s">
        <v>1276</v>
      </c>
      <c r="E135"/>
      <c r="F135" t="s">
        <v>63</v>
      </c>
      <c r="G135" s="993">
        <f>(F128*K133*(K134^2))/(E32*2*9.8)</f>
        <v>1.4472467980596571</v>
      </c>
      <c r="H135" s="993"/>
      <c r="I135" t="s">
        <v>4</v>
      </c>
      <c r="J135"/>
      <c r="K135"/>
      <c r="L135"/>
      <c r="M135"/>
      <c r="N135"/>
      <c r="T135"/>
      <c r="U135"/>
      <c r="V135"/>
      <c r="W135"/>
      <c r="X135"/>
      <c r="Y135" s="993"/>
      <c r="Z135" s="993"/>
      <c r="AA135"/>
      <c r="AB135"/>
      <c r="AC135"/>
      <c r="AD135"/>
      <c r="AE135"/>
      <c r="AF135"/>
    </row>
    <row r="136" spans="1:34" ht="14.4" customHeight="1">
      <c r="A136" s="446"/>
      <c r="B136"/>
      <c r="C136"/>
      <c r="D136"/>
      <c r="E136"/>
      <c r="F136"/>
      <c r="G136"/>
      <c r="H136"/>
      <c r="I136"/>
      <c r="J136"/>
      <c r="K136"/>
      <c r="L136"/>
      <c r="M136"/>
      <c r="N136"/>
      <c r="T136"/>
      <c r="U136"/>
      <c r="V136"/>
      <c r="W136"/>
      <c r="X136"/>
      <c r="Y136"/>
      <c r="Z136"/>
      <c r="AA136"/>
      <c r="AB136"/>
      <c r="AC136"/>
      <c r="AD136"/>
      <c r="AE136"/>
      <c r="AF136"/>
    </row>
    <row r="137" spans="1:34" ht="14.4" customHeight="1">
      <c r="A137" s="458"/>
      <c r="B137"/>
      <c r="C137"/>
      <c r="D137" t="s">
        <v>1283</v>
      </c>
      <c r="E137"/>
      <c r="F137"/>
      <c r="G137"/>
      <c r="H137"/>
      <c r="I137"/>
      <c r="J137"/>
      <c r="K137"/>
      <c r="L137"/>
      <c r="M137"/>
      <c r="N137"/>
      <c r="O137" s="494"/>
      <c r="P137" s="494"/>
      <c r="Q137" s="494"/>
      <c r="R137" s="494"/>
      <c r="T137"/>
      <c r="U137"/>
      <c r="V137"/>
      <c r="W137"/>
      <c r="X137"/>
      <c r="Y137"/>
      <c r="Z137"/>
      <c r="AA137"/>
      <c r="AB137"/>
      <c r="AC137"/>
      <c r="AD137"/>
      <c r="AE137"/>
      <c r="AF137"/>
      <c r="AG137" s="494"/>
      <c r="AH137" s="494"/>
    </row>
    <row r="138" spans="1:34" ht="14.4" customHeight="1">
      <c r="A138" s="459"/>
      <c r="B138"/>
      <c r="C138"/>
      <c r="D138" t="s">
        <v>1284</v>
      </c>
      <c r="E138"/>
      <c r="F138"/>
      <c r="G138"/>
      <c r="H138"/>
      <c r="I138"/>
      <c r="J138"/>
      <c r="K138"/>
      <c r="L138"/>
      <c r="M138"/>
      <c r="N138"/>
      <c r="T138"/>
      <c r="U138"/>
      <c r="V138"/>
      <c r="W138"/>
      <c r="X138"/>
      <c r="Y138"/>
      <c r="Z138"/>
      <c r="AA138"/>
      <c r="AB138"/>
      <c r="AC138"/>
      <c r="AD138"/>
      <c r="AE138"/>
      <c r="AF138"/>
    </row>
    <row r="139" spans="1:34" ht="14.4" customHeight="1">
      <c r="A139" s="453"/>
      <c r="B139"/>
      <c r="C139"/>
      <c r="D139" s="492" t="s">
        <v>603</v>
      </c>
      <c r="E139" s="994" t="s">
        <v>336</v>
      </c>
      <c r="F139" s="994"/>
      <c r="G139" s="994"/>
      <c r="H139" s="492" t="s">
        <v>547</v>
      </c>
      <c r="I139" s="492" t="s">
        <v>1205</v>
      </c>
      <c r="J139" s="492" t="s">
        <v>1285</v>
      </c>
      <c r="K139"/>
      <c r="L139"/>
      <c r="M139"/>
      <c r="N139"/>
      <c r="T139"/>
      <c r="U139"/>
      <c r="V139" s="498"/>
      <c r="W139" s="499"/>
      <c r="X139" s="499"/>
      <c r="Y139" s="499"/>
      <c r="Z139" s="498"/>
      <c r="AA139" s="498"/>
      <c r="AB139" s="498"/>
      <c r="AC139"/>
      <c r="AD139"/>
      <c r="AE139"/>
      <c r="AF139"/>
    </row>
    <row r="140" spans="1:34" ht="14.4" customHeight="1">
      <c r="A140" s="453"/>
      <c r="B140"/>
      <c r="C140"/>
      <c r="D140" s="492">
        <v>1</v>
      </c>
      <c r="E140" s="994" t="s">
        <v>1286</v>
      </c>
      <c r="F140" s="994"/>
      <c r="G140" s="994"/>
      <c r="H140" s="492">
        <v>6</v>
      </c>
      <c r="I140" s="492">
        <v>0.17</v>
      </c>
      <c r="J140" s="492">
        <f>H140*I140</f>
        <v>1.02</v>
      </c>
      <c r="K140"/>
      <c r="L140"/>
      <c r="M140"/>
      <c r="N140"/>
      <c r="T140"/>
      <c r="U140"/>
      <c r="V140" s="498"/>
      <c r="W140" s="499"/>
      <c r="X140" s="499"/>
      <c r="Y140" s="499"/>
      <c r="Z140" s="498"/>
      <c r="AA140" s="498"/>
      <c r="AB140" s="498"/>
      <c r="AC140"/>
      <c r="AD140"/>
      <c r="AE140"/>
      <c r="AF140"/>
    </row>
    <row r="141" spans="1:34" ht="14.4" customHeight="1">
      <c r="A141" s="453"/>
      <c r="B141"/>
      <c r="C141"/>
      <c r="D141" s="492">
        <v>2</v>
      </c>
      <c r="E141" s="994" t="s">
        <v>1287</v>
      </c>
      <c r="F141" s="994"/>
      <c r="G141" s="994"/>
      <c r="H141" s="492">
        <v>4</v>
      </c>
      <c r="I141" s="492">
        <v>0.9</v>
      </c>
      <c r="J141" s="492">
        <f t="shared" ref="J141:J143" si="1">H141*I141</f>
        <v>3.6</v>
      </c>
      <c r="K141"/>
      <c r="L141"/>
      <c r="M141"/>
      <c r="N141"/>
      <c r="T141"/>
      <c r="U141"/>
      <c r="V141" s="498"/>
      <c r="W141" s="499"/>
      <c r="X141" s="499"/>
      <c r="Y141" s="499"/>
      <c r="Z141" s="498"/>
      <c r="AA141" s="498"/>
      <c r="AB141" s="498"/>
      <c r="AC141"/>
      <c r="AD141"/>
      <c r="AE141"/>
      <c r="AF141"/>
    </row>
    <row r="142" spans="1:34" ht="14.4" customHeight="1">
      <c r="A142" s="453"/>
      <c r="B142"/>
      <c r="C142"/>
      <c r="D142" s="492">
        <v>3</v>
      </c>
      <c r="E142" s="994" t="s">
        <v>1288</v>
      </c>
      <c r="F142" s="994"/>
      <c r="G142" s="994"/>
      <c r="H142" s="492">
        <v>0</v>
      </c>
      <c r="I142" s="492">
        <v>0.57999999999999996</v>
      </c>
      <c r="J142" s="492">
        <f t="shared" si="1"/>
        <v>0</v>
      </c>
      <c r="K142"/>
      <c r="L142"/>
      <c r="M142"/>
      <c r="N142"/>
      <c r="T142"/>
      <c r="U142"/>
      <c r="V142" s="498"/>
      <c r="W142" s="499"/>
      <c r="X142" s="499"/>
      <c r="Y142" s="499"/>
      <c r="Z142" s="498"/>
      <c r="AA142" s="498"/>
      <c r="AB142" s="498"/>
      <c r="AC142"/>
      <c r="AD142"/>
      <c r="AE142"/>
      <c r="AF142"/>
    </row>
    <row r="143" spans="1:34" ht="14.4" customHeight="1">
      <c r="A143" s="450"/>
      <c r="B143"/>
      <c r="C143"/>
      <c r="D143" s="492">
        <v>4</v>
      </c>
      <c r="E143" s="994" t="s">
        <v>1289</v>
      </c>
      <c r="F143" s="994"/>
      <c r="G143" s="994"/>
      <c r="H143" s="492">
        <v>4</v>
      </c>
      <c r="I143" s="492">
        <v>1</v>
      </c>
      <c r="J143" s="492">
        <f t="shared" si="1"/>
        <v>4</v>
      </c>
      <c r="K143"/>
      <c r="L143"/>
      <c r="M143"/>
      <c r="N143"/>
      <c r="T143"/>
      <c r="U143"/>
      <c r="V143" s="498"/>
      <c r="W143" s="499"/>
      <c r="X143" s="499"/>
      <c r="Y143" s="499"/>
      <c r="Z143" s="498"/>
      <c r="AA143" s="498"/>
      <c r="AB143" s="498"/>
      <c r="AC143"/>
      <c r="AD143"/>
      <c r="AE143"/>
      <c r="AF143"/>
    </row>
    <row r="144" spans="1:34" ht="14.4" customHeight="1">
      <c r="A144" s="453"/>
      <c r="B144"/>
      <c r="C144"/>
      <c r="D144"/>
      <c r="E144" s="342"/>
      <c r="F144" s="342"/>
      <c r="G144" s="342"/>
      <c r="H144"/>
      <c r="I144" s="437" t="s">
        <v>1290</v>
      </c>
      <c r="J144" s="437">
        <f>SUM(J140:J143)</f>
        <v>8.620000000000001</v>
      </c>
      <c r="K144"/>
      <c r="L144"/>
      <c r="M144"/>
      <c r="N144"/>
      <c r="T144"/>
      <c r="U144"/>
      <c r="V144"/>
      <c r="W144" s="342"/>
      <c r="X144" s="342"/>
      <c r="Y144" s="342"/>
      <c r="Z144"/>
      <c r="AA144"/>
      <c r="AB144"/>
      <c r="AC144"/>
      <c r="AD144"/>
      <c r="AE144"/>
      <c r="AF144"/>
    </row>
    <row r="145" spans="1:32" ht="14.4" customHeight="1">
      <c r="A145" s="453"/>
      <c r="B145"/>
      <c r="C145"/>
      <c r="D145"/>
      <c r="E145" s="342"/>
      <c r="F145" s="342"/>
      <c r="G145" s="342"/>
      <c r="H145"/>
      <c r="I145"/>
      <c r="J145"/>
      <c r="K145"/>
      <c r="L145"/>
      <c r="M145"/>
      <c r="N145"/>
      <c r="T145"/>
      <c r="U145"/>
      <c r="V145"/>
      <c r="W145" s="342"/>
      <c r="X145" s="342"/>
      <c r="Y145" s="342"/>
      <c r="Z145"/>
      <c r="AA145"/>
      <c r="AB145"/>
      <c r="AC145"/>
      <c r="AD145"/>
      <c r="AE145"/>
      <c r="AF145"/>
    </row>
    <row r="146" spans="1:32" ht="14.4" customHeight="1">
      <c r="A146" s="453"/>
      <c r="B146"/>
      <c r="C146"/>
      <c r="D146" t="s">
        <v>1291</v>
      </c>
      <c r="E146" s="342"/>
      <c r="F146" s="342" t="s">
        <v>63</v>
      </c>
      <c r="G146" t="s">
        <v>1292</v>
      </c>
      <c r="H146"/>
      <c r="I146"/>
      <c r="J146"/>
      <c r="K146"/>
      <c r="L146"/>
      <c r="M146"/>
      <c r="N146"/>
      <c r="T146"/>
      <c r="U146"/>
      <c r="V146"/>
      <c r="W146" s="342"/>
      <c r="X146" s="342"/>
      <c r="Y146"/>
      <c r="Z146"/>
      <c r="AA146"/>
      <c r="AB146"/>
      <c r="AC146"/>
      <c r="AD146"/>
      <c r="AE146"/>
      <c r="AF146"/>
    </row>
    <row r="147" spans="1:32" ht="14.4" customHeight="1">
      <c r="A147" s="453"/>
      <c r="B147"/>
      <c r="C147"/>
      <c r="D147"/>
      <c r="E147" s="342"/>
      <c r="F147" s="342" t="s">
        <v>63</v>
      </c>
      <c r="G147" s="992">
        <f>(J144*(K134^2))/(2*9.8)</f>
        <v>3.9581632653061227</v>
      </c>
      <c r="H147" s="992"/>
      <c r="I147" t="s">
        <v>4</v>
      </c>
      <c r="J147"/>
      <c r="K147"/>
      <c r="L147"/>
      <c r="M147"/>
      <c r="N147"/>
      <c r="T147"/>
      <c r="U147"/>
      <c r="V147"/>
      <c r="W147" s="342"/>
      <c r="X147" s="342"/>
      <c r="Y147" s="992"/>
      <c r="Z147" s="992"/>
      <c r="AA147"/>
      <c r="AB147"/>
      <c r="AC147"/>
      <c r="AD147"/>
      <c r="AE147"/>
      <c r="AF147"/>
    </row>
    <row r="148" spans="1:32" ht="14.4" customHeight="1">
      <c r="A148" s="453"/>
      <c r="B148"/>
      <c r="C148"/>
      <c r="D148"/>
      <c r="E148" s="342"/>
      <c r="F148" s="342"/>
      <c r="G148" s="342"/>
      <c r="H148" s="342"/>
      <c r="I148"/>
      <c r="J148"/>
      <c r="K148"/>
      <c r="L148"/>
      <c r="M148"/>
      <c r="N148"/>
      <c r="T148"/>
      <c r="U148"/>
      <c r="V148"/>
      <c r="W148" s="342"/>
      <c r="X148" s="342"/>
      <c r="Y148" s="342"/>
      <c r="Z148" s="342"/>
      <c r="AA148"/>
      <c r="AB148"/>
      <c r="AC148"/>
      <c r="AD148"/>
      <c r="AE148"/>
      <c r="AF148"/>
    </row>
    <row r="149" spans="1:32" ht="14.4" customHeight="1">
      <c r="A149" s="453"/>
      <c r="B149"/>
      <c r="C149"/>
      <c r="D149"/>
      <c r="E149" s="488" t="s">
        <v>1258</v>
      </c>
      <c r="F149" s="342" t="s">
        <v>63</v>
      </c>
      <c r="G149" s="969">
        <f>G135+G147</f>
        <v>5.40541006336578</v>
      </c>
      <c r="H149" s="969"/>
      <c r="I149" t="s">
        <v>4</v>
      </c>
      <c r="J149"/>
      <c r="K149"/>
      <c r="L149"/>
      <c r="M149"/>
      <c r="N149"/>
      <c r="T149"/>
      <c r="U149"/>
      <c r="V149"/>
      <c r="W149" s="488"/>
      <c r="X149" s="342"/>
      <c r="Y149"/>
      <c r="Z149"/>
      <c r="AA149"/>
      <c r="AB149"/>
      <c r="AC149"/>
      <c r="AD149"/>
      <c r="AE149"/>
      <c r="AF149"/>
    </row>
    <row r="150" spans="1:32" ht="14.4" customHeight="1">
      <c r="A150" s="453"/>
      <c r="B150"/>
      <c r="C150"/>
      <c r="D150"/>
      <c r="E150" s="342"/>
      <c r="F150" s="342"/>
      <c r="G150" s="342"/>
      <c r="H150"/>
      <c r="I150"/>
      <c r="J150"/>
      <c r="K150"/>
      <c r="L150"/>
      <c r="M150"/>
      <c r="N150"/>
      <c r="T150"/>
      <c r="U150"/>
      <c r="V150"/>
      <c r="W150" s="342"/>
      <c r="X150" s="342"/>
      <c r="Y150" s="342"/>
      <c r="Z150"/>
      <c r="AA150"/>
      <c r="AB150"/>
      <c r="AC150"/>
      <c r="AD150"/>
      <c r="AE150"/>
      <c r="AF150"/>
    </row>
    <row r="151" spans="1:32" ht="14.4" customHeight="1">
      <c r="A151" s="453"/>
      <c r="B151" s="490" t="s">
        <v>1297</v>
      </c>
      <c r="C151"/>
      <c r="D151"/>
      <c r="E151" s="342"/>
      <c r="F151" s="342" t="s">
        <v>63</v>
      </c>
      <c r="G151" s="874">
        <f>G149+G119+E75+E71+E67</f>
        <v>27.787240257143196</v>
      </c>
      <c r="H151" s="874"/>
      <c r="I151" t="s">
        <v>4</v>
      </c>
      <c r="J151"/>
      <c r="K151"/>
      <c r="L151"/>
      <c r="M151"/>
      <c r="N151"/>
      <c r="AC151"/>
      <c r="AD151"/>
      <c r="AE151"/>
      <c r="AF151"/>
    </row>
    <row r="152" spans="1:32" ht="14.25" customHeight="1">
      <c r="A152" s="453"/>
      <c r="B152" s="490"/>
      <c r="C152"/>
      <c r="D152"/>
      <c r="E152" s="342"/>
      <c r="F152" s="342"/>
      <c r="G152" s="338"/>
      <c r="H152" s="338"/>
      <c r="I152"/>
      <c r="J152"/>
      <c r="K152"/>
      <c r="L152"/>
      <c r="M152"/>
      <c r="N152"/>
    </row>
    <row r="153" spans="1:32" ht="14.4" customHeight="1">
      <c r="A153" s="453"/>
      <c r="B153" s="346" t="s">
        <v>1305</v>
      </c>
      <c r="E153" s="335"/>
    </row>
    <row r="154" spans="1:32" ht="14.4" customHeight="1">
      <c r="A154" s="483"/>
      <c r="B154" s="335" t="s">
        <v>1220</v>
      </c>
      <c r="E154" s="335"/>
      <c r="J154" s="484">
        <v>2</v>
      </c>
      <c r="K154" s="335" t="s">
        <v>631</v>
      </c>
    </row>
    <row r="155" spans="1:32" ht="14.4" customHeight="1">
      <c r="A155" s="483"/>
      <c r="C155" s="335" t="s">
        <v>1221</v>
      </c>
      <c r="D155" s="335" t="s">
        <v>1222</v>
      </c>
      <c r="E155" s="995" t="s">
        <v>1301</v>
      </c>
      <c r="F155" s="995"/>
    </row>
    <row r="156" spans="1:32" ht="14.4" customHeight="1">
      <c r="E156" s="996" t="s">
        <v>587</v>
      </c>
      <c r="F156" s="996"/>
    </row>
    <row r="157" spans="1:32" ht="14.4" customHeight="1">
      <c r="B157" s="336"/>
      <c r="D157" s="337" t="s">
        <v>577</v>
      </c>
      <c r="E157" s="335">
        <f>(2%*'DOC 3 ATTACH'!E82)/J154</f>
        <v>174.16861950063031</v>
      </c>
      <c r="F157" s="335" t="s">
        <v>1224</v>
      </c>
      <c r="N157" s="337"/>
    </row>
    <row r="158" spans="1:32" ht="14.4" customHeight="1">
      <c r="A158" s="453"/>
      <c r="B158" s="336"/>
      <c r="D158" s="337" t="s">
        <v>577</v>
      </c>
      <c r="E158" s="335">
        <f>E157/3600</f>
        <v>4.8380172083508421E-2</v>
      </c>
      <c r="F158" s="335" t="s">
        <v>1225</v>
      </c>
      <c r="N158" s="337"/>
    </row>
    <row r="159" spans="1:32" ht="14.4" customHeight="1">
      <c r="A159" s="453"/>
      <c r="B159" s="336"/>
      <c r="D159" s="337"/>
      <c r="E159" s="335"/>
      <c r="N159" s="337"/>
    </row>
    <row r="160" spans="1:32" ht="14.4" customHeight="1">
      <c r="A160" s="453"/>
      <c r="B160" s="348" t="s">
        <v>1306</v>
      </c>
      <c r="D160" s="337"/>
      <c r="E160" s="335"/>
      <c r="N160" s="337"/>
    </row>
    <row r="161" spans="1:16" ht="14.4" customHeight="1">
      <c r="A161" s="453"/>
      <c r="C161" s="336" t="s">
        <v>1227</v>
      </c>
      <c r="E161" s="337"/>
      <c r="F161" s="485"/>
      <c r="G161" s="335" t="s">
        <v>577</v>
      </c>
      <c r="H161" s="881">
        <v>3</v>
      </c>
      <c r="I161" s="881"/>
      <c r="J161" s="335" t="s">
        <v>45</v>
      </c>
      <c r="N161" s="337"/>
      <c r="O161" s="349"/>
    </row>
    <row r="162" spans="1:16" ht="14.4" customHeight="1">
      <c r="A162" s="453"/>
      <c r="B162" s="336"/>
      <c r="C162" t="s">
        <v>1221</v>
      </c>
      <c r="D162" t="s">
        <v>63</v>
      </c>
      <c r="E162" t="s">
        <v>1228</v>
      </c>
      <c r="F162"/>
      <c r="G162"/>
      <c r="H162"/>
      <c r="I162"/>
    </row>
    <row r="163" spans="1:16" ht="26.1" customHeight="1">
      <c r="A163" s="453"/>
      <c r="B163" s="336"/>
      <c r="C163" t="s">
        <v>789</v>
      </c>
      <c r="D163" t="s">
        <v>63</v>
      </c>
      <c r="E163" t="s">
        <v>1229</v>
      </c>
      <c r="F163"/>
      <c r="G163"/>
      <c r="H163"/>
      <c r="I163"/>
    </row>
    <row r="164" spans="1:16" ht="14.4" customHeight="1">
      <c r="A164" s="453"/>
      <c r="B164" s="336"/>
      <c r="C164" s="486" t="s">
        <v>779</v>
      </c>
      <c r="D164" t="s">
        <v>63</v>
      </c>
      <c r="E164" t="s">
        <v>1230</v>
      </c>
      <c r="F164"/>
      <c r="G164"/>
      <c r="H164"/>
      <c r="I164"/>
    </row>
    <row r="165" spans="1:16" ht="14.4" customHeight="1">
      <c r="A165" s="453"/>
      <c r="B165" s="336"/>
      <c r="C165" t="s">
        <v>779</v>
      </c>
      <c r="D165" t="s">
        <v>63</v>
      </c>
      <c r="E165">
        <f>((4*E158/(H161*3.14))^(1/2))</f>
        <v>0.14333037880257399</v>
      </c>
      <c r="F165" t="s">
        <v>4</v>
      </c>
      <c r="G165"/>
      <c r="H165"/>
      <c r="I165"/>
    </row>
    <row r="166" spans="1:16" ht="14.4" customHeight="1">
      <c r="A166" s="453"/>
      <c r="C166"/>
      <c r="D166" t="s">
        <v>63</v>
      </c>
      <c r="E166">
        <f>E165*1000</f>
        <v>143.33037880257399</v>
      </c>
      <c r="F166" t="s">
        <v>351</v>
      </c>
      <c r="G166"/>
      <c r="H166"/>
      <c r="I166"/>
    </row>
    <row r="167" spans="1:16" ht="14.4" customHeight="1">
      <c r="A167" s="453"/>
      <c r="B167" s="445"/>
      <c r="C167"/>
      <c r="D167" t="s">
        <v>63</v>
      </c>
      <c r="E167">
        <f>E166*0.0393701</f>
        <v>5.6429313464952182</v>
      </c>
      <c r="F167" t="s">
        <v>1231</v>
      </c>
      <c r="G167"/>
      <c r="H167"/>
      <c r="I167"/>
      <c r="J167" s="444"/>
      <c r="K167" s="444"/>
      <c r="L167" s="444"/>
      <c r="M167" s="444"/>
      <c r="N167" s="444"/>
      <c r="O167" s="444"/>
      <c r="P167" s="444"/>
    </row>
    <row r="168" spans="1:16" ht="14.4" customHeight="1">
      <c r="A168" s="453"/>
      <c r="B168" s="487"/>
      <c r="C168" s="488" t="s">
        <v>1232</v>
      </c>
      <c r="D168" t="s">
        <v>63</v>
      </c>
      <c r="E168">
        <f>ROUNDUP(E167,0)</f>
        <v>6</v>
      </c>
      <c r="F168" t="s">
        <v>1231</v>
      </c>
      <c r="G168" t="s">
        <v>1233</v>
      </c>
      <c r="H168"/>
      <c r="I168"/>
      <c r="J168" s="487"/>
      <c r="K168" s="487"/>
      <c r="L168" s="487"/>
      <c r="M168" s="487"/>
      <c r="N168" s="487"/>
      <c r="O168" s="487"/>
      <c r="P168" s="487"/>
    </row>
    <row r="169" spans="1:16" ht="14.4" customHeight="1">
      <c r="A169" s="453"/>
      <c r="B169" s="487"/>
      <c r="C169" s="487"/>
      <c r="D169" s="487"/>
      <c r="E169" s="487"/>
      <c r="F169" s="487"/>
      <c r="G169" s="487"/>
      <c r="H169" s="487"/>
      <c r="I169" s="487"/>
      <c r="J169" s="487"/>
      <c r="K169" s="487"/>
      <c r="L169" s="487"/>
      <c r="M169" s="487"/>
      <c r="N169" s="487"/>
      <c r="O169" s="487"/>
      <c r="P169" s="487"/>
    </row>
    <row r="170" spans="1:16" ht="14.4" customHeight="1">
      <c r="A170" s="453"/>
      <c r="B170" s="487"/>
      <c r="C170" s="487"/>
      <c r="D170" s="487"/>
      <c r="E170" s="487"/>
      <c r="F170" s="487"/>
      <c r="G170" s="487"/>
      <c r="H170" s="487"/>
      <c r="I170" s="487"/>
      <c r="J170" s="487"/>
      <c r="K170" s="487"/>
      <c r="L170" s="487"/>
      <c r="M170" s="487"/>
      <c r="N170" s="487"/>
      <c r="O170" s="487"/>
      <c r="P170" s="487"/>
    </row>
    <row r="171" spans="1:16" ht="14.4" customHeight="1">
      <c r="A171" s="460"/>
      <c r="B171" s="487"/>
      <c r="C171" s="487"/>
      <c r="D171" s="487"/>
      <c r="E171" s="487"/>
      <c r="F171" s="487"/>
      <c r="G171" s="487"/>
      <c r="H171" s="487"/>
      <c r="I171" s="487"/>
      <c r="J171" s="487"/>
      <c r="K171" s="487"/>
      <c r="L171" s="487"/>
      <c r="M171" s="487"/>
      <c r="N171" s="487"/>
      <c r="O171" s="487"/>
      <c r="P171" s="487"/>
    </row>
    <row r="172" spans="1:16" ht="14.4" customHeight="1">
      <c r="A172" s="456"/>
      <c r="B172" s="487"/>
      <c r="C172" s="487"/>
      <c r="D172" s="487"/>
      <c r="E172" s="487"/>
      <c r="F172" s="487"/>
      <c r="G172" s="487"/>
      <c r="H172" s="487"/>
      <c r="I172" s="487"/>
      <c r="J172" s="487"/>
      <c r="K172" s="487"/>
      <c r="L172" s="487"/>
      <c r="M172" s="487"/>
      <c r="N172" s="487"/>
      <c r="O172" s="487"/>
      <c r="P172" s="487"/>
    </row>
    <row r="173" spans="1:16" ht="14.4" customHeight="1">
      <c r="A173" s="456"/>
      <c r="B173" s="487"/>
      <c r="C173" s="487"/>
      <c r="D173" s="487"/>
      <c r="E173" s="487"/>
      <c r="F173" s="487"/>
      <c r="G173" s="487"/>
      <c r="H173" s="487"/>
      <c r="I173" s="487"/>
      <c r="J173" s="487"/>
      <c r="K173" s="487"/>
      <c r="L173" s="487"/>
      <c r="M173" s="487"/>
      <c r="N173" s="487"/>
      <c r="O173" s="487"/>
      <c r="P173" s="487"/>
    </row>
    <row r="174" spans="1:16" ht="14.4" customHeight="1">
      <c r="A174" s="453"/>
      <c r="B174" s="487"/>
      <c r="C174" s="487"/>
      <c r="D174" s="487"/>
      <c r="E174" s="487"/>
      <c r="F174" s="487"/>
      <c r="G174" s="487"/>
      <c r="H174" s="487"/>
      <c r="I174" s="487"/>
      <c r="J174" s="487"/>
      <c r="K174" s="487"/>
      <c r="L174" s="487"/>
      <c r="M174" s="487"/>
      <c r="N174" s="487"/>
      <c r="O174" s="487"/>
      <c r="P174" s="487"/>
    </row>
    <row r="175" spans="1:16" ht="14.4" customHeight="1">
      <c r="A175" s="453"/>
      <c r="B175" s="487"/>
      <c r="C175" s="487"/>
      <c r="D175" s="487"/>
      <c r="E175" s="487"/>
      <c r="F175" s="487"/>
      <c r="G175" s="487"/>
      <c r="H175" s="487"/>
      <c r="I175" s="487"/>
      <c r="J175" s="487"/>
      <c r="K175" s="487"/>
      <c r="L175" s="487"/>
      <c r="M175" s="487"/>
      <c r="N175" s="487"/>
      <c r="O175" s="487"/>
      <c r="P175" s="487"/>
    </row>
    <row r="176" spans="1:16" ht="14.4" customHeight="1">
      <c r="A176" s="456"/>
      <c r="B176" s="487"/>
      <c r="C176" s="487"/>
      <c r="D176" s="487"/>
      <c r="E176" s="487"/>
      <c r="F176" s="487"/>
      <c r="G176" s="487"/>
      <c r="H176" s="487"/>
      <c r="I176" s="487"/>
      <c r="J176" s="487"/>
      <c r="K176" s="487"/>
      <c r="L176" s="487"/>
      <c r="M176" s="487"/>
      <c r="N176" s="487"/>
      <c r="O176" s="487"/>
      <c r="P176" s="487"/>
    </row>
    <row r="177" spans="1:16" ht="14.4" customHeight="1">
      <c r="A177" s="450"/>
      <c r="B177" s="487"/>
      <c r="C177" s="487"/>
      <c r="D177" s="487"/>
      <c r="E177" s="487"/>
      <c r="F177" s="487"/>
      <c r="G177" s="487"/>
      <c r="H177" s="487"/>
      <c r="I177" s="487"/>
      <c r="J177" s="487"/>
      <c r="K177" s="487"/>
      <c r="L177" s="487"/>
      <c r="M177" s="487"/>
      <c r="N177" s="487"/>
      <c r="O177" s="487"/>
      <c r="P177" s="487"/>
    </row>
    <row r="178" spans="1:16" ht="14.4" customHeight="1">
      <c r="A178" s="450"/>
      <c r="B178" s="487"/>
      <c r="C178" s="487"/>
      <c r="D178" s="487"/>
      <c r="E178" s="487"/>
      <c r="F178" s="487"/>
      <c r="G178" s="487"/>
      <c r="H178" s="487"/>
      <c r="I178" s="487"/>
      <c r="J178" s="487"/>
      <c r="K178" s="487"/>
      <c r="L178" s="487"/>
      <c r="M178" s="487"/>
      <c r="N178" s="487"/>
      <c r="O178" s="487"/>
      <c r="P178" s="487"/>
    </row>
    <row r="179" spans="1:16" ht="14.4" customHeight="1">
      <c r="A179" s="456"/>
      <c r="B179" s="487"/>
      <c r="C179" s="487"/>
      <c r="D179" s="487"/>
      <c r="E179" s="487"/>
      <c r="F179" s="487"/>
      <c r="G179" s="487"/>
      <c r="H179" s="487"/>
      <c r="I179" s="487"/>
      <c r="J179" s="487"/>
      <c r="K179" s="487"/>
      <c r="L179" s="487"/>
      <c r="M179" s="487"/>
      <c r="N179" s="487"/>
      <c r="O179" s="487"/>
      <c r="P179" s="487"/>
    </row>
    <row r="180" spans="1:16" ht="14.1" customHeight="1">
      <c r="A180" s="456"/>
      <c r="B180" s="447"/>
      <c r="C180" s="357"/>
      <c r="D180" s="357"/>
      <c r="E180" s="448"/>
      <c r="F180" s="357"/>
      <c r="G180" s="357"/>
      <c r="H180" s="357"/>
      <c r="I180" s="357"/>
      <c r="J180" s="357"/>
    </row>
    <row r="181" spans="1:16" ht="14.1" customHeight="1">
      <c r="A181" s="456"/>
      <c r="B181" s="489"/>
      <c r="C181" s="489"/>
      <c r="D181" s="489"/>
      <c r="E181" s="489"/>
      <c r="F181" s="489"/>
      <c r="G181" s="489"/>
      <c r="H181" s="489"/>
      <c r="I181" s="489"/>
      <c r="J181" s="489"/>
      <c r="K181" s="489"/>
      <c r="L181" s="489"/>
      <c r="M181" s="489"/>
      <c r="N181" s="489"/>
      <c r="O181" s="489"/>
      <c r="P181" s="489"/>
    </row>
    <row r="182" spans="1:16" ht="14.1" customHeight="1">
      <c r="A182" s="456"/>
      <c r="B182" s="489"/>
      <c r="C182" s="489"/>
      <c r="D182" s="489"/>
      <c r="E182" s="489"/>
      <c r="F182" s="489"/>
      <c r="G182" s="489"/>
      <c r="H182" s="489"/>
      <c r="I182" s="489"/>
      <c r="J182" s="489"/>
      <c r="K182" s="489"/>
      <c r="L182" s="489"/>
      <c r="M182" s="489"/>
      <c r="N182" s="489"/>
      <c r="O182" s="489"/>
      <c r="P182" s="489"/>
    </row>
    <row r="183" spans="1:16" ht="14.1" customHeight="1">
      <c r="A183" s="456"/>
      <c r="B183" s="357"/>
      <c r="C183" s="357"/>
      <c r="D183" s="357"/>
      <c r="E183" s="448"/>
      <c r="F183" s="357"/>
      <c r="G183" s="357"/>
      <c r="H183" s="357"/>
      <c r="I183" s="357"/>
      <c r="J183" s="357"/>
    </row>
    <row r="184" spans="1:16" ht="14.1" customHeight="1">
      <c r="A184" s="456"/>
      <c r="B184" s="357"/>
      <c r="C184" s="451"/>
      <c r="D184" s="452"/>
      <c r="E184" s="448"/>
      <c r="F184" s="357"/>
      <c r="G184" s="357"/>
      <c r="H184" s="357"/>
      <c r="I184" s="357"/>
      <c r="J184" s="357"/>
    </row>
    <row r="185" spans="1:16" ht="14.1" customHeight="1">
      <c r="A185" s="456"/>
      <c r="C185" s="451"/>
      <c r="D185" s="357"/>
      <c r="E185" s="448"/>
      <c r="F185" s="357"/>
      <c r="G185" s="357"/>
      <c r="H185" s="357"/>
      <c r="I185" s="357"/>
      <c r="J185" s="357"/>
    </row>
    <row r="186" spans="1:16" ht="14.4" customHeight="1">
      <c r="A186" s="456"/>
      <c r="C186" s="356"/>
      <c r="D186" s="452"/>
      <c r="E186" s="454"/>
      <c r="F186" s="454"/>
      <c r="G186" s="454"/>
      <c r="H186" s="454"/>
      <c r="I186" s="454"/>
      <c r="J186" s="454"/>
      <c r="K186" s="454"/>
      <c r="L186" s="454"/>
      <c r="M186" s="454"/>
      <c r="N186" s="454"/>
      <c r="O186" s="454"/>
      <c r="P186" s="454"/>
    </row>
    <row r="187" spans="1:16" ht="14.4" customHeight="1">
      <c r="A187" s="456"/>
      <c r="C187" s="356"/>
      <c r="D187" s="452"/>
      <c r="E187" s="454"/>
      <c r="F187" s="454"/>
      <c r="G187" s="454"/>
      <c r="H187" s="454"/>
      <c r="I187" s="454"/>
      <c r="J187" s="454"/>
      <c r="K187" s="454"/>
      <c r="L187" s="454"/>
      <c r="M187" s="454"/>
      <c r="N187" s="454"/>
      <c r="O187" s="454"/>
      <c r="P187" s="454"/>
    </row>
    <row r="188" spans="1:16" ht="14.4" customHeight="1">
      <c r="A188" s="456"/>
      <c r="C188" s="335" t="s">
        <v>1304</v>
      </c>
      <c r="D188" s="452"/>
      <c r="E188" s="335"/>
      <c r="G188" s="357"/>
      <c r="H188" s="357"/>
      <c r="I188" s="357"/>
      <c r="J188" s="357"/>
    </row>
    <row r="189" spans="1:16" ht="14.4" customHeight="1">
      <c r="A189" s="453"/>
      <c r="C189" t="s">
        <v>1234</v>
      </c>
      <c r="D189"/>
      <c r="E189"/>
      <c r="F189"/>
      <c r="G189" t="s">
        <v>1235</v>
      </c>
      <c r="H189">
        <v>6</v>
      </c>
      <c r="I189" t="s">
        <v>1231</v>
      </c>
      <c r="J189"/>
      <c r="K189" s="454"/>
      <c r="L189" s="454"/>
      <c r="M189" s="454"/>
      <c r="N189" s="454"/>
      <c r="O189" s="454"/>
      <c r="P189" s="454"/>
    </row>
    <row r="190" spans="1:16" ht="14.4" customHeight="1">
      <c r="A190" s="453"/>
      <c r="C190" t="s">
        <v>1236</v>
      </c>
      <c r="D190"/>
      <c r="E190"/>
      <c r="F190"/>
      <c r="G190" t="s">
        <v>1235</v>
      </c>
      <c r="H190">
        <v>168.3</v>
      </c>
      <c r="I190" t="s">
        <v>351</v>
      </c>
      <c r="J190"/>
      <c r="K190" s="454"/>
      <c r="L190" s="454"/>
      <c r="M190" s="454"/>
      <c r="N190" s="454"/>
      <c r="O190" s="454"/>
      <c r="P190" s="454"/>
    </row>
    <row r="191" spans="1:16" ht="14.4" customHeight="1">
      <c r="A191" s="453"/>
      <c r="C191" t="s">
        <v>1237</v>
      </c>
      <c r="D191"/>
      <c r="E191"/>
      <c r="F191"/>
      <c r="G191" t="s">
        <v>1235</v>
      </c>
      <c r="H191">
        <v>150</v>
      </c>
      <c r="I191" t="s">
        <v>351</v>
      </c>
      <c r="J191"/>
      <c r="K191" s="454"/>
      <c r="L191" s="454"/>
      <c r="M191" s="454"/>
      <c r="N191" s="454"/>
      <c r="O191" s="454"/>
      <c r="P191" s="454"/>
    </row>
    <row r="192" spans="1:16" ht="14.4" customHeight="1">
      <c r="A192" s="453"/>
      <c r="B192" s="356"/>
      <c r="C192" t="s">
        <v>1238</v>
      </c>
      <c r="D192"/>
      <c r="E192"/>
      <c r="F192"/>
      <c r="G192" t="s">
        <v>1235</v>
      </c>
      <c r="H192">
        <v>3.4</v>
      </c>
      <c r="I192" t="s">
        <v>351</v>
      </c>
      <c r="J192"/>
      <c r="K192" s="454"/>
      <c r="L192" s="454"/>
      <c r="M192" s="454"/>
      <c r="N192" s="454"/>
      <c r="O192" s="454"/>
      <c r="P192" s="454"/>
    </row>
    <row r="193" spans="1:16" ht="14.4" customHeight="1">
      <c r="A193" s="453"/>
      <c r="C193" t="s">
        <v>1239</v>
      </c>
      <c r="D193"/>
      <c r="E193"/>
      <c r="F193"/>
      <c r="G193" t="s">
        <v>1235</v>
      </c>
      <c r="H193" t="s">
        <v>1299</v>
      </c>
      <c r="I193"/>
      <c r="J193"/>
    </row>
    <row r="194" spans="1:16" ht="14.4" customHeight="1">
      <c r="A194" s="453"/>
      <c r="C194" t="s">
        <v>1240</v>
      </c>
      <c r="D194"/>
      <c r="E194"/>
      <c r="F194"/>
      <c r="G194" t="s">
        <v>1235</v>
      </c>
      <c r="H194" t="s">
        <v>1298</v>
      </c>
      <c r="I194"/>
      <c r="J194"/>
    </row>
    <row r="195" spans="1:16" ht="14.4" customHeight="1">
      <c r="A195" s="453"/>
      <c r="C195" s="451"/>
      <c r="D195" s="357"/>
      <c r="E195" s="448"/>
      <c r="F195" s="357"/>
      <c r="G195" s="357"/>
      <c r="H195" s="357"/>
      <c r="I195" s="357"/>
      <c r="J195" s="357"/>
    </row>
    <row r="196" spans="1:16" ht="14.4" customHeight="1">
      <c r="A196" s="453"/>
      <c r="B196" s="490" t="s">
        <v>1307</v>
      </c>
      <c r="C196"/>
      <c r="D196"/>
      <c r="E196"/>
      <c r="F196"/>
      <c r="G196"/>
      <c r="H196"/>
      <c r="I196"/>
      <c r="J196"/>
      <c r="K196"/>
      <c r="L196"/>
      <c r="M196"/>
      <c r="N196"/>
    </row>
    <row r="197" spans="1:16" ht="14.4" customHeight="1">
      <c r="A197" s="456"/>
      <c r="B197"/>
      <c r="C197" t="s">
        <v>7</v>
      </c>
      <c r="D197" t="s">
        <v>63</v>
      </c>
      <c r="E197" t="s">
        <v>1242</v>
      </c>
      <c r="F197"/>
      <c r="G197"/>
      <c r="H197"/>
      <c r="I197"/>
      <c r="J197"/>
      <c r="K197"/>
      <c r="L197"/>
      <c r="M197"/>
      <c r="N197"/>
    </row>
    <row r="198" spans="1:16" ht="14.4" customHeight="1">
      <c r="A198" s="456"/>
      <c r="B198"/>
      <c r="C198" t="s">
        <v>1243</v>
      </c>
      <c r="D198" t="s">
        <v>63</v>
      </c>
      <c r="E198" t="s">
        <v>1244</v>
      </c>
      <c r="F198"/>
      <c r="G198"/>
      <c r="H198"/>
      <c r="I198"/>
      <c r="J198"/>
      <c r="K198"/>
      <c r="L198"/>
      <c r="M198"/>
      <c r="N198"/>
    </row>
    <row r="199" spans="1:16" ht="14.4" customHeight="1">
      <c r="A199" s="456"/>
      <c r="B199"/>
      <c r="C199" t="s">
        <v>1243</v>
      </c>
      <c r="D199" t="s">
        <v>63</v>
      </c>
      <c r="E199" t="s">
        <v>1245</v>
      </c>
      <c r="F199"/>
      <c r="G199"/>
      <c r="H199"/>
      <c r="I199"/>
      <c r="J199" t="s">
        <v>1246</v>
      </c>
      <c r="K199" t="s">
        <v>1247</v>
      </c>
      <c r="L199"/>
      <c r="M199" t="s">
        <v>63</v>
      </c>
      <c r="N199" s="491">
        <v>12.35</v>
      </c>
    </row>
    <row r="200" spans="1:16" ht="14.4" customHeight="1">
      <c r="A200" s="456"/>
      <c r="B200"/>
      <c r="C200"/>
      <c r="D200" t="s">
        <v>63</v>
      </c>
      <c r="E200" s="438">
        <f>N199-N200</f>
        <v>11.02</v>
      </c>
      <c r="F200" t="s">
        <v>4</v>
      </c>
      <c r="G200"/>
      <c r="H200"/>
      <c r="I200"/>
      <c r="J200" t="s">
        <v>1248</v>
      </c>
      <c r="K200" t="s">
        <v>1249</v>
      </c>
      <c r="L200"/>
      <c r="M200" t="s">
        <v>63</v>
      </c>
      <c r="N200" s="491">
        <v>1.33</v>
      </c>
    </row>
    <row r="201" spans="1:16" ht="14.4" customHeight="1">
      <c r="A201" s="456"/>
      <c r="B201"/>
      <c r="C201"/>
      <c r="D201"/>
      <c r="E201"/>
      <c r="F201"/>
      <c r="G201"/>
      <c r="H201"/>
      <c r="I201"/>
      <c r="J201"/>
      <c r="K201"/>
      <c r="L201"/>
      <c r="M201"/>
      <c r="N201"/>
    </row>
    <row r="202" spans="1:16" ht="14.4" customHeight="1">
      <c r="A202" s="456"/>
      <c r="B202"/>
      <c r="C202" t="s">
        <v>1250</v>
      </c>
      <c r="D202" t="s">
        <v>63</v>
      </c>
      <c r="E202" s="995" t="s">
        <v>1251</v>
      </c>
      <c r="F202" s="995"/>
      <c r="G202" s="995"/>
      <c r="H202" s="995"/>
      <c r="I202"/>
      <c r="J202"/>
      <c r="K202"/>
      <c r="L202"/>
      <c r="M202"/>
      <c r="N202"/>
    </row>
    <row r="203" spans="1:16" ht="14.4" customHeight="1">
      <c r="A203" s="456"/>
      <c r="B203"/>
      <c r="C203"/>
      <c r="D203"/>
      <c r="E203" s="996" t="s">
        <v>1252</v>
      </c>
      <c r="F203" s="996"/>
      <c r="G203" s="996"/>
      <c r="H203" s="996"/>
      <c r="I203"/>
      <c r="J203"/>
      <c r="K203"/>
      <c r="L203"/>
      <c r="M203"/>
      <c r="N203"/>
    </row>
    <row r="204" spans="1:16" ht="14.4" customHeight="1">
      <c r="A204" s="453"/>
      <c r="B204"/>
      <c r="C204"/>
      <c r="D204" t="s">
        <v>63</v>
      </c>
      <c r="E204" s="438">
        <v>0</v>
      </c>
      <c r="F204" t="s">
        <v>1253</v>
      </c>
      <c r="G204"/>
      <c r="H204"/>
      <c r="I204"/>
      <c r="J204"/>
      <c r="K204"/>
      <c r="L204"/>
      <c r="M204"/>
      <c r="N204"/>
      <c r="O204" s="455"/>
      <c r="P204" s="455"/>
    </row>
    <row r="205" spans="1:16" ht="14.4" customHeight="1">
      <c r="A205" s="453"/>
      <c r="B205"/>
      <c r="C205"/>
      <c r="D205"/>
      <c r="E205"/>
      <c r="F205"/>
      <c r="G205"/>
      <c r="H205"/>
      <c r="I205"/>
      <c r="J205"/>
      <c r="K205"/>
      <c r="L205"/>
      <c r="M205"/>
      <c r="N205"/>
    </row>
    <row r="206" spans="1:16" ht="14.4" customHeight="1">
      <c r="A206" s="450"/>
      <c r="B206"/>
      <c r="C206" t="s">
        <v>1254</v>
      </c>
      <c r="D206" t="s">
        <v>63</v>
      </c>
      <c r="E206" s="995" t="s">
        <v>1255</v>
      </c>
      <c r="F206" s="995"/>
      <c r="G206" s="995"/>
      <c r="H206" s="995"/>
      <c r="I206" s="995"/>
      <c r="J206"/>
      <c r="K206"/>
      <c r="L206"/>
      <c r="M206"/>
      <c r="N206"/>
    </row>
    <row r="207" spans="1:16" ht="14.4" customHeight="1">
      <c r="A207" s="450"/>
      <c r="B207"/>
      <c r="C207"/>
      <c r="D207"/>
      <c r="E207" s="996" t="s">
        <v>1256</v>
      </c>
      <c r="F207" s="996"/>
      <c r="G207" s="996"/>
      <c r="H207" s="996"/>
      <c r="I207" s="996"/>
      <c r="J207"/>
      <c r="K207"/>
      <c r="L207"/>
      <c r="M207"/>
      <c r="N207"/>
    </row>
    <row r="208" spans="1:16" ht="14.4" customHeight="1">
      <c r="A208" s="450"/>
      <c r="B208"/>
      <c r="C208"/>
      <c r="D208" t="s">
        <v>63</v>
      </c>
      <c r="E208" s="438">
        <v>0</v>
      </c>
      <c r="F208" t="s">
        <v>1257</v>
      </c>
      <c r="G208"/>
      <c r="H208"/>
      <c r="I208"/>
      <c r="J208"/>
      <c r="K208"/>
      <c r="L208"/>
      <c r="M208"/>
      <c r="N208"/>
    </row>
    <row r="209" spans="1:16" ht="14.4" customHeight="1">
      <c r="A209" s="450"/>
      <c r="B209"/>
      <c r="C209"/>
      <c r="D209"/>
      <c r="E209"/>
      <c r="F209"/>
      <c r="G209"/>
      <c r="H209"/>
      <c r="I209"/>
      <c r="J209"/>
      <c r="K209"/>
      <c r="L209"/>
      <c r="M209"/>
      <c r="N209"/>
    </row>
    <row r="210" spans="1:16" ht="14.4" customHeight="1">
      <c r="A210" s="450"/>
      <c r="B210"/>
      <c r="C210" s="490" t="s">
        <v>1258</v>
      </c>
      <c r="D210"/>
      <c r="E210"/>
      <c r="F210"/>
      <c r="G210"/>
      <c r="H210"/>
      <c r="I210"/>
      <c r="J210"/>
      <c r="K210"/>
      <c r="L210"/>
      <c r="M210"/>
      <c r="N210"/>
    </row>
    <row r="211" spans="1:16" ht="14.4" customHeight="1">
      <c r="A211" s="450"/>
      <c r="B211"/>
      <c r="C211" s="490" t="s">
        <v>1259</v>
      </c>
      <c r="D211"/>
      <c r="E211"/>
      <c r="F211"/>
      <c r="G211"/>
      <c r="H211"/>
      <c r="I211"/>
      <c r="J211"/>
      <c r="K211"/>
      <c r="L211"/>
      <c r="M211"/>
      <c r="N211"/>
    </row>
    <row r="212" spans="1:16" ht="14.4" customHeight="1">
      <c r="A212" s="450"/>
      <c r="B212"/>
      <c r="C212"/>
      <c r="D212" t="s">
        <v>1260</v>
      </c>
      <c r="E212"/>
      <c r="F212"/>
      <c r="G212"/>
      <c r="H212"/>
      <c r="I212"/>
      <c r="J212" t="s">
        <v>1261</v>
      </c>
      <c r="K212"/>
      <c r="L212"/>
      <c r="M212"/>
      <c r="N212"/>
    </row>
    <row r="213" spans="1:16" ht="14.4" customHeight="1">
      <c r="A213" s="450"/>
      <c r="B213"/>
      <c r="C213"/>
      <c r="D213" t="s">
        <v>158</v>
      </c>
      <c r="E213" t="s">
        <v>63</v>
      </c>
      <c r="F213" s="992" t="s">
        <v>1262</v>
      </c>
      <c r="G213" s="992"/>
      <c r="H213"/>
      <c r="I213"/>
      <c r="J213" t="s">
        <v>1263</v>
      </c>
      <c r="K213" t="s">
        <v>1264</v>
      </c>
      <c r="L213" s="997">
        <v>2.2349E-6</v>
      </c>
      <c r="M213" s="997"/>
      <c r="N213" s="997"/>
      <c r="O213" s="335" t="s">
        <v>1265</v>
      </c>
    </row>
    <row r="214" spans="1:16" ht="14.4" customHeight="1">
      <c r="A214" s="450"/>
      <c r="B214"/>
      <c r="C214"/>
      <c r="D214"/>
      <c r="E214"/>
      <c r="F214" s="998" t="s">
        <v>1266</v>
      </c>
      <c r="G214" s="998"/>
      <c r="H214"/>
      <c r="I214"/>
      <c r="J214"/>
      <c r="K214"/>
      <c r="L214" s="993">
        <f>L213*1000000</f>
        <v>2.2349000000000001</v>
      </c>
      <c r="M214" s="993"/>
      <c r="N214"/>
      <c r="O214" s="335" t="s">
        <v>1267</v>
      </c>
    </row>
    <row r="215" spans="1:16" ht="14.4" customHeight="1">
      <c r="A215" s="450"/>
      <c r="B215"/>
      <c r="C215"/>
      <c r="D215" t="s">
        <v>158</v>
      </c>
      <c r="E215" t="s">
        <v>63</v>
      </c>
      <c r="F215" s="993">
        <f>(E165*H161)/L213</f>
        <v>192398.3786333715</v>
      </c>
      <c r="G215" s="993"/>
      <c r="H215" t="str">
        <f>_xlfn.IFS(F215&lt;=2300,"Laminar",F215&lt;=3500,"Transitional",F215&gt;3500,"Turbulent")</f>
        <v>Turbulent</v>
      </c>
      <c r="I215"/>
      <c r="J215" t="s">
        <v>1303</v>
      </c>
      <c r="K215"/>
      <c r="L215"/>
      <c r="M215"/>
      <c r="N215"/>
    </row>
    <row r="216" spans="1:16" ht="14.4" customHeight="1">
      <c r="A216" s="450"/>
      <c r="B216"/>
      <c r="C216"/>
      <c r="D216"/>
      <c r="E216"/>
      <c r="F216"/>
      <c r="G216"/>
      <c r="H216"/>
      <c r="I216"/>
      <c r="J216"/>
      <c r="K216"/>
      <c r="L216"/>
      <c r="M216"/>
      <c r="N216"/>
    </row>
    <row r="217" spans="1:16" ht="14.4" customHeight="1">
      <c r="A217" s="450"/>
      <c r="B217"/>
      <c r="C217"/>
      <c r="D217" t="s">
        <v>1268</v>
      </c>
      <c r="E217"/>
      <c r="F217"/>
      <c r="G217"/>
      <c r="H217"/>
      <c r="I217"/>
      <c r="J217"/>
      <c r="K217" t="s">
        <v>1269</v>
      </c>
      <c r="L217"/>
      <c r="M217"/>
      <c r="N217"/>
    </row>
    <row r="218" spans="1:16" ht="14.4" customHeight="1">
      <c r="A218" s="450"/>
      <c r="B218"/>
      <c r="C218"/>
      <c r="D218"/>
      <c r="E218"/>
      <c r="F218"/>
      <c r="G218"/>
      <c r="H218"/>
      <c r="I218"/>
      <c r="J218"/>
      <c r="K218" t="s">
        <v>1270</v>
      </c>
      <c r="L218"/>
      <c r="M218"/>
      <c r="N218" t="s">
        <v>577</v>
      </c>
      <c r="O218" s="881">
        <v>1.4999999999999999E-2</v>
      </c>
      <c r="P218" s="881"/>
    </row>
    <row r="219" spans="1:16" ht="14.4" customHeight="1">
      <c r="A219" s="450"/>
      <c r="B219"/>
      <c r="C219"/>
      <c r="D219"/>
      <c r="E219"/>
      <c r="F219"/>
      <c r="G219"/>
      <c r="H219"/>
      <c r="I219"/>
      <c r="J219"/>
      <c r="K219"/>
      <c r="L219"/>
      <c r="M219"/>
      <c r="N219"/>
    </row>
    <row r="220" spans="1:16" ht="14.4" customHeight="1">
      <c r="A220" s="450"/>
      <c r="B220"/>
      <c r="C220"/>
      <c r="D220"/>
      <c r="E220"/>
      <c r="F220"/>
      <c r="G220"/>
      <c r="H220"/>
      <c r="I220"/>
      <c r="J220"/>
      <c r="K220"/>
      <c r="L220"/>
      <c r="M220"/>
      <c r="N220"/>
    </row>
    <row r="221" spans="1:16" ht="14.4" customHeight="1">
      <c r="A221" s="450"/>
      <c r="B221"/>
      <c r="C221"/>
      <c r="D221"/>
      <c r="E221"/>
      <c r="F221"/>
      <c r="G221"/>
      <c r="H221"/>
      <c r="I221"/>
      <c r="J221"/>
      <c r="K221"/>
      <c r="L221"/>
      <c r="M221"/>
      <c r="N221"/>
    </row>
    <row r="222" spans="1:16" ht="14.4" customHeight="1">
      <c r="A222" s="450"/>
      <c r="B222"/>
      <c r="C222"/>
      <c r="D222"/>
      <c r="E222"/>
      <c r="F222"/>
      <c r="G222"/>
      <c r="H222"/>
      <c r="I222"/>
      <c r="J222"/>
      <c r="K222"/>
      <c r="L222"/>
      <c r="M222"/>
      <c r="N222"/>
    </row>
    <row r="223" spans="1:16" ht="14.4" customHeight="1">
      <c r="A223" s="450"/>
      <c r="B223"/>
      <c r="C223"/>
      <c r="D223"/>
      <c r="E223"/>
      <c r="F223"/>
      <c r="G223"/>
      <c r="H223"/>
      <c r="I223"/>
      <c r="J223"/>
      <c r="K223"/>
      <c r="L223"/>
      <c r="M223"/>
      <c r="N223"/>
    </row>
    <row r="224" spans="1:16" ht="14.4" customHeight="1">
      <c r="A224" s="487"/>
      <c r="B224"/>
      <c r="C224"/>
      <c r="D224"/>
      <c r="E224"/>
      <c r="F224"/>
      <c r="G224"/>
      <c r="H224"/>
      <c r="I224"/>
      <c r="J224"/>
      <c r="K224"/>
      <c r="L224"/>
      <c r="M224"/>
      <c r="N224"/>
    </row>
    <row r="225" spans="1:14" ht="14.4" customHeight="1">
      <c r="A225" s="487"/>
      <c r="B225"/>
      <c r="C225"/>
      <c r="D225"/>
      <c r="E225"/>
      <c r="F225"/>
      <c r="G225"/>
      <c r="H225"/>
      <c r="I225"/>
      <c r="J225"/>
      <c r="K225"/>
      <c r="L225"/>
      <c r="M225"/>
      <c r="N225"/>
    </row>
    <row r="226" spans="1:14" ht="14.4" customHeight="1">
      <c r="A226" s="346"/>
      <c r="B226"/>
      <c r="C226"/>
      <c r="D226" t="s">
        <v>1271</v>
      </c>
      <c r="E226"/>
      <c r="F226"/>
      <c r="G226"/>
      <c r="H226" t="s">
        <v>577</v>
      </c>
      <c r="I226" s="999">
        <f>O218/H191</f>
        <v>9.9999999999999991E-5</v>
      </c>
      <c r="J226" s="999"/>
      <c r="K226" s="999"/>
      <c r="L226" s="999"/>
      <c r="M226"/>
      <c r="N226"/>
    </row>
    <row r="227" spans="1:14" ht="14.4" customHeight="1">
      <c r="B227"/>
      <c r="C227"/>
      <c r="D227" t="s">
        <v>1272</v>
      </c>
      <c r="E227"/>
      <c r="F227"/>
      <c r="G227"/>
      <c r="H227"/>
      <c r="I227"/>
      <c r="J227"/>
      <c r="K227"/>
      <c r="L227"/>
      <c r="M227"/>
      <c r="N227"/>
    </row>
    <row r="228" spans="1:14" ht="14.4" customHeight="1">
      <c r="B228"/>
      <c r="C228"/>
      <c r="D228" t="s">
        <v>1273</v>
      </c>
      <c r="E228"/>
      <c r="F228"/>
      <c r="G228"/>
      <c r="H228"/>
      <c r="I228"/>
      <c r="J228"/>
      <c r="K228"/>
      <c r="L228"/>
      <c r="M228"/>
      <c r="N228"/>
    </row>
    <row r="229" spans="1:14" ht="14.4" customHeight="1">
      <c r="B229"/>
      <c r="C229"/>
      <c r="D229"/>
      <c r="E229"/>
      <c r="F229"/>
      <c r="G229"/>
      <c r="H229"/>
      <c r="I229"/>
      <c r="J229"/>
      <c r="K229"/>
      <c r="L229"/>
      <c r="M229"/>
      <c r="N229"/>
    </row>
    <row r="230" spans="1:14" ht="14.4" customHeight="1">
      <c r="B230"/>
      <c r="C230"/>
      <c r="D230" t="s">
        <v>1274</v>
      </c>
      <c r="E230"/>
      <c r="F230"/>
      <c r="G230"/>
      <c r="H230"/>
      <c r="I230"/>
      <c r="J230"/>
      <c r="K230"/>
      <c r="L230"/>
      <c r="M230"/>
      <c r="N230"/>
    </row>
    <row r="231" spans="1:14" ht="14.4" customHeight="1">
      <c r="B231"/>
      <c r="C231"/>
      <c r="D231" s="342" t="s">
        <v>1275</v>
      </c>
      <c r="E231" s="342" t="s">
        <v>63</v>
      </c>
      <c r="F231" s="992">
        <v>1.6214995182684998E-2</v>
      </c>
      <c r="G231" s="992"/>
      <c r="H231"/>
      <c r="I231"/>
      <c r="J231"/>
      <c r="K231"/>
      <c r="L231"/>
      <c r="M231"/>
      <c r="N231"/>
    </row>
    <row r="232" spans="1:14" ht="14.4" customHeight="1">
      <c r="B232"/>
      <c r="C232"/>
      <c r="D232" s="342"/>
      <c r="E232" s="342"/>
      <c r="F232" s="342"/>
      <c r="G232"/>
      <c r="H232"/>
      <c r="I232"/>
      <c r="J232"/>
      <c r="K232"/>
      <c r="L232"/>
      <c r="M232"/>
      <c r="N232"/>
    </row>
    <row r="233" spans="1:14" ht="14.4" customHeight="1">
      <c r="B233"/>
      <c r="C233"/>
      <c r="D233" t="s">
        <v>1260</v>
      </c>
      <c r="E233"/>
      <c r="F233"/>
      <c r="G233"/>
      <c r="H233"/>
      <c r="I233"/>
      <c r="J233"/>
      <c r="K233"/>
      <c r="L233"/>
      <c r="M233"/>
      <c r="N233"/>
    </row>
    <row r="234" spans="1:14" ht="14.4" customHeight="1">
      <c r="B234"/>
      <c r="C234"/>
      <c r="D234" t="s">
        <v>1276</v>
      </c>
      <c r="E234"/>
      <c r="F234" t="s">
        <v>63</v>
      </c>
      <c r="G234" t="s">
        <v>1277</v>
      </c>
      <c r="H234"/>
      <c r="I234"/>
      <c r="J234"/>
      <c r="K234"/>
      <c r="L234"/>
      <c r="M234"/>
      <c r="N234"/>
    </row>
    <row r="235" spans="1:14" ht="14.4" customHeight="1">
      <c r="B235"/>
      <c r="C235"/>
      <c r="D235" t="s">
        <v>1278</v>
      </c>
      <c r="E235"/>
      <c r="F235"/>
      <c r="G235"/>
      <c r="H235"/>
      <c r="I235"/>
      <c r="J235"/>
      <c r="K235"/>
      <c r="L235"/>
      <c r="M235"/>
      <c r="N235"/>
    </row>
    <row r="236" spans="1:14" ht="14.4" customHeight="1">
      <c r="B236"/>
      <c r="C236"/>
      <c r="D236"/>
      <c r="E236" t="s">
        <v>1279</v>
      </c>
      <c r="F236" t="s">
        <v>1280</v>
      </c>
      <c r="G236"/>
      <c r="H236"/>
      <c r="I236"/>
      <c r="J236" t="s">
        <v>63</v>
      </c>
      <c r="K236" s="491">
        <v>210</v>
      </c>
      <c r="L236" t="s">
        <v>4</v>
      </c>
      <c r="M236"/>
      <c r="N236"/>
    </row>
    <row r="237" spans="1:14" ht="14.4" customHeight="1">
      <c r="B237"/>
      <c r="C237"/>
      <c r="D237"/>
      <c r="E237" t="s">
        <v>1281</v>
      </c>
      <c r="F237" t="s">
        <v>1282</v>
      </c>
      <c r="G237"/>
      <c r="H237"/>
      <c r="I237"/>
      <c r="J237" t="s">
        <v>63</v>
      </c>
      <c r="K237" s="491">
        <f>H161</f>
        <v>3</v>
      </c>
      <c r="L237" t="s">
        <v>45</v>
      </c>
      <c r="M237"/>
      <c r="N237"/>
    </row>
    <row r="238" spans="1:14" ht="14.4" customHeight="1">
      <c r="B238"/>
      <c r="C238"/>
      <c r="D238" t="s">
        <v>1276</v>
      </c>
      <c r="E238"/>
      <c r="F238" t="s">
        <v>63</v>
      </c>
      <c r="G238" s="993">
        <f>F231*K236*(K237^2)/(E165*2*9.8)</f>
        <v>10.90898408453381</v>
      </c>
      <c r="H238" s="993"/>
      <c r="I238" t="s">
        <v>4</v>
      </c>
      <c r="J238"/>
      <c r="K238"/>
      <c r="L238"/>
      <c r="M238"/>
      <c r="N238"/>
    </row>
    <row r="239" spans="1:14" ht="14.4" customHeight="1">
      <c r="B239"/>
      <c r="C239"/>
      <c r="D239"/>
      <c r="E239"/>
      <c r="F239"/>
      <c r="G239"/>
      <c r="H239"/>
      <c r="I239"/>
      <c r="J239"/>
      <c r="K239"/>
      <c r="L239"/>
      <c r="M239"/>
      <c r="N239"/>
    </row>
    <row r="240" spans="1:14" ht="14.4" customHeight="1">
      <c r="B240"/>
      <c r="C240"/>
      <c r="D240" t="s">
        <v>1283</v>
      </c>
      <c r="E240"/>
      <c r="F240"/>
      <c r="G240"/>
      <c r="H240"/>
      <c r="I240"/>
      <c r="J240"/>
      <c r="K240"/>
      <c r="L240"/>
      <c r="M240"/>
      <c r="N240"/>
    </row>
    <row r="241" spans="2:14" ht="14.4" customHeight="1">
      <c r="B241"/>
      <c r="C241"/>
      <c r="D241" t="s">
        <v>1284</v>
      </c>
      <c r="E241"/>
      <c r="F241"/>
      <c r="G241"/>
      <c r="H241"/>
      <c r="I241"/>
      <c r="J241"/>
      <c r="K241"/>
      <c r="L241"/>
      <c r="M241"/>
      <c r="N241"/>
    </row>
    <row r="242" spans="2:14" ht="14.4" customHeight="1">
      <c r="B242"/>
      <c r="C242"/>
      <c r="D242" s="492" t="s">
        <v>603</v>
      </c>
      <c r="E242" s="994" t="s">
        <v>336</v>
      </c>
      <c r="F242" s="994"/>
      <c r="G242" s="994"/>
      <c r="H242" s="492" t="s">
        <v>547</v>
      </c>
      <c r="I242" s="492" t="s">
        <v>1205</v>
      </c>
      <c r="J242" s="492" t="s">
        <v>1285</v>
      </c>
      <c r="K242"/>
      <c r="L242"/>
      <c r="M242"/>
      <c r="N242"/>
    </row>
    <row r="243" spans="2:14" ht="14.4" customHeight="1">
      <c r="B243"/>
      <c r="C243"/>
      <c r="D243" s="492">
        <v>1</v>
      </c>
      <c r="E243" s="994" t="s">
        <v>1286</v>
      </c>
      <c r="F243" s="994"/>
      <c r="G243" s="994"/>
      <c r="H243" s="492">
        <v>12</v>
      </c>
      <c r="I243" s="492">
        <v>0.17</v>
      </c>
      <c r="J243" s="492">
        <f>H243*I243</f>
        <v>2.04</v>
      </c>
      <c r="K243"/>
      <c r="L243"/>
      <c r="M243"/>
      <c r="N243"/>
    </row>
    <row r="244" spans="2:14" ht="14.4" customHeight="1">
      <c r="B244"/>
      <c r="C244"/>
      <c r="D244" s="492">
        <v>2</v>
      </c>
      <c r="E244" s="994" t="s">
        <v>1287</v>
      </c>
      <c r="F244" s="994"/>
      <c r="G244" s="994"/>
      <c r="H244" s="492">
        <v>8</v>
      </c>
      <c r="I244" s="492">
        <v>0.9</v>
      </c>
      <c r="J244" s="492">
        <f t="shared" ref="J244:J246" si="2">H244*I244</f>
        <v>7.2</v>
      </c>
      <c r="K244"/>
      <c r="L244"/>
      <c r="M244"/>
      <c r="N244"/>
    </row>
    <row r="245" spans="2:14" ht="14.4" customHeight="1">
      <c r="B245"/>
      <c r="C245"/>
      <c r="D245" s="492">
        <v>3</v>
      </c>
      <c r="E245" s="994" t="s">
        <v>1288</v>
      </c>
      <c r="F245" s="994"/>
      <c r="G245" s="994"/>
      <c r="H245" s="492">
        <v>1</v>
      </c>
      <c r="I245" s="492">
        <v>0.57999999999999996</v>
      </c>
      <c r="J245" s="492">
        <f t="shared" si="2"/>
        <v>0.57999999999999996</v>
      </c>
      <c r="K245"/>
      <c r="L245"/>
      <c r="M245"/>
      <c r="N245"/>
    </row>
    <row r="246" spans="2:14" ht="14.4" customHeight="1">
      <c r="B246"/>
      <c r="C246"/>
      <c r="D246" s="492">
        <v>4</v>
      </c>
      <c r="E246" s="994" t="s">
        <v>1289</v>
      </c>
      <c r="F246" s="994"/>
      <c r="G246" s="994"/>
      <c r="H246" s="492">
        <v>8</v>
      </c>
      <c r="I246" s="492">
        <v>1</v>
      </c>
      <c r="J246" s="492">
        <f t="shared" si="2"/>
        <v>8</v>
      </c>
      <c r="K246"/>
      <c r="L246"/>
      <c r="M246"/>
      <c r="N246"/>
    </row>
    <row r="247" spans="2:14" ht="14.4" customHeight="1">
      <c r="B247"/>
      <c r="C247"/>
      <c r="D247"/>
      <c r="E247" s="342"/>
      <c r="F247" s="342"/>
      <c r="G247" s="342"/>
      <c r="H247"/>
      <c r="I247" s="437" t="s">
        <v>1290</v>
      </c>
      <c r="J247" s="437">
        <f>SUM(J243:J246)</f>
        <v>17.82</v>
      </c>
      <c r="K247"/>
      <c r="L247"/>
      <c r="M247"/>
      <c r="N247"/>
    </row>
    <row r="248" spans="2:14" ht="14.4" customHeight="1">
      <c r="B248"/>
      <c r="C248"/>
      <c r="D248"/>
      <c r="E248" s="342"/>
      <c r="F248" s="342"/>
      <c r="G248" s="342"/>
      <c r="H248"/>
      <c r="I248"/>
      <c r="J248"/>
      <c r="K248"/>
      <c r="L248"/>
      <c r="M248"/>
      <c r="N248"/>
    </row>
    <row r="249" spans="2:14" ht="14.4" customHeight="1">
      <c r="B249"/>
      <c r="C249"/>
      <c r="D249" t="s">
        <v>1291</v>
      </c>
      <c r="E249" s="342"/>
      <c r="F249" s="342" t="s">
        <v>63</v>
      </c>
      <c r="G249" t="s">
        <v>1292</v>
      </c>
      <c r="H249"/>
      <c r="I249"/>
      <c r="J249"/>
      <c r="K249"/>
      <c r="L249"/>
      <c r="M249"/>
      <c r="N249"/>
    </row>
    <row r="250" spans="2:14" ht="14.4" customHeight="1">
      <c r="B250"/>
      <c r="C250"/>
      <c r="D250"/>
      <c r="E250" s="342"/>
      <c r="F250" s="342" t="s">
        <v>63</v>
      </c>
      <c r="G250" s="992">
        <f>(J247*(K237^2))/(2*9.8)</f>
        <v>8.1826530612244888</v>
      </c>
      <c r="H250" s="992"/>
      <c r="I250" t="s">
        <v>4</v>
      </c>
      <c r="J250"/>
      <c r="K250"/>
      <c r="L250"/>
      <c r="M250"/>
      <c r="N250"/>
    </row>
    <row r="251" spans="2:14" ht="14.4" customHeight="1">
      <c r="B251"/>
      <c r="C251"/>
      <c r="D251"/>
      <c r="E251" s="342"/>
      <c r="F251" s="342"/>
      <c r="G251" s="342"/>
      <c r="H251" s="342"/>
      <c r="I251"/>
      <c r="J251"/>
      <c r="K251"/>
      <c r="L251"/>
      <c r="M251"/>
      <c r="N251"/>
    </row>
    <row r="252" spans="2:14" ht="14.4" customHeight="1">
      <c r="B252"/>
      <c r="C252"/>
      <c r="D252"/>
      <c r="E252" s="488" t="s">
        <v>1258</v>
      </c>
      <c r="F252" s="342" t="s">
        <v>63</v>
      </c>
      <c r="G252" s="969">
        <f>G250+G238</f>
        <v>19.091637145758298</v>
      </c>
      <c r="H252" s="969"/>
      <c r="I252" t="s">
        <v>4</v>
      </c>
      <c r="J252"/>
      <c r="K252"/>
      <c r="L252"/>
      <c r="M252"/>
      <c r="N252"/>
    </row>
    <row r="253" spans="2:14" ht="14.4" customHeight="1">
      <c r="B253"/>
      <c r="C253"/>
      <c r="D253"/>
      <c r="E253" s="342"/>
      <c r="F253" s="342"/>
      <c r="G253" s="342"/>
      <c r="H253"/>
      <c r="I253"/>
      <c r="J253"/>
      <c r="K253"/>
      <c r="L253"/>
      <c r="M253"/>
      <c r="N253"/>
    </row>
    <row r="254" spans="2:14" ht="14.4" customHeight="1">
      <c r="B254" s="490" t="s">
        <v>1297</v>
      </c>
      <c r="C254"/>
      <c r="D254"/>
      <c r="E254" s="342"/>
      <c r="F254" s="342" t="s">
        <v>63</v>
      </c>
      <c r="G254" s="874">
        <f>G252+E208+E204+E200</f>
        <v>30.111637145758298</v>
      </c>
      <c r="H254" s="874"/>
      <c r="I254" t="s">
        <v>4</v>
      </c>
      <c r="J254"/>
      <c r="K254"/>
      <c r="L254"/>
      <c r="M254"/>
      <c r="N254"/>
    </row>
    <row r="255" spans="2:14" ht="14.4" customHeight="1">
      <c r="B255" s="462"/>
      <c r="C255" s="462"/>
      <c r="D255" s="452"/>
      <c r="E255" s="338"/>
    </row>
    <row r="256" spans="2:14" ht="14.4" customHeight="1">
      <c r="B256" s="462"/>
      <c r="C256" s="462"/>
      <c r="D256" s="452"/>
      <c r="E256" s="338"/>
    </row>
    <row r="257" spans="2:18" ht="14.4" customHeight="1">
      <c r="B257" s="462"/>
      <c r="C257" s="462"/>
      <c r="D257" s="452"/>
      <c r="E257" s="338"/>
    </row>
    <row r="259" spans="2:18" ht="14.4" customHeight="1">
      <c r="C259" s="462"/>
      <c r="D259" s="452"/>
      <c r="E259" s="335"/>
    </row>
    <row r="260" spans="2:18" ht="14.4" customHeight="1">
      <c r="D260" s="452"/>
      <c r="G260" s="341"/>
      <c r="J260" s="338"/>
      <c r="L260" s="338"/>
    </row>
    <row r="261" spans="2:18" ht="14.4" customHeight="1">
      <c r="D261" s="452"/>
      <c r="E261" s="349"/>
      <c r="F261" s="349"/>
    </row>
    <row r="262" spans="2:18" ht="14.4" customHeight="1">
      <c r="B262" s="457"/>
      <c r="C262" s="457"/>
      <c r="D262" s="463"/>
      <c r="E262" s="457"/>
      <c r="F262" s="457"/>
      <c r="G262" s="457"/>
      <c r="H262" s="457"/>
      <c r="I262" s="457"/>
      <c r="J262" s="457"/>
      <c r="K262" s="457"/>
      <c r="L262" s="457"/>
      <c r="M262" s="457"/>
      <c r="N262" s="457"/>
      <c r="O262" s="457"/>
      <c r="P262" s="457"/>
      <c r="Q262" s="457"/>
    </row>
    <row r="263" spans="2:18" ht="14.4" customHeight="1">
      <c r="B263" s="464"/>
    </row>
    <row r="264" spans="2:18" ht="14.4" customHeight="1">
      <c r="B264" s="495"/>
      <c r="C264" s="495"/>
      <c r="D264" s="495"/>
      <c r="E264" s="495"/>
      <c r="F264" s="495"/>
      <c r="G264" s="495"/>
      <c r="H264" s="495"/>
      <c r="I264" s="495"/>
      <c r="J264" s="495"/>
      <c r="K264" s="495"/>
      <c r="L264" s="495"/>
      <c r="M264" s="495"/>
      <c r="N264" s="495"/>
      <c r="O264" s="495"/>
      <c r="P264" s="495"/>
      <c r="Q264" s="495"/>
      <c r="R264" s="495"/>
    </row>
    <row r="265" spans="2:18" ht="14.4" customHeight="1">
      <c r="B265" s="495"/>
      <c r="C265" s="495"/>
      <c r="D265" s="495"/>
      <c r="E265" s="495"/>
      <c r="F265" s="495"/>
      <c r="G265" s="495"/>
      <c r="H265" s="495"/>
      <c r="I265" s="495"/>
      <c r="J265" s="495"/>
      <c r="K265" s="495"/>
      <c r="L265" s="495"/>
      <c r="M265" s="495"/>
      <c r="N265" s="495"/>
      <c r="O265" s="495"/>
      <c r="P265" s="495"/>
      <c r="Q265" s="495"/>
      <c r="R265" s="495"/>
    </row>
    <row r="266" spans="2:18" ht="14.4" customHeight="1">
      <c r="B266" s="465"/>
      <c r="C266" s="465"/>
      <c r="D266" s="465"/>
      <c r="E266" s="465"/>
      <c r="F266" s="465"/>
      <c r="G266" s="465"/>
      <c r="H266" s="465"/>
      <c r="I266" s="465"/>
      <c r="J266" s="465"/>
      <c r="K266" s="465"/>
      <c r="L266" s="465"/>
      <c r="M266" s="465"/>
      <c r="N266" s="465"/>
      <c r="O266" s="465"/>
      <c r="P266" s="465"/>
      <c r="Q266" s="465"/>
    </row>
    <row r="267" spans="2:18" ht="14.4" customHeight="1">
      <c r="B267" s="466"/>
      <c r="C267" s="466"/>
      <c r="D267" s="466"/>
      <c r="E267" s="466"/>
      <c r="F267" s="466"/>
      <c r="G267" s="466"/>
      <c r="H267" s="466"/>
      <c r="I267" s="466"/>
      <c r="J267" s="466"/>
      <c r="K267" s="466"/>
      <c r="L267" s="466"/>
      <c r="M267" s="466"/>
      <c r="N267" s="466"/>
      <c r="O267" s="466"/>
      <c r="P267" s="466"/>
      <c r="Q267" s="466"/>
    </row>
    <row r="268" spans="2:18" ht="14.4" customHeight="1">
      <c r="B268" s="466"/>
      <c r="C268" s="466"/>
      <c r="D268" s="466"/>
      <c r="E268" s="466"/>
      <c r="F268" s="466"/>
      <c r="G268" s="466"/>
      <c r="H268" s="466"/>
      <c r="I268" s="466"/>
      <c r="J268" s="466"/>
      <c r="K268" s="466"/>
      <c r="L268" s="466"/>
      <c r="M268" s="466"/>
      <c r="N268" s="466"/>
      <c r="O268" s="466"/>
      <c r="P268" s="466"/>
      <c r="Q268" s="466"/>
    </row>
    <row r="269" spans="2:18" ht="14.4" customHeight="1">
      <c r="B269" s="466"/>
      <c r="C269" s="466"/>
      <c r="D269" s="466"/>
      <c r="E269" s="466"/>
      <c r="F269" s="466"/>
      <c r="G269" s="466"/>
      <c r="H269" s="466"/>
      <c r="I269" s="466"/>
      <c r="J269" s="466"/>
      <c r="K269" s="466"/>
      <c r="L269" s="466"/>
      <c r="M269" s="466"/>
      <c r="N269" s="466"/>
      <c r="O269" s="466"/>
      <c r="P269" s="466"/>
      <c r="Q269" s="466"/>
    </row>
    <row r="270" spans="2:18" ht="14.4" customHeight="1">
      <c r="B270" s="466"/>
      <c r="C270" s="466"/>
      <c r="D270" s="466"/>
      <c r="E270" s="466"/>
      <c r="F270" s="466"/>
      <c r="G270" s="466"/>
      <c r="H270" s="466"/>
      <c r="I270" s="466"/>
      <c r="J270" s="466"/>
      <c r="K270" s="466"/>
      <c r="L270" s="466"/>
      <c r="M270" s="466"/>
      <c r="N270" s="466"/>
      <c r="O270" s="466"/>
      <c r="P270" s="466"/>
      <c r="Q270" s="466"/>
    </row>
    <row r="271" spans="2:18" ht="14.4" customHeight="1">
      <c r="B271" s="466"/>
      <c r="C271" s="466"/>
      <c r="D271" s="466"/>
      <c r="E271" s="466"/>
      <c r="F271" s="466"/>
      <c r="G271" s="466"/>
      <c r="H271" s="466"/>
      <c r="I271" s="466"/>
      <c r="J271" s="466"/>
      <c r="K271" s="466"/>
      <c r="L271" s="466"/>
      <c r="M271" s="466"/>
      <c r="N271" s="466"/>
      <c r="O271" s="466"/>
      <c r="P271" s="466"/>
      <c r="Q271" s="466"/>
    </row>
    <row r="272" spans="2:18" ht="14.4" customHeight="1">
      <c r="B272" s="466"/>
      <c r="C272" s="466"/>
      <c r="D272" s="466"/>
      <c r="E272" s="466"/>
      <c r="F272" s="466"/>
      <c r="G272" s="466"/>
      <c r="H272" s="466"/>
      <c r="I272" s="466"/>
      <c r="J272" s="466"/>
      <c r="K272" s="466"/>
      <c r="L272" s="466"/>
      <c r="M272" s="466"/>
      <c r="N272" s="466"/>
      <c r="O272" s="466"/>
      <c r="P272" s="466"/>
      <c r="Q272" s="466"/>
    </row>
    <row r="273" spans="2:17" ht="14.4" customHeight="1">
      <c r="B273" s="466"/>
      <c r="C273" s="466"/>
      <c r="D273" s="466"/>
      <c r="E273" s="466"/>
      <c r="F273" s="466"/>
      <c r="G273" s="466"/>
      <c r="H273" s="466"/>
      <c r="I273" s="466"/>
      <c r="J273" s="466"/>
      <c r="K273" s="466"/>
      <c r="L273" s="466"/>
      <c r="M273" s="466"/>
      <c r="N273" s="466"/>
      <c r="O273" s="466"/>
      <c r="P273" s="466"/>
      <c r="Q273" s="466"/>
    </row>
    <row r="274" spans="2:17" ht="14.4" customHeight="1">
      <c r="B274" s="466"/>
      <c r="C274" s="466"/>
      <c r="D274" s="466"/>
      <c r="E274" s="466"/>
      <c r="F274" s="466"/>
      <c r="G274" s="466"/>
      <c r="H274" s="466"/>
      <c r="I274" s="466"/>
      <c r="J274" s="466"/>
      <c r="K274" s="466"/>
      <c r="L274" s="466"/>
      <c r="M274" s="466"/>
      <c r="N274" s="466"/>
      <c r="O274" s="466"/>
      <c r="P274" s="466"/>
      <c r="Q274" s="466"/>
    </row>
    <row r="275" spans="2:17" ht="14.4" customHeight="1">
      <c r="B275" s="466"/>
      <c r="C275" s="466"/>
      <c r="D275" s="466"/>
      <c r="E275" s="466"/>
      <c r="F275" s="466"/>
      <c r="G275" s="466"/>
      <c r="H275" s="466"/>
      <c r="I275" s="466"/>
      <c r="J275" s="466"/>
      <c r="K275" s="466"/>
      <c r="L275" s="466"/>
      <c r="M275" s="466"/>
      <c r="N275" s="466"/>
      <c r="O275" s="466"/>
      <c r="P275" s="466"/>
      <c r="Q275" s="466"/>
    </row>
    <row r="276" spans="2:17" ht="14.4" customHeight="1">
      <c r="B276" s="466"/>
      <c r="C276" s="466"/>
      <c r="D276" s="466"/>
      <c r="E276" s="466"/>
      <c r="F276" s="466"/>
      <c r="G276" s="466"/>
      <c r="H276" s="466"/>
      <c r="I276" s="466"/>
      <c r="J276" s="466"/>
      <c r="K276" s="466"/>
      <c r="L276" s="466"/>
      <c r="M276" s="466"/>
      <c r="N276" s="466"/>
      <c r="O276" s="466"/>
      <c r="P276" s="466"/>
      <c r="Q276" s="466"/>
    </row>
    <row r="277" spans="2:17" ht="14.4" customHeight="1">
      <c r="B277" s="466"/>
      <c r="C277" s="466"/>
      <c r="D277" s="466"/>
      <c r="E277" s="466"/>
      <c r="F277" s="466"/>
      <c r="G277" s="466"/>
      <c r="H277" s="466"/>
      <c r="I277" s="466"/>
      <c r="J277" s="466"/>
      <c r="K277" s="466"/>
      <c r="L277" s="466"/>
      <c r="M277" s="466"/>
      <c r="N277" s="466"/>
      <c r="O277" s="466"/>
      <c r="P277" s="466"/>
      <c r="Q277" s="466"/>
    </row>
    <row r="278" spans="2:17" ht="14.4" customHeight="1">
      <c r="C278" s="341"/>
      <c r="D278" s="461"/>
    </row>
    <row r="279" spans="2:17" ht="14.4" customHeight="1">
      <c r="D279" s="461"/>
      <c r="E279" s="338"/>
      <c r="F279" s="349"/>
      <c r="G279" s="349"/>
    </row>
    <row r="280" spans="2:17" ht="14.4" customHeight="1">
      <c r="D280" s="461"/>
      <c r="E280" s="343"/>
    </row>
    <row r="281" spans="2:17" ht="14.4" customHeight="1">
      <c r="C281" s="341"/>
      <c r="D281" s="461"/>
      <c r="E281" s="343"/>
      <c r="F281" s="359"/>
    </row>
    <row r="282" spans="2:17" ht="14.4" customHeight="1">
      <c r="C282" s="341"/>
      <c r="D282" s="461"/>
      <c r="E282" s="343"/>
      <c r="F282" s="359"/>
    </row>
    <row r="284" spans="2:17" ht="14.4" customHeight="1">
      <c r="L284" s="349"/>
      <c r="M284" s="349"/>
    </row>
    <row r="285" spans="2:17" ht="14.4" customHeight="1">
      <c r="C285" s="341"/>
      <c r="D285" s="461"/>
      <c r="G285" s="336"/>
      <c r="J285" s="341"/>
      <c r="K285" s="461"/>
      <c r="L285" s="349"/>
      <c r="M285" s="349"/>
    </row>
    <row r="286" spans="2:17" ht="14.4" customHeight="1">
      <c r="C286" s="341"/>
      <c r="D286" s="461"/>
      <c r="E286" s="335"/>
      <c r="G286" s="336"/>
      <c r="J286" s="341"/>
      <c r="K286" s="461"/>
      <c r="N286" s="336"/>
    </row>
    <row r="288" spans="2:17" ht="14.4" customHeight="1">
      <c r="B288" s="341"/>
      <c r="C288" s="341"/>
      <c r="D288" s="461"/>
      <c r="I288" s="341"/>
      <c r="J288" s="461"/>
      <c r="K288" s="336"/>
    </row>
    <row r="289" spans="2:15" ht="14.4" customHeight="1">
      <c r="B289" s="341"/>
      <c r="D289" s="461"/>
      <c r="E289" s="338"/>
      <c r="J289" s="461"/>
    </row>
    <row r="290" spans="2:15" ht="14.4" customHeight="1">
      <c r="B290" s="341"/>
      <c r="C290" s="341"/>
      <c r="D290" s="461"/>
      <c r="E290" s="335"/>
      <c r="I290" s="341"/>
      <c r="J290" s="461"/>
    </row>
    <row r="291" spans="2:15" ht="14.4" customHeight="1">
      <c r="B291" s="341"/>
      <c r="D291" s="461"/>
      <c r="E291" s="343"/>
      <c r="J291" s="461"/>
      <c r="K291" s="349"/>
      <c r="L291" s="349"/>
    </row>
    <row r="292" spans="2:15" ht="14.4" customHeight="1">
      <c r="D292" s="461"/>
      <c r="E292" s="343"/>
      <c r="J292" s="461"/>
      <c r="K292" s="349"/>
      <c r="L292" s="349"/>
    </row>
    <row r="293" spans="2:15" ht="14.4" customHeight="1">
      <c r="C293" s="341"/>
      <c r="D293" s="461"/>
      <c r="E293" s="349"/>
      <c r="F293" s="338"/>
      <c r="G293" s="349"/>
      <c r="H293" s="349"/>
      <c r="I293" s="341"/>
      <c r="J293" s="461"/>
      <c r="K293" s="349"/>
      <c r="L293" s="349"/>
      <c r="M293" s="338"/>
      <c r="N293" s="349"/>
      <c r="O293" s="349"/>
    </row>
    <row r="294" spans="2:15" ht="14.4" customHeight="1">
      <c r="C294" s="341"/>
      <c r="D294" s="461"/>
      <c r="E294" s="343"/>
      <c r="J294" s="461"/>
      <c r="K294" s="349"/>
      <c r="L294" s="349"/>
    </row>
    <row r="295" spans="2:15" ht="14.4" customHeight="1">
      <c r="C295" s="341"/>
      <c r="D295" s="461"/>
      <c r="E295" s="338"/>
      <c r="I295" s="341"/>
      <c r="J295" s="461"/>
      <c r="K295" s="336"/>
    </row>
    <row r="296" spans="2:15" ht="14.4" customHeight="1">
      <c r="D296" s="461"/>
      <c r="E296" s="349"/>
      <c r="F296" s="338"/>
      <c r="G296" s="349"/>
      <c r="H296" s="349"/>
      <c r="J296" s="461"/>
      <c r="K296" s="349"/>
      <c r="L296" s="349"/>
      <c r="M296" s="338"/>
      <c r="N296" s="349"/>
      <c r="O296" s="349"/>
    </row>
    <row r="297" spans="2:15" ht="14.4" customHeight="1">
      <c r="D297" s="461"/>
      <c r="E297" s="343"/>
      <c r="J297" s="461"/>
      <c r="K297" s="349"/>
      <c r="L297" s="349"/>
    </row>
    <row r="298" spans="2:15" ht="14.4" customHeight="1">
      <c r="D298" s="461"/>
      <c r="E298" s="343"/>
      <c r="J298" s="461"/>
      <c r="K298" s="343"/>
    </row>
    <row r="299" spans="2:15" ht="14.4" customHeight="1">
      <c r="B299" s="341"/>
      <c r="C299" s="341"/>
      <c r="D299" s="461"/>
      <c r="E299" s="338"/>
      <c r="I299" s="341"/>
      <c r="J299" s="461"/>
    </row>
    <row r="300" spans="2:15" ht="14.4" customHeight="1">
      <c r="C300" s="341"/>
      <c r="D300" s="461"/>
      <c r="E300" s="338"/>
      <c r="I300" s="341"/>
      <c r="J300" s="461"/>
    </row>
    <row r="301" spans="2:15" ht="14.4" customHeight="1">
      <c r="C301" s="359"/>
      <c r="D301" s="496"/>
      <c r="E301" s="467"/>
      <c r="F301" s="442"/>
      <c r="I301" s="359"/>
      <c r="J301" s="496"/>
      <c r="K301" s="467"/>
      <c r="L301" s="442"/>
    </row>
    <row r="302" spans="2:15" ht="14.4" customHeight="1">
      <c r="C302" s="359"/>
      <c r="D302" s="496"/>
      <c r="E302" s="359"/>
      <c r="F302" s="359"/>
      <c r="G302" s="359"/>
      <c r="H302" s="347"/>
      <c r="I302" s="359"/>
      <c r="J302" s="496"/>
      <c r="K302" s="359"/>
      <c r="L302" s="359"/>
      <c r="M302" s="359"/>
      <c r="N302" s="347"/>
    </row>
    <row r="303" spans="2:15" ht="14.4" customHeight="1">
      <c r="C303" s="344"/>
      <c r="D303" s="461"/>
      <c r="E303" s="338"/>
      <c r="I303" s="344"/>
      <c r="J303" s="461"/>
    </row>
    <row r="304" spans="2:15" ht="14.4" customHeight="1">
      <c r="C304" s="344"/>
      <c r="D304" s="461"/>
      <c r="E304" s="338"/>
      <c r="I304" s="344"/>
      <c r="J304" s="461"/>
      <c r="K304" s="338"/>
    </row>
    <row r="305" spans="2:10" ht="14.4" customHeight="1">
      <c r="H305" s="468"/>
    </row>
    <row r="306" spans="2:10" ht="14.4" customHeight="1">
      <c r="H306" s="468"/>
      <c r="I306" s="338"/>
      <c r="J306" s="338"/>
    </row>
    <row r="307" spans="2:10" ht="14.4" customHeight="1">
      <c r="H307" s="468"/>
    </row>
    <row r="308" spans="2:10" ht="14.4" customHeight="1">
      <c r="H308" s="468"/>
      <c r="I308" s="338"/>
      <c r="J308" s="338"/>
    </row>
    <row r="309" spans="2:10" ht="14.4" customHeight="1">
      <c r="B309" s="348"/>
    </row>
    <row r="311" spans="2:10" ht="14.4" customHeight="1">
      <c r="C311" s="336"/>
      <c r="E311" s="335"/>
      <c r="G311" s="336"/>
    </row>
    <row r="312" spans="2:10" ht="14.4" customHeight="1">
      <c r="D312" s="461"/>
      <c r="E312" s="469"/>
      <c r="F312" s="469"/>
      <c r="G312" s="470"/>
      <c r="H312" s="469"/>
      <c r="I312" s="469"/>
    </row>
    <row r="313" spans="2:10" ht="14.4" customHeight="1">
      <c r="D313" s="471"/>
      <c r="E313" s="469"/>
      <c r="F313" s="457"/>
      <c r="G313" s="463"/>
      <c r="H313" s="457"/>
      <c r="I313" s="457"/>
    </row>
    <row r="314" spans="2:10" ht="14.4" customHeight="1">
      <c r="D314" s="472"/>
      <c r="E314" s="469"/>
      <c r="F314" s="457"/>
      <c r="G314" s="463"/>
      <c r="H314" s="457"/>
      <c r="I314" s="457"/>
    </row>
    <row r="315" spans="2:10" ht="14.4" customHeight="1">
      <c r="I315" s="457"/>
    </row>
    <row r="316" spans="2:10" ht="14.4" customHeight="1">
      <c r="D316" s="461"/>
      <c r="E316" s="463"/>
      <c r="F316" s="461"/>
      <c r="G316" s="471"/>
      <c r="I316" s="457"/>
    </row>
    <row r="317" spans="2:10" ht="14.4" customHeight="1">
      <c r="D317" s="461"/>
      <c r="E317" s="457"/>
      <c r="F317" s="457"/>
      <c r="G317" s="463"/>
      <c r="H317" s="457"/>
      <c r="I317" s="457"/>
    </row>
    <row r="318" spans="2:10" ht="14.4" customHeight="1">
      <c r="E318" s="335"/>
      <c r="F318" s="457"/>
      <c r="G318" s="463"/>
      <c r="H318" s="457"/>
      <c r="I318" s="457"/>
    </row>
    <row r="319" spans="2:10" ht="14.4" customHeight="1">
      <c r="D319" s="336"/>
      <c r="E319" s="335"/>
      <c r="G319" s="336"/>
    </row>
    <row r="320" spans="2:10" ht="14.4" customHeight="1">
      <c r="D320" s="336"/>
      <c r="E320" s="335"/>
      <c r="G320" s="336"/>
    </row>
    <row r="321" spans="3:9" ht="14.4" customHeight="1">
      <c r="D321" s="336"/>
      <c r="E321" s="335"/>
      <c r="G321" s="336"/>
    </row>
    <row r="322" spans="3:9" ht="14.4" customHeight="1">
      <c r="D322" s="336"/>
      <c r="E322" s="335"/>
      <c r="G322" s="336"/>
    </row>
    <row r="323" spans="3:9" ht="14.4" customHeight="1">
      <c r="D323" s="336"/>
      <c r="E323" s="335"/>
      <c r="G323" s="336"/>
    </row>
    <row r="324" spans="3:9" ht="14.4" customHeight="1">
      <c r="D324" s="336"/>
      <c r="E324" s="335"/>
      <c r="G324" s="336"/>
    </row>
    <row r="325" spans="3:9" ht="14.4" customHeight="1">
      <c r="D325" s="336"/>
      <c r="E325" s="335"/>
      <c r="G325" s="336"/>
    </row>
    <row r="326" spans="3:9" ht="14.4" customHeight="1">
      <c r="D326" s="336"/>
      <c r="E326" s="335"/>
      <c r="G326" s="336"/>
    </row>
    <row r="327" spans="3:9" ht="14.4" customHeight="1">
      <c r="G327" s="336"/>
    </row>
    <row r="328" spans="3:9" ht="14.4" customHeight="1">
      <c r="C328" s="473"/>
      <c r="D328" s="461"/>
      <c r="E328" s="469"/>
      <c r="F328" s="469"/>
    </row>
    <row r="329" spans="3:9" ht="14.4" customHeight="1">
      <c r="D329" s="461"/>
      <c r="E329" s="457"/>
      <c r="F329" s="457"/>
      <c r="G329" s="463"/>
      <c r="H329" s="457"/>
      <c r="I329" s="457"/>
    </row>
    <row r="330" spans="3:9" ht="14.4" customHeight="1">
      <c r="I330" s="457"/>
    </row>
    <row r="331" spans="3:9" ht="14.4" customHeight="1">
      <c r="H331" s="457"/>
      <c r="I331" s="457"/>
    </row>
    <row r="332" spans="3:9" ht="14.4" customHeight="1">
      <c r="H332" s="457"/>
      <c r="I332" s="457"/>
    </row>
    <row r="333" spans="3:9" ht="14.4" customHeight="1">
      <c r="H333" s="457"/>
      <c r="I333" s="457"/>
    </row>
    <row r="334" spans="3:9" ht="14.4" customHeight="1">
      <c r="H334" s="457"/>
      <c r="I334" s="457"/>
    </row>
    <row r="335" spans="3:9" ht="14.4" customHeight="1">
      <c r="H335" s="457"/>
      <c r="I335" s="457"/>
    </row>
    <row r="336" spans="3:9" ht="14.4" customHeight="1">
      <c r="H336" s="457"/>
      <c r="I336" s="457"/>
    </row>
    <row r="337" spans="8:9" ht="14.4" customHeight="1">
      <c r="H337" s="457"/>
      <c r="I337" s="457"/>
    </row>
    <row r="338" spans="8:9" ht="14.4" customHeight="1">
      <c r="H338" s="457"/>
      <c r="I338" s="457"/>
    </row>
    <row r="339" spans="8:9" ht="14.4" customHeight="1">
      <c r="H339" s="457"/>
      <c r="I339" s="457"/>
    </row>
    <row r="340" spans="8:9" ht="14.4" customHeight="1">
      <c r="H340" s="457"/>
      <c r="I340" s="457"/>
    </row>
    <row r="341" spans="8:9" ht="14.4" customHeight="1">
      <c r="H341" s="457"/>
      <c r="I341" s="457"/>
    </row>
    <row r="342" spans="8:9" ht="14.4" customHeight="1">
      <c r="H342" s="457"/>
      <c r="I342" s="457"/>
    </row>
    <row r="343" spans="8:9" ht="14.4" customHeight="1">
      <c r="H343" s="457"/>
      <c r="I343" s="457"/>
    </row>
    <row r="344" spans="8:9" ht="14.4" customHeight="1">
      <c r="H344" s="457"/>
      <c r="I344" s="457"/>
    </row>
    <row r="345" spans="8:9" ht="14.4" customHeight="1">
      <c r="H345" s="457"/>
      <c r="I345" s="457"/>
    </row>
    <row r="346" spans="8:9" ht="14.4" customHeight="1">
      <c r="H346" s="457"/>
      <c r="I346" s="457"/>
    </row>
    <row r="347" spans="8:9" ht="14.4" customHeight="1">
      <c r="H347" s="457"/>
      <c r="I347" s="457"/>
    </row>
    <row r="348" spans="8:9" ht="14.4" customHeight="1">
      <c r="H348" s="457"/>
      <c r="I348" s="457"/>
    </row>
    <row r="349" spans="8:9" ht="14.4" customHeight="1">
      <c r="H349" s="457"/>
      <c r="I349" s="457"/>
    </row>
    <row r="350" spans="8:9" ht="14.4" customHeight="1">
      <c r="H350" s="457"/>
      <c r="I350" s="457"/>
    </row>
    <row r="351" spans="8:9" ht="14.4" customHeight="1">
      <c r="H351" s="457"/>
      <c r="I351" s="457"/>
    </row>
    <row r="352" spans="8:9" ht="14.4" customHeight="1">
      <c r="H352" s="457"/>
      <c r="I352" s="457"/>
    </row>
    <row r="353" spans="2:17" ht="14.4" customHeight="1">
      <c r="H353" s="457"/>
      <c r="I353" s="457"/>
    </row>
    <row r="354" spans="2:17" ht="14.4" customHeight="1">
      <c r="D354" s="461"/>
      <c r="E354" s="463"/>
      <c r="F354" s="461"/>
      <c r="G354" s="471"/>
      <c r="H354" s="474"/>
      <c r="I354" s="474"/>
      <c r="J354" s="474"/>
      <c r="K354" s="474"/>
      <c r="L354" s="474"/>
      <c r="M354" s="474"/>
      <c r="N354" s="474"/>
      <c r="O354" s="474"/>
      <c r="P354" s="474"/>
      <c r="Q354" s="474"/>
    </row>
    <row r="355" spans="2:17" ht="14.4" customHeight="1">
      <c r="C355" s="341"/>
      <c r="D355" s="461"/>
      <c r="E355" s="463"/>
      <c r="F355" s="461"/>
      <c r="G355" s="471"/>
      <c r="H355" s="474"/>
      <c r="I355" s="474"/>
      <c r="J355" s="474"/>
      <c r="K355" s="474"/>
      <c r="L355" s="474"/>
      <c r="M355" s="474"/>
      <c r="N355" s="474"/>
      <c r="O355" s="474"/>
      <c r="P355" s="474"/>
      <c r="Q355" s="474"/>
    </row>
    <row r="356" spans="2:17" ht="14.4" customHeight="1">
      <c r="C356" s="341"/>
      <c r="D356" s="461"/>
      <c r="E356" s="463"/>
      <c r="F356" s="461"/>
      <c r="G356" s="471"/>
      <c r="H356" s="474"/>
      <c r="I356" s="474"/>
      <c r="J356" s="474"/>
      <c r="K356" s="474"/>
      <c r="L356" s="474"/>
      <c r="M356" s="474"/>
      <c r="N356" s="474"/>
      <c r="O356" s="474"/>
      <c r="P356" s="474"/>
      <c r="Q356" s="474"/>
    </row>
    <row r="357" spans="2:17" ht="14.4" customHeight="1">
      <c r="D357" s="461"/>
      <c r="F357" s="457"/>
      <c r="G357" s="463"/>
      <c r="H357" s="474"/>
      <c r="I357" s="474"/>
      <c r="J357" s="474"/>
      <c r="K357" s="474"/>
      <c r="L357" s="474"/>
      <c r="M357" s="474"/>
      <c r="N357" s="474"/>
      <c r="O357" s="474"/>
      <c r="P357" s="474"/>
      <c r="Q357" s="474"/>
    </row>
    <row r="358" spans="2:17" ht="14.4" customHeight="1">
      <c r="D358" s="461"/>
      <c r="E358" s="463"/>
      <c r="F358" s="457"/>
      <c r="H358" s="475"/>
      <c r="I358" s="475"/>
      <c r="J358" s="475"/>
      <c r="K358" s="475"/>
    </row>
    <row r="359" spans="2:17" ht="14.4" customHeight="1">
      <c r="D359" s="461"/>
      <c r="E359" s="476"/>
      <c r="F359" s="457"/>
      <c r="H359" s="475"/>
      <c r="I359" s="475"/>
      <c r="J359" s="475"/>
      <c r="K359" s="475"/>
    </row>
    <row r="360" spans="2:17" ht="14.4" customHeight="1">
      <c r="C360" s="341"/>
      <c r="D360" s="461"/>
      <c r="E360" s="338"/>
    </row>
    <row r="361" spans="2:17" ht="14.4" customHeight="1">
      <c r="B361" s="341"/>
      <c r="D361" s="461"/>
      <c r="E361" s="338"/>
    </row>
    <row r="362" spans="2:17" ht="14.4" customHeight="1">
      <c r="B362" s="336"/>
    </row>
    <row r="363" spans="2:17" ht="14.4" customHeight="1">
      <c r="B363" s="336"/>
    </row>
    <row r="364" spans="2:17" ht="14.4" customHeight="1">
      <c r="B364" s="473"/>
      <c r="C364" s="473"/>
      <c r="D364" s="461"/>
      <c r="E364" s="469"/>
      <c r="F364" s="469"/>
    </row>
    <row r="365" spans="2:17" ht="14.4" customHeight="1">
      <c r="B365" s="336"/>
      <c r="D365" s="461"/>
      <c r="E365" s="338"/>
      <c r="F365" s="338"/>
      <c r="G365" s="349"/>
      <c r="H365" s="349"/>
      <c r="I365" s="338"/>
      <c r="K365" s="338"/>
      <c r="N365" s="336"/>
    </row>
    <row r="366" spans="2:17" ht="14.4" customHeight="1">
      <c r="B366" s="336"/>
      <c r="D366" s="461"/>
      <c r="E366" s="482"/>
      <c r="F366" s="482"/>
    </row>
    <row r="367" spans="2:17" ht="14.4" customHeight="1">
      <c r="B367" s="336"/>
      <c r="D367" s="461"/>
      <c r="E367" s="363"/>
      <c r="F367" s="363"/>
    </row>
    <row r="368" spans="2:17" ht="14.4" customHeight="1">
      <c r="B368" s="336"/>
      <c r="D368" s="461"/>
      <c r="E368" s="362"/>
      <c r="F368" s="362"/>
    </row>
    <row r="369" spans="2:10" ht="14.4" customHeight="1">
      <c r="B369" s="348"/>
    </row>
    <row r="370" spans="2:10" ht="14.4" customHeight="1">
      <c r="C370" s="472"/>
      <c r="D370" s="461"/>
      <c r="E370" s="463"/>
      <c r="J370" s="471"/>
    </row>
    <row r="371" spans="2:10" ht="14.4" customHeight="1">
      <c r="B371" s="336"/>
      <c r="C371" s="336"/>
    </row>
    <row r="372" spans="2:10" ht="14.4" customHeight="1">
      <c r="B372" s="336"/>
      <c r="C372" s="336"/>
    </row>
    <row r="373" spans="2:10" ht="14.4" customHeight="1">
      <c r="B373" s="336"/>
      <c r="C373" s="336"/>
    </row>
    <row r="374" spans="2:10" ht="14.4" customHeight="1">
      <c r="B374" s="336"/>
      <c r="C374" s="336"/>
    </row>
    <row r="375" spans="2:10" ht="14.4" customHeight="1">
      <c r="B375" s="336"/>
      <c r="C375" s="336"/>
    </row>
    <row r="376" spans="2:10" ht="14.4" customHeight="1">
      <c r="B376" s="336"/>
      <c r="C376" s="336"/>
    </row>
    <row r="377" spans="2:10" ht="14.4" customHeight="1">
      <c r="B377" s="336"/>
      <c r="C377" s="336"/>
    </row>
    <row r="378" spans="2:10" ht="14.4" customHeight="1">
      <c r="B378" s="336"/>
      <c r="C378" s="336"/>
    </row>
    <row r="379" spans="2:10" ht="14.4" customHeight="1">
      <c r="B379" s="336"/>
      <c r="C379" s="336"/>
    </row>
    <row r="380" spans="2:10" ht="14.4" customHeight="1">
      <c r="B380" s="336"/>
      <c r="C380" s="336"/>
    </row>
    <row r="381" spans="2:10" ht="14.4" customHeight="1">
      <c r="B381" s="336"/>
      <c r="C381" s="336"/>
    </row>
    <row r="382" spans="2:10" ht="14.4" customHeight="1">
      <c r="B382" s="336"/>
      <c r="C382" s="336"/>
    </row>
    <row r="383" spans="2:10" ht="14.4" customHeight="1">
      <c r="B383" s="336"/>
      <c r="C383" s="336"/>
    </row>
    <row r="384" spans="2:10" ht="14.4" customHeight="1">
      <c r="B384" s="336"/>
      <c r="C384" s="336"/>
    </row>
    <row r="385" spans="2:12" ht="14.4" customHeight="1">
      <c r="B385" s="336"/>
      <c r="C385" s="336"/>
    </row>
    <row r="386" spans="2:12" ht="14.4" customHeight="1">
      <c r="B386" s="336"/>
      <c r="C386" s="336"/>
    </row>
    <row r="387" spans="2:12" ht="14.4" customHeight="1">
      <c r="B387" s="336"/>
      <c r="C387" s="336"/>
    </row>
    <row r="388" spans="2:12" ht="14.4" customHeight="1">
      <c r="B388" s="336"/>
      <c r="C388" s="336"/>
    </row>
    <row r="389" spans="2:12" ht="14.4" customHeight="1">
      <c r="B389" s="336"/>
      <c r="C389" s="336"/>
    </row>
    <row r="390" spans="2:12" ht="14.4" customHeight="1">
      <c r="B390" s="336"/>
      <c r="C390" s="336"/>
    </row>
    <row r="391" spans="2:12" ht="14.4" customHeight="1">
      <c r="B391" s="336"/>
      <c r="C391" s="336"/>
    </row>
    <row r="392" spans="2:12" ht="14.4" customHeight="1">
      <c r="B392" s="336"/>
      <c r="C392" s="336"/>
    </row>
    <row r="393" spans="2:12" ht="14.4" customHeight="1">
      <c r="B393" s="336"/>
      <c r="C393" s="336"/>
    </row>
    <row r="394" spans="2:12" ht="14.4" customHeight="1">
      <c r="B394" s="336"/>
      <c r="C394" s="336"/>
    </row>
    <row r="395" spans="2:12" ht="14.4" customHeight="1">
      <c r="B395" s="336"/>
      <c r="C395" s="336"/>
    </row>
    <row r="396" spans="2:12" ht="14.4" customHeight="1">
      <c r="C396" s="341"/>
      <c r="D396" s="461"/>
      <c r="E396" s="457"/>
      <c r="G396" s="336"/>
    </row>
    <row r="397" spans="2:12" ht="14.4" customHeight="1">
      <c r="C397" s="341"/>
      <c r="D397" s="461"/>
      <c r="E397" s="338"/>
      <c r="G397" s="336"/>
      <c r="I397" s="341"/>
      <c r="J397" s="461"/>
    </row>
    <row r="398" spans="2:12" ht="14.4" customHeight="1">
      <c r="C398" s="472"/>
      <c r="D398" s="461"/>
      <c r="E398" s="477"/>
      <c r="F398" s="457"/>
      <c r="G398" s="463"/>
      <c r="H398" s="457"/>
    </row>
    <row r="399" spans="2:12" ht="14.4" customHeight="1">
      <c r="C399" s="457"/>
      <c r="D399" s="461"/>
      <c r="E399" s="477"/>
      <c r="F399" s="457"/>
      <c r="G399" s="463"/>
      <c r="H399" s="457"/>
    </row>
    <row r="400" spans="2:12" ht="14.4" customHeight="1">
      <c r="C400" s="472"/>
      <c r="D400" s="461"/>
      <c r="E400" s="478"/>
      <c r="G400" s="336"/>
      <c r="J400" s="461"/>
      <c r="K400" s="469"/>
      <c r="L400" s="469"/>
    </row>
    <row r="401" spans="2:12" ht="14.4" customHeight="1">
      <c r="C401" s="472"/>
      <c r="D401" s="461"/>
      <c r="E401" s="338"/>
      <c r="G401" s="336"/>
      <c r="J401" s="461"/>
    </row>
    <row r="402" spans="2:12" ht="14.4" customHeight="1">
      <c r="C402" s="472"/>
      <c r="D402" s="461"/>
      <c r="E402" s="338"/>
      <c r="J402" s="461"/>
    </row>
    <row r="403" spans="2:12" ht="14.4" customHeight="1">
      <c r="C403" s="472"/>
      <c r="D403" s="461"/>
      <c r="E403" s="478"/>
      <c r="G403" s="336"/>
      <c r="J403" s="461"/>
      <c r="K403" s="469"/>
      <c r="L403" s="469"/>
    </row>
    <row r="404" spans="2:12" ht="14.4" customHeight="1">
      <c r="C404" s="341"/>
      <c r="D404" s="461"/>
      <c r="E404" s="349"/>
      <c r="G404" s="336"/>
      <c r="I404" s="341"/>
      <c r="J404" s="461"/>
      <c r="K404" s="349"/>
      <c r="L404" s="349"/>
    </row>
    <row r="405" spans="2:12" ht="14.4" customHeight="1">
      <c r="C405" s="472"/>
      <c r="D405" s="461"/>
      <c r="J405" s="461"/>
    </row>
    <row r="406" spans="2:12" ht="14.4" customHeight="1">
      <c r="C406" s="472"/>
      <c r="D406" s="461"/>
      <c r="I406" s="472"/>
      <c r="J406" s="461"/>
    </row>
    <row r="407" spans="2:12" ht="14.4" customHeight="1">
      <c r="C407" s="472"/>
      <c r="D407" s="461"/>
      <c r="E407" s="463"/>
      <c r="G407" s="471"/>
    </row>
    <row r="408" spans="2:12" ht="14.4" customHeight="1">
      <c r="D408" s="461"/>
      <c r="E408" s="363"/>
      <c r="F408" s="363"/>
      <c r="G408" s="337"/>
      <c r="H408" s="349"/>
      <c r="I408" s="349"/>
      <c r="J408" s="349"/>
    </row>
    <row r="409" spans="2:12" ht="14.4" customHeight="1">
      <c r="D409" s="461"/>
      <c r="E409" s="363"/>
      <c r="F409" s="363"/>
    </row>
    <row r="410" spans="2:12" ht="14.4" customHeight="1">
      <c r="D410" s="461"/>
      <c r="E410" s="363"/>
      <c r="F410" s="363"/>
    </row>
    <row r="411" spans="2:12" ht="14.4" customHeight="1">
      <c r="D411" s="461"/>
      <c r="E411" s="338"/>
      <c r="F411" s="338"/>
    </row>
    <row r="412" spans="2:12" ht="14.4" customHeight="1">
      <c r="B412" s="346"/>
    </row>
    <row r="416" spans="2:12" ht="14.4" customHeight="1">
      <c r="B416" s="472"/>
    </row>
    <row r="417" spans="2:4" ht="14.4" customHeight="1">
      <c r="B417" s="472"/>
      <c r="C417" s="457"/>
      <c r="D417" s="457"/>
    </row>
    <row r="440" spans="3:6" ht="14.4" customHeight="1">
      <c r="C440" s="341"/>
      <c r="D440" s="461"/>
      <c r="E440" s="335"/>
    </row>
    <row r="441" spans="3:6" ht="14.4" customHeight="1">
      <c r="D441" s="461"/>
      <c r="E441" s="335"/>
    </row>
    <row r="444" spans="3:6" ht="14.4" customHeight="1">
      <c r="C444" s="341"/>
      <c r="D444" s="461"/>
    </row>
    <row r="445" spans="3:6" ht="14.4" customHeight="1">
      <c r="C445" s="341"/>
      <c r="D445" s="461"/>
      <c r="E445" s="363"/>
      <c r="F445" s="363"/>
    </row>
    <row r="446" spans="3:6" ht="14.4" customHeight="1">
      <c r="C446" s="341"/>
      <c r="D446" s="461"/>
      <c r="E446" s="335"/>
    </row>
    <row r="447" spans="3:6" ht="14.4" customHeight="1">
      <c r="E447" s="335"/>
    </row>
    <row r="448" spans="3:6" ht="14.4" customHeight="1">
      <c r="E448" s="338"/>
      <c r="F448" s="338"/>
    </row>
    <row r="449" spans="1:17" ht="14.4" customHeight="1">
      <c r="B449" s="346"/>
      <c r="C449" s="341"/>
      <c r="D449" s="461"/>
      <c r="E449" s="338"/>
    </row>
    <row r="450" spans="1:17" ht="14.4" customHeight="1">
      <c r="C450" s="341"/>
      <c r="D450" s="461"/>
    </row>
    <row r="451" spans="1:17" ht="14.4" customHeight="1">
      <c r="C451" s="341"/>
      <c r="D451" s="461"/>
    </row>
    <row r="452" spans="1:17" ht="14.4" customHeight="1">
      <c r="C452" s="341"/>
      <c r="D452" s="461"/>
      <c r="E452" s="338"/>
    </row>
    <row r="453" spans="1:17" ht="14.4" customHeight="1">
      <c r="C453" s="341"/>
      <c r="D453" s="461"/>
      <c r="E453" s="338"/>
    </row>
    <row r="454" spans="1:17" ht="14.4" customHeight="1">
      <c r="C454" s="341"/>
      <c r="D454" s="461"/>
      <c r="E454" s="344"/>
    </row>
    <row r="455" spans="1:17" ht="14.4" customHeight="1">
      <c r="C455" s="341"/>
      <c r="D455" s="461"/>
      <c r="E455" s="344"/>
    </row>
    <row r="456" spans="1:17" ht="14.4" customHeight="1">
      <c r="C456" s="341"/>
      <c r="D456" s="461"/>
      <c r="E456" s="344"/>
    </row>
    <row r="457" spans="1:17" ht="14.4" customHeight="1">
      <c r="C457" s="358"/>
      <c r="D457" s="461"/>
      <c r="E457" s="338"/>
    </row>
    <row r="458" spans="1:17" ht="14.4" customHeight="1">
      <c r="C458" s="358"/>
      <c r="D458" s="461"/>
      <c r="E458" s="344"/>
      <c r="G458" s="336"/>
    </row>
    <row r="459" spans="1:17" ht="14.4" customHeight="1">
      <c r="D459" s="359"/>
      <c r="E459" s="479"/>
      <c r="G459" s="336"/>
    </row>
    <row r="460" spans="1:17" ht="14.4" customHeight="1">
      <c r="A460" s="497"/>
      <c r="B460" s="497"/>
      <c r="C460" s="497"/>
      <c r="D460" s="497"/>
      <c r="E460" s="497"/>
      <c r="F460" s="497"/>
      <c r="G460" s="497"/>
      <c r="H460" s="497"/>
      <c r="I460" s="497"/>
      <c r="J460" s="497"/>
      <c r="K460" s="497"/>
      <c r="L460" s="497"/>
      <c r="M460" s="497"/>
      <c r="N460" s="497"/>
      <c r="O460" s="497"/>
      <c r="P460" s="497"/>
      <c r="Q460" s="497"/>
    </row>
    <row r="461" spans="1:17" ht="14.4" customHeight="1">
      <c r="A461" s="497"/>
      <c r="B461" s="497"/>
      <c r="C461" s="497"/>
      <c r="D461" s="497"/>
      <c r="E461" s="497"/>
      <c r="F461" s="497"/>
      <c r="G461" s="497"/>
      <c r="H461" s="497"/>
      <c r="I461" s="497"/>
      <c r="J461" s="497"/>
      <c r="K461" s="497"/>
      <c r="L461" s="497"/>
      <c r="M461" s="497"/>
      <c r="N461" s="497"/>
      <c r="O461" s="497"/>
      <c r="P461" s="497"/>
      <c r="Q461" s="497"/>
    </row>
    <row r="462" spans="1:17" ht="14.4" customHeight="1">
      <c r="B462" s="346"/>
      <c r="C462" s="341"/>
      <c r="D462" s="461"/>
      <c r="E462" s="338"/>
    </row>
    <row r="463" spans="1:17" ht="14.4" customHeight="1">
      <c r="D463" s="337"/>
      <c r="E463" s="335"/>
    </row>
    <row r="464" spans="1:17" ht="14.4" customHeight="1">
      <c r="D464" s="338"/>
      <c r="E464" s="335"/>
    </row>
    <row r="465" spans="1:17" ht="14.4" customHeight="1">
      <c r="B465" s="346"/>
      <c r="C465" s="346"/>
      <c r="D465" s="346"/>
      <c r="E465" s="346"/>
      <c r="F465" s="346"/>
      <c r="G465" s="346"/>
    </row>
    <row r="466" spans="1:17" ht="14.4" customHeight="1">
      <c r="C466" s="341"/>
      <c r="D466" s="337"/>
      <c r="E466" s="335"/>
    </row>
    <row r="467" spans="1:17" ht="14.4" customHeight="1">
      <c r="D467" s="337"/>
      <c r="E467" s="335"/>
    </row>
    <row r="468" spans="1:17" ht="14.4" customHeight="1">
      <c r="B468" s="348"/>
      <c r="C468" s="348"/>
      <c r="D468" s="348"/>
      <c r="E468" s="348"/>
      <c r="F468" s="348"/>
    </row>
    <row r="469" spans="1:17" ht="14.4" customHeight="1">
      <c r="C469" s="341"/>
      <c r="D469" s="337"/>
      <c r="E469" s="335"/>
    </row>
    <row r="470" spans="1:17" ht="14.4" customHeight="1">
      <c r="D470" s="337"/>
      <c r="E470" s="335"/>
    </row>
    <row r="471" spans="1:17" ht="14.4" customHeight="1">
      <c r="B471" s="346"/>
      <c r="C471" s="346"/>
      <c r="D471" s="346"/>
      <c r="E471" s="346"/>
      <c r="F471" s="346"/>
    </row>
    <row r="472" spans="1:17" ht="14.4" customHeight="1">
      <c r="C472" s="341"/>
      <c r="D472" s="337"/>
      <c r="E472" s="335"/>
    </row>
    <row r="473" spans="1:17" ht="14.4" customHeight="1">
      <c r="C473" s="341"/>
      <c r="D473" s="337"/>
      <c r="E473" s="335"/>
    </row>
    <row r="474" spans="1:17" ht="14.4" customHeight="1">
      <c r="B474" s="346"/>
      <c r="C474" s="341"/>
      <c r="D474" s="337"/>
      <c r="E474" s="338"/>
    </row>
    <row r="475" spans="1:17" ht="14.4" customHeight="1">
      <c r="C475" s="341"/>
      <c r="D475" s="337"/>
      <c r="E475" s="335"/>
    </row>
    <row r="476" spans="1:17" ht="14.4" customHeight="1">
      <c r="D476" s="337"/>
      <c r="E476" s="335"/>
    </row>
    <row r="477" spans="1:17" ht="14.4" customHeight="1">
      <c r="D477" s="337"/>
      <c r="E477" s="335"/>
    </row>
    <row r="478" spans="1:17" ht="14.4" customHeight="1">
      <c r="A478" s="497"/>
      <c r="B478" s="497"/>
      <c r="C478" s="497"/>
      <c r="D478" s="497"/>
      <c r="E478" s="497"/>
      <c r="F478" s="497"/>
      <c r="G478" s="497"/>
      <c r="H478" s="497"/>
      <c r="I478" s="497"/>
      <c r="J478" s="497"/>
      <c r="K478" s="497"/>
      <c r="L478" s="497"/>
      <c r="M478" s="497"/>
      <c r="N478" s="497"/>
      <c r="O478" s="497"/>
      <c r="P478" s="497"/>
      <c r="Q478" s="497"/>
    </row>
    <row r="479" spans="1:17" ht="14.4" customHeight="1">
      <c r="A479" s="497"/>
      <c r="B479" s="497"/>
      <c r="C479" s="497"/>
      <c r="D479" s="497"/>
      <c r="E479" s="497"/>
      <c r="F479" s="497"/>
      <c r="G479" s="497"/>
      <c r="H479" s="497"/>
      <c r="I479" s="497"/>
      <c r="J479" s="497"/>
      <c r="K479" s="497"/>
      <c r="L479" s="497"/>
      <c r="M479" s="497"/>
      <c r="N479" s="497"/>
      <c r="O479" s="497"/>
      <c r="P479" s="497"/>
      <c r="Q479" s="497"/>
    </row>
    <row r="480" spans="1:17" ht="14.4" customHeight="1">
      <c r="B480" s="480"/>
      <c r="C480" s="336"/>
      <c r="D480" s="336"/>
      <c r="F480" s="336"/>
    </row>
    <row r="481" spans="1:17" ht="14.4" customHeight="1">
      <c r="C481" s="358"/>
      <c r="D481" s="461"/>
      <c r="E481" s="338"/>
      <c r="F481" s="347"/>
    </row>
    <row r="482" spans="1:17" ht="14.4" customHeight="1">
      <c r="C482" s="358"/>
      <c r="D482" s="461"/>
      <c r="E482" s="338"/>
      <c r="F482" s="347"/>
    </row>
    <row r="483" spans="1:17" ht="14.4" customHeight="1">
      <c r="C483" s="358"/>
      <c r="D483" s="461"/>
      <c r="E483" s="338"/>
      <c r="F483" s="347"/>
    </row>
    <row r="484" spans="1:17" ht="14.4" customHeight="1">
      <c r="B484" s="347"/>
      <c r="C484" s="341"/>
      <c r="D484" s="461"/>
      <c r="E484" s="481"/>
      <c r="F484" s="347"/>
    </row>
    <row r="485" spans="1:17" ht="14.4" customHeight="1">
      <c r="B485" s="347"/>
      <c r="C485" s="341"/>
      <c r="D485" s="461"/>
      <c r="E485" s="481"/>
      <c r="F485" s="347"/>
    </row>
    <row r="486" spans="1:17" ht="14.4" customHeight="1">
      <c r="B486" s="367"/>
      <c r="C486" s="367"/>
      <c r="D486" s="367"/>
      <c r="E486" s="367"/>
      <c r="F486" s="367"/>
      <c r="G486" s="367"/>
      <c r="H486" s="367"/>
      <c r="I486" s="367"/>
      <c r="J486" s="367"/>
      <c r="K486" s="367"/>
      <c r="L486" s="367"/>
      <c r="M486" s="367"/>
      <c r="N486" s="367"/>
      <c r="O486" s="367"/>
      <c r="P486" s="367"/>
      <c r="Q486" s="367"/>
    </row>
    <row r="487" spans="1:17" ht="14.4" customHeight="1">
      <c r="B487" s="367"/>
      <c r="C487" s="367"/>
      <c r="D487" s="367"/>
      <c r="E487" s="367"/>
      <c r="F487" s="367"/>
      <c r="G487" s="367"/>
      <c r="H487" s="367"/>
      <c r="I487" s="367"/>
      <c r="J487" s="367"/>
      <c r="K487" s="367"/>
      <c r="L487" s="367"/>
      <c r="M487" s="367"/>
      <c r="N487" s="367"/>
      <c r="O487" s="367"/>
      <c r="P487" s="367"/>
      <c r="Q487" s="367"/>
    </row>
    <row r="488" spans="1:17" ht="14.4" customHeight="1">
      <c r="B488" s="367"/>
      <c r="C488" s="367"/>
      <c r="D488" s="367"/>
      <c r="E488" s="367"/>
      <c r="F488" s="367"/>
      <c r="G488" s="367"/>
      <c r="H488" s="367"/>
      <c r="I488" s="367"/>
      <c r="J488" s="367"/>
      <c r="K488" s="367"/>
      <c r="L488" s="367"/>
      <c r="M488" s="367"/>
      <c r="N488" s="367"/>
      <c r="O488" s="367"/>
      <c r="P488" s="367"/>
      <c r="Q488" s="367"/>
    </row>
    <row r="489" spans="1:17" ht="14.4" customHeight="1">
      <c r="B489" s="347"/>
      <c r="C489" s="336"/>
      <c r="D489" s="336"/>
      <c r="F489" s="336"/>
    </row>
    <row r="490" spans="1:17" ht="14.4" customHeight="1">
      <c r="B490" s="347"/>
      <c r="C490" s="336"/>
      <c r="D490" s="336"/>
      <c r="F490" s="336"/>
    </row>
    <row r="491" spans="1:17" ht="14.4" customHeight="1">
      <c r="B491" s="347"/>
      <c r="C491" s="336"/>
      <c r="D491" s="336"/>
      <c r="F491" s="336"/>
    </row>
    <row r="492" spans="1:17" ht="14.4" customHeight="1">
      <c r="A492" s="347"/>
      <c r="B492" s="347"/>
      <c r="C492" s="358"/>
      <c r="D492" s="461"/>
      <c r="F492" s="336"/>
    </row>
    <row r="493" spans="1:17" ht="14.4" customHeight="1">
      <c r="B493" s="347"/>
      <c r="C493" s="358"/>
      <c r="D493" s="461"/>
      <c r="F493" s="336"/>
    </row>
    <row r="494" spans="1:17" ht="14.4" customHeight="1">
      <c r="B494" s="347"/>
      <c r="C494" s="358"/>
      <c r="D494" s="461"/>
      <c r="E494" s="338"/>
      <c r="F494" s="336"/>
    </row>
    <row r="495" spans="1:17" ht="14.4" customHeight="1">
      <c r="B495" s="347"/>
      <c r="C495" s="358"/>
      <c r="D495" s="461"/>
      <c r="F495" s="336"/>
    </row>
    <row r="496" spans="1:17" ht="14.4" customHeight="1">
      <c r="B496" s="347"/>
      <c r="C496" s="358"/>
      <c r="D496" s="461"/>
      <c r="E496" s="338"/>
      <c r="F496" s="336"/>
    </row>
    <row r="497" spans="2:17" ht="14.4" customHeight="1">
      <c r="B497" s="347"/>
      <c r="C497" s="358"/>
      <c r="D497" s="461"/>
      <c r="E497" s="338"/>
      <c r="F497" s="336"/>
    </row>
    <row r="498" spans="2:17" ht="14.4" customHeight="1">
      <c r="B498" s="347"/>
      <c r="C498" s="358"/>
      <c r="D498" s="461"/>
      <c r="E498" s="338"/>
      <c r="F498" s="336"/>
    </row>
    <row r="499" spans="2:17" ht="14.4" customHeight="1">
      <c r="B499" s="347"/>
      <c r="C499" s="358"/>
      <c r="D499" s="461"/>
      <c r="E499" s="338"/>
      <c r="F499" s="336"/>
    </row>
    <row r="500" spans="2:17" ht="14.4" customHeight="1">
      <c r="B500" s="347"/>
      <c r="C500" s="358"/>
      <c r="D500" s="461"/>
      <c r="E500" s="338"/>
      <c r="F500" s="336"/>
    </row>
    <row r="501" spans="2:17" ht="14.4" customHeight="1">
      <c r="B501" s="480"/>
      <c r="C501" s="336"/>
      <c r="D501" s="336"/>
      <c r="F501" s="336"/>
    </row>
    <row r="502" spans="2:17" ht="14.4" customHeight="1">
      <c r="B502" s="360"/>
      <c r="C502" s="360"/>
      <c r="D502" s="360"/>
      <c r="E502" s="360"/>
      <c r="F502" s="360"/>
      <c r="G502" s="360"/>
      <c r="H502" s="360"/>
      <c r="I502" s="360"/>
      <c r="J502" s="360"/>
      <c r="K502" s="360"/>
      <c r="L502" s="360"/>
      <c r="M502" s="360"/>
      <c r="N502" s="360"/>
      <c r="O502" s="360"/>
      <c r="P502" s="360"/>
      <c r="Q502" s="360"/>
    </row>
    <row r="503" spans="2:17" ht="14.4" customHeight="1">
      <c r="B503" s="354"/>
      <c r="C503" s="354"/>
      <c r="D503" s="354"/>
      <c r="E503" s="354"/>
      <c r="F503" s="354"/>
      <c r="G503" s="354"/>
      <c r="H503" s="354"/>
      <c r="I503" s="354"/>
      <c r="J503" s="354"/>
      <c r="K503" s="354"/>
      <c r="L503" s="354"/>
      <c r="M503" s="354"/>
      <c r="N503" s="354"/>
      <c r="O503" s="354"/>
      <c r="P503" s="354"/>
      <c r="Q503" s="354"/>
    </row>
    <row r="504" spans="2:17" ht="14.4" customHeight="1">
      <c r="B504" s="347"/>
      <c r="F504" s="336"/>
    </row>
    <row r="505" spans="2:17" ht="14.4" customHeight="1">
      <c r="B505" s="347"/>
      <c r="C505" s="358"/>
      <c r="D505" s="461"/>
      <c r="F505" s="336"/>
    </row>
    <row r="506" spans="2:17" ht="14.4" customHeight="1">
      <c r="B506" s="347"/>
      <c r="C506" s="358"/>
      <c r="D506" s="461"/>
      <c r="F506" s="336"/>
    </row>
    <row r="507" spans="2:17" ht="14.4" customHeight="1">
      <c r="B507" s="347"/>
      <c r="C507" s="358"/>
      <c r="D507" s="461"/>
      <c r="E507" s="338"/>
      <c r="F507" s="336"/>
    </row>
    <row r="508" spans="2:17" ht="14.4" customHeight="1">
      <c r="B508" s="347"/>
      <c r="C508" s="358"/>
      <c r="D508" s="461"/>
      <c r="F508" s="336"/>
    </row>
    <row r="509" spans="2:17" ht="14.4" customHeight="1">
      <c r="B509" s="347"/>
      <c r="C509" s="358"/>
      <c r="D509" s="461"/>
      <c r="E509" s="338"/>
      <c r="F509" s="336"/>
    </row>
    <row r="510" spans="2:17" ht="14.4" customHeight="1">
      <c r="B510" s="347"/>
      <c r="C510" s="358"/>
      <c r="D510" s="461"/>
      <c r="E510" s="338"/>
      <c r="F510" s="336"/>
    </row>
    <row r="511" spans="2:17" ht="14.4" customHeight="1">
      <c r="B511" s="347"/>
      <c r="C511" s="358"/>
      <c r="D511" s="461"/>
      <c r="E511" s="338"/>
      <c r="F511" s="336"/>
    </row>
    <row r="512" spans="2:17" ht="14.4" customHeight="1">
      <c r="C512" s="358"/>
      <c r="D512" s="461"/>
      <c r="E512" s="338"/>
      <c r="F512" s="336"/>
    </row>
    <row r="513" spans="3:6" ht="14.4" customHeight="1">
      <c r="C513" s="358"/>
      <c r="D513" s="461"/>
      <c r="E513" s="338"/>
      <c r="F513" s="336"/>
    </row>
    <row r="514" spans="3:6" ht="14.4" customHeight="1">
      <c r="C514" s="358"/>
      <c r="D514" s="461"/>
      <c r="E514" s="338"/>
      <c r="F514" s="336"/>
    </row>
    <row r="515" spans="3:6" ht="14.4" customHeight="1">
      <c r="C515" s="358"/>
      <c r="D515" s="461"/>
      <c r="E515" s="338"/>
      <c r="F515" s="336"/>
    </row>
  </sheetData>
  <mergeCells count="83">
    <mergeCell ref="E10:F10"/>
    <mergeCell ref="O10:P10"/>
    <mergeCell ref="A1:Q3"/>
    <mergeCell ref="E8:F8"/>
    <mergeCell ref="O8:P8"/>
    <mergeCell ref="E9:F9"/>
    <mergeCell ref="O9:P9"/>
    <mergeCell ref="E23:F23"/>
    <mergeCell ref="E11:F11"/>
    <mergeCell ref="O11:P11"/>
    <mergeCell ref="E12:F12"/>
    <mergeCell ref="O12:P12"/>
    <mergeCell ref="E13:F13"/>
    <mergeCell ref="E14:F14"/>
    <mergeCell ref="E15:F15"/>
    <mergeCell ref="E16:F16"/>
    <mergeCell ref="A18:Q19"/>
    <mergeCell ref="E22:F22"/>
    <mergeCell ref="O85:P85"/>
    <mergeCell ref="F24:G24"/>
    <mergeCell ref="H28:I28"/>
    <mergeCell ref="E69:H69"/>
    <mergeCell ref="E70:H70"/>
    <mergeCell ref="E73:I73"/>
    <mergeCell ref="E74:I74"/>
    <mergeCell ref="F80:G80"/>
    <mergeCell ref="L80:N80"/>
    <mergeCell ref="F81:G81"/>
    <mergeCell ref="L81:M81"/>
    <mergeCell ref="F82:G82"/>
    <mergeCell ref="L123:N123"/>
    <mergeCell ref="I93:L93"/>
    <mergeCell ref="F98:G98"/>
    <mergeCell ref="G105:H105"/>
    <mergeCell ref="E109:G109"/>
    <mergeCell ref="E110:G110"/>
    <mergeCell ref="E111:G111"/>
    <mergeCell ref="E112:G112"/>
    <mergeCell ref="E113:G113"/>
    <mergeCell ref="G117:H117"/>
    <mergeCell ref="G119:H119"/>
    <mergeCell ref="F123:G123"/>
    <mergeCell ref="E143:G143"/>
    <mergeCell ref="G147:H147"/>
    <mergeCell ref="G149:H149"/>
    <mergeCell ref="F124:G124"/>
    <mergeCell ref="F125:G125"/>
    <mergeCell ref="H125:I125"/>
    <mergeCell ref="F128:G128"/>
    <mergeCell ref="G135:H135"/>
    <mergeCell ref="E139:G139"/>
    <mergeCell ref="AD123:AF123"/>
    <mergeCell ref="E242:G242"/>
    <mergeCell ref="E243:G243"/>
    <mergeCell ref="E244:G244"/>
    <mergeCell ref="E245:G245"/>
    <mergeCell ref="L213:N213"/>
    <mergeCell ref="F214:G214"/>
    <mergeCell ref="L214:M214"/>
    <mergeCell ref="F215:G215"/>
    <mergeCell ref="O218:P218"/>
    <mergeCell ref="I226:L226"/>
    <mergeCell ref="H161:I161"/>
    <mergeCell ref="E202:H202"/>
    <mergeCell ref="E203:H203"/>
    <mergeCell ref="E206:I206"/>
    <mergeCell ref="E207:I207"/>
    <mergeCell ref="Y147:Z147"/>
    <mergeCell ref="G254:H254"/>
    <mergeCell ref="X128:Y128"/>
    <mergeCell ref="Y135:Z135"/>
    <mergeCell ref="G252:H252"/>
    <mergeCell ref="E246:G246"/>
    <mergeCell ref="G250:H250"/>
    <mergeCell ref="F213:G213"/>
    <mergeCell ref="E155:F155"/>
    <mergeCell ref="E156:F156"/>
    <mergeCell ref="F231:G231"/>
    <mergeCell ref="G238:H238"/>
    <mergeCell ref="G151:H151"/>
    <mergeCell ref="E140:G140"/>
    <mergeCell ref="E141:G141"/>
    <mergeCell ref="E142:G142"/>
  </mergeCells>
  <pageMargins left="0.7" right="0.7" top="0.75" bottom="0.75" header="0.3" footer="0.3"/>
  <pageSetup paperSize="13" orientation="portrait" horizontalDpi="4294967293" r:id="rId1"/>
  <headerFooter>
    <oddHeader>&amp;LAttachment No. 5 : Loading-Unloading System &amp;R(Doc. No. 05 – 42 18 41 023 - CH)
Rev. No. 0</oddHeader>
    <oddFoote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GULD</vt:lpstr>
      <vt:lpstr>MAXSURF</vt:lpstr>
      <vt:lpstr>BHP</vt:lpstr>
      <vt:lpstr>EPM </vt:lpstr>
      <vt:lpstr>DISP</vt:lpstr>
      <vt:lpstr>GT</vt:lpstr>
      <vt:lpstr>DOC 1 ATTACH</vt:lpstr>
      <vt:lpstr>DOC 2 ATTACH</vt:lpstr>
      <vt:lpstr>DOC 3 ATTACH</vt:lpstr>
      <vt:lpstr>SARAT KOSONG</vt:lpstr>
      <vt:lpstr>Tank</vt:lpstr>
      <vt:lpstr>HOLTROP</vt:lpstr>
      <vt:lpstr>DOC 4. ANCHOR </vt:lpstr>
      <vt:lpstr>DOC 5</vt:lpstr>
      <vt:lpstr>cargodiameter</vt:lpstr>
      <vt:lpstr>cargodiametermm</vt:lpstr>
      <vt:lpstr>cargoflowsec</vt:lpstr>
      <vt:lpstr>DISP!Print_Area</vt:lpstr>
      <vt:lpstr>'DOC 1 ATTACH'!Print_Area</vt:lpstr>
      <vt:lpstr>'DOC 2 ATTACH'!Print_Area</vt:lpstr>
      <vt:lpstr>'DOC 3 ATTACH'!Print_Area</vt:lpstr>
      <vt:lpstr>'DOC 4. ANCHOR '!Print_Area</vt:lpstr>
      <vt:lpstr>'DOC 5'!Print_Area</vt:lpstr>
      <vt:lpstr>'EPM '!Print_Area</vt:lpstr>
      <vt:lpstr>MAXSURF!Print_Area</vt:lpstr>
      <vt:lpstr>speed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Putu Gede Adhi Darsana</dc:creator>
  <cp:lastModifiedBy>halli bagaffad</cp:lastModifiedBy>
  <cp:lastPrinted>2021-03-29T14:34:20Z</cp:lastPrinted>
  <dcterms:created xsi:type="dcterms:W3CDTF">2021-03-23T13:42:58Z</dcterms:created>
  <dcterms:modified xsi:type="dcterms:W3CDTF">2024-07-26T12:04:08Z</dcterms:modified>
</cp:coreProperties>
</file>