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147D1249-779D-2D47-BB27-A30EA5FF58E1}" xr6:coauthVersionLast="47" xr6:coauthVersionMax="47" xr10:uidLastSave="{00000000-0000-0000-0000-000000000000}"/>
  <bookViews>
    <workbookView xWindow="240" yWindow="500" windowWidth="19380" windowHeight="29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74" i="1" l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87" i="1"/>
  <c r="AH87" i="1"/>
  <c r="AI143" i="1"/>
  <c r="AH143" i="1"/>
  <c r="AI142" i="1"/>
  <c r="AH142" i="1"/>
  <c r="AI24" i="1"/>
  <c r="AH24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74" i="1"/>
  <c r="AH74" i="1"/>
  <c r="AI35" i="1"/>
  <c r="AH35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2" i="1"/>
  <c r="AH2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126" i="1"/>
  <c r="AH126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144" i="1"/>
  <c r="AH144" i="1"/>
  <c r="AI127" i="1"/>
  <c r="AH127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O38" i="1"/>
  <c r="AI38" i="1"/>
  <c r="AH38" i="1"/>
  <c r="AO37" i="1"/>
  <c r="AI37" i="1"/>
  <c r="AH37" i="1"/>
  <c r="AO36" i="1"/>
  <c r="AI36" i="1"/>
  <c r="AH36" i="1"/>
  <c r="AO35" i="1"/>
  <c r="AI25" i="1"/>
  <c r="AH25" i="1"/>
  <c r="AO34" i="1"/>
  <c r="AI34" i="1"/>
  <c r="AH34" i="1"/>
  <c r="AO33" i="1"/>
  <c r="AI33" i="1"/>
  <c r="AH33" i="1"/>
  <c r="AO32" i="1"/>
  <c r="AI32" i="1"/>
  <c r="AH32" i="1"/>
  <c r="AO31" i="1"/>
  <c r="AI31" i="1"/>
  <c r="AH31" i="1"/>
  <c r="AO30" i="1"/>
  <c r="AI30" i="1"/>
  <c r="AH30" i="1"/>
  <c r="AO29" i="1"/>
  <c r="AI29" i="1"/>
  <c r="AH29" i="1"/>
  <c r="AO28" i="1"/>
  <c r="AI28" i="1"/>
  <c r="AH28" i="1"/>
  <c r="AO27" i="1"/>
  <c r="AI27" i="1"/>
  <c r="AH27" i="1"/>
  <c r="AO26" i="1"/>
  <c r="AI26" i="1"/>
  <c r="AH26" i="1"/>
  <c r="AO25" i="1"/>
  <c r="AI75" i="1"/>
  <c r="AH75" i="1"/>
  <c r="AO24" i="1"/>
  <c r="AI8" i="1"/>
  <c r="AH8" i="1"/>
  <c r="AO23" i="1"/>
  <c r="AI23" i="1"/>
  <c r="AH2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O12" i="1"/>
  <c r="AO15" i="1" s="1"/>
  <c r="AI12" i="1"/>
  <c r="AH12" i="1"/>
  <c r="AI11" i="1"/>
  <c r="AH11" i="1"/>
  <c r="AP10" i="1"/>
  <c r="AI10" i="1"/>
  <c r="AH10" i="1"/>
  <c r="AP9" i="1"/>
  <c r="AI9" i="1"/>
  <c r="AH9" i="1"/>
  <c r="AP8" i="1"/>
  <c r="AI141" i="1"/>
  <c r="AH141" i="1"/>
  <c r="AP7" i="1"/>
  <c r="AI7" i="1"/>
  <c r="AH7" i="1"/>
  <c r="AP6" i="1"/>
  <c r="AI6" i="1"/>
  <c r="AH6" i="1"/>
  <c r="AI5" i="1"/>
  <c r="AH5" i="1"/>
  <c r="AO4" i="1"/>
  <c r="AI4" i="1"/>
  <c r="AH4" i="1"/>
  <c r="AI3" i="1"/>
  <c r="AH3" i="1"/>
  <c r="AI103" i="1"/>
  <c r="AH103" i="1"/>
  <c r="AO2" i="1" s="1"/>
  <c r="AO17" i="1" l="1"/>
</calcChain>
</file>

<file path=xl/sharedStrings.xml><?xml version="1.0" encoding="utf-8"?>
<sst xmlns="http://schemas.openxmlformats.org/spreadsheetml/2006/main" count="935" uniqueCount="411">
  <si>
    <t>Total Points</t>
  </si>
  <si>
    <t>MAX</t>
  </si>
  <si>
    <t>Total Cost</t>
  </si>
  <si>
    <t>GKP</t>
  </si>
  <si>
    <t>DEF</t>
  </si>
  <si>
    <t>MID</t>
  </si>
  <si>
    <t>FWD</t>
  </si>
  <si>
    <t>TOTAL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</si>
  <si>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</si>
  <si>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</si>
  <si>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</si>
  <si>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</si>
  <si>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</si>
  <si>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</si>
  <si>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</si>
  <si>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</si>
  <si>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</si>
  <si>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</si>
  <si>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</si>
  <si>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</si>
  <si>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</si>
  <si>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</si>
  <si>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</si>
  <si>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</si>
  <si>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</si>
  <si>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</si>
  <si>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</si>
  <si>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</si>
  <si>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</si>
  <si>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</si>
  <si>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</si>
  <si>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</si>
  <si>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</si>
  <si>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</si>
  <si>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</si>
  <si>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</si>
  <si>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</si>
  <si>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</si>
  <si>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</si>
  <si>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</si>
  <si>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</si>
  <si>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</si>
  <si>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</si>
  <si>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</si>
  <si>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</si>
  <si>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</si>
  <si>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</si>
  <si>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</si>
  <si>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</si>
  <si>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</si>
  <si>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</si>
  <si>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Martin</t>
  </si>
  <si>
    <t>Ødegaard</t>
  </si>
  <si>
    <t>David</t>
  </si>
  <si>
    <t>Raya Martin</t>
  </si>
  <si>
    <t>Raya</t>
  </si>
  <si>
    <t>Declan</t>
  </si>
  <si>
    <t>Rice</t>
  </si>
  <si>
    <t>William</t>
  </si>
  <si>
    <t>Saliba</t>
  </si>
  <si>
    <t>Thomas</t>
  </si>
  <si>
    <t>Partey</t>
  </si>
  <si>
    <t>Leandro</t>
  </si>
  <si>
    <t>Trossard</t>
  </si>
  <si>
    <t>Leon</t>
  </si>
  <si>
    <t>Bailey</t>
  </si>
  <si>
    <t>Lucas</t>
  </si>
  <si>
    <t>Digne</t>
  </si>
  <si>
    <t>Ezri</t>
  </si>
  <si>
    <t>Konsa Ngoyo</t>
  </si>
  <si>
    <t>Konsa</t>
  </si>
  <si>
    <t>Ian</t>
  </si>
  <si>
    <t>Maatsen</t>
  </si>
  <si>
    <t>Emiliano</t>
  </si>
  <si>
    <t>Martínez Romero</t>
  </si>
  <si>
    <t>Martinez</t>
  </si>
  <si>
    <t>John</t>
  </si>
  <si>
    <t>McGinn</t>
  </si>
  <si>
    <t>Morgan</t>
  </si>
  <si>
    <t>Rogers</t>
  </si>
  <si>
    <t>Youri</t>
  </si>
  <si>
    <t>Tielemans</t>
  </si>
  <si>
    <t>Ollie</t>
  </si>
  <si>
    <t>Watkins</t>
  </si>
  <si>
    <t>Brooks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</si>
  <si>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</si>
  <si>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</si>
  <si>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</si>
  <si>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</si>
  <si>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</si>
  <si>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</si>
  <si>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</si>
  <si>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</si>
  <si>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</si>
  <si>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</si>
  <si>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</si>
  <si>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</si>
  <si>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</si>
  <si>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Marcus</t>
  </si>
  <si>
    <t>Tavernier</t>
  </si>
  <si>
    <t>Illia</t>
  </si>
  <si>
    <t>Zabarnyi</t>
  </si>
  <si>
    <t>Kepa</t>
  </si>
  <si>
    <t>Arrizabalaga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</si>
  <si>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</si>
  <si>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</si>
  <si>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</si>
  <si>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</si>
  <si>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</si>
  <si>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</si>
  <si>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</si>
  <si>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</si>
  <si>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</si>
  <si>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</si>
  <si>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</si>
  <si>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</si>
  <si>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Christian</t>
  </si>
  <si>
    <t>Nørgaard</t>
  </si>
  <si>
    <t>Ethan</t>
  </si>
  <si>
    <t>Pinnock</t>
  </si>
  <si>
    <t>Kevin</t>
  </si>
  <si>
    <t>Schade</t>
  </si>
  <si>
    <t>Yoane</t>
  </si>
  <si>
    <t>Wissa</t>
  </si>
  <si>
    <t>Carlos</t>
  </si>
  <si>
    <t>Baleba</t>
  </si>
  <si>
    <t>Pervis</t>
  </si>
  <si>
    <t>Estupiñán</t>
  </si>
  <si>
    <t>Estupiñan</t>
  </si>
  <si>
    <t>João Pedro</t>
  </si>
  <si>
    <t>Junqueira de Jesus</t>
  </si>
  <si>
    <t>Jan Paul</t>
  </si>
  <si>
    <t>van Hecke</t>
  </si>
  <si>
    <t>Van Hecke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</si>
  <si>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</si>
  <si>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</si>
  <si>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</si>
  <si>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</si>
  <si>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</si>
  <si>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</si>
  <si>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</si>
  <si>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</si>
  <si>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</si>
  <si>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</si>
  <si>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</si>
  <si>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</si>
  <si>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</si>
  <si>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</si>
  <si>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</si>
  <si>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</si>
  <si>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Malo</t>
  </si>
  <si>
    <t>Gusto</t>
  </si>
  <si>
    <t>Noni</t>
  </si>
  <si>
    <t>Madueke</t>
  </si>
  <si>
    <t>Nicolas</t>
  </si>
  <si>
    <t>Jackson</t>
  </si>
  <si>
    <t>N.Jackson</t>
  </si>
  <si>
    <t>Christopher</t>
  </si>
  <si>
    <t>Nkunku</t>
  </si>
  <si>
    <t>Cole</t>
  </si>
  <si>
    <t>Palmer</t>
  </si>
  <si>
    <t>Robert</t>
  </si>
  <si>
    <t>Sánchez</t>
  </si>
  <si>
    <t>Jadon</t>
  </si>
  <si>
    <t>Sancho</t>
  </si>
  <si>
    <t>Pedro</t>
  </si>
  <si>
    <t>Lomba Neto</t>
  </si>
  <si>
    <t>Neto</t>
  </si>
  <si>
    <t>Eberechi</t>
  </si>
  <si>
    <t>Eze</t>
  </si>
  <si>
    <t>Guéhi</t>
  </si>
  <si>
    <t>Dean</t>
  </si>
  <si>
    <t>Henderson</t>
  </si>
  <si>
    <t>Will</t>
  </si>
  <si>
    <t>Hughes</t>
  </si>
  <si>
    <t>Jefferson</t>
  </si>
  <si>
    <t>Lerma Solís</t>
  </si>
  <si>
    <t>Lerma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</si>
  <si>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</si>
  <si>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</si>
  <si>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</si>
  <si>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</si>
  <si>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</si>
  <si>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</si>
  <si>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</si>
  <si>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</si>
  <si>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</si>
  <si>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</si>
  <si>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</si>
  <si>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</si>
  <si>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Jarrad</t>
  </si>
  <si>
    <t>Branthwaite</t>
  </si>
  <si>
    <t>Dominic</t>
  </si>
  <si>
    <t>Calvert-Lewin</t>
  </si>
  <si>
    <t>Idrissa</t>
  </si>
  <si>
    <t>Gueye</t>
  </si>
  <si>
    <t>Gana</t>
  </si>
  <si>
    <t>Jack</t>
  </si>
  <si>
    <t>Harrison</t>
  </si>
  <si>
    <t>Vitalii</t>
  </si>
  <si>
    <t>Mykolenko</t>
  </si>
  <si>
    <t>Jordan</t>
  </si>
  <si>
    <t>Pickford</t>
  </si>
  <si>
    <t>James</t>
  </si>
  <si>
    <t>Tarkowski</t>
  </si>
  <si>
    <t>Ashley</t>
  </si>
  <si>
    <t>Young</t>
  </si>
  <si>
    <t>Emile</t>
  </si>
  <si>
    <t>Smith Rowe</t>
  </si>
  <si>
    <t>Joachim</t>
  </si>
  <si>
    <t>Andersen</t>
  </si>
  <si>
    <t>Adama</t>
  </si>
  <si>
    <t>Traoré</t>
  </si>
  <si>
    <t>Andreas</t>
  </si>
  <si>
    <t>Hoelgebaum Pereira</t>
  </si>
  <si>
    <t>Calvin</t>
  </si>
  <si>
    <t>Bassey</t>
  </si>
  <si>
    <t>Alex</t>
  </si>
  <si>
    <t>Iwobi</t>
  </si>
  <si>
    <t>Bernd</t>
  </si>
  <si>
    <t>Leno</t>
  </si>
  <si>
    <t>Saša</t>
  </si>
  <si>
    <t>Lukić</t>
  </si>
  <si>
    <t>Rodrigo</t>
  </si>
  <si>
    <t>Muniz Carvalho</t>
  </si>
  <si>
    <t>Muniz</t>
  </si>
  <si>
    <t>Raúl</t>
  </si>
  <si>
    <t>Jiménez</t>
  </si>
  <si>
    <t>Antonee</t>
  </si>
  <si>
    <t>Robinson</t>
  </si>
  <si>
    <t>Sander</t>
  </si>
  <si>
    <t>Berge</t>
  </si>
  <si>
    <t>Facundo</t>
  </si>
  <si>
    <t>Buonanotte</t>
  </si>
  <si>
    <t>Ayew</t>
  </si>
  <si>
    <t>J.Ayew</t>
  </si>
  <si>
    <t>Boubakary</t>
  </si>
  <si>
    <t>Soumaré</t>
  </si>
  <si>
    <t>B.Soumaré</t>
  </si>
  <si>
    <t>Victor</t>
  </si>
  <si>
    <t>Kristiansen</t>
  </si>
  <si>
    <t>Jamie</t>
  </si>
  <si>
    <t>Vardy</t>
  </si>
  <si>
    <t>Harry</t>
  </si>
  <si>
    <t>Winks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</si>
  <si>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</si>
  <si>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</si>
  <si>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</si>
  <si>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</si>
  <si>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</si>
  <si>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</si>
  <si>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</si>
  <si>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</si>
  <si>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</si>
  <si>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Ibrahima</t>
  </si>
  <si>
    <t>Konaté</t>
  </si>
  <si>
    <t>Luis</t>
  </si>
  <si>
    <t>Díaz</t>
  </si>
  <si>
    <t>Luis Díaz</t>
  </si>
  <si>
    <t>Mohamed</t>
  </si>
  <si>
    <t>Salah</t>
  </si>
  <si>
    <t>M.Salah</t>
  </si>
  <si>
    <t>Alexis</t>
  </si>
  <si>
    <t>Mac Allister</t>
  </si>
  <si>
    <t>Andrew</t>
  </si>
  <si>
    <t>Robertson</t>
  </si>
  <si>
    <t>Dominik</t>
  </si>
  <si>
    <t>Szoboszlai</t>
  </si>
  <si>
    <t>Virgil</t>
  </si>
  <si>
    <t>van Dijk</t>
  </si>
  <si>
    <t>Bernardo</t>
  </si>
  <si>
    <t>Veiga de Carvalho e Silva</t>
  </si>
  <si>
    <t>Phil</t>
  </si>
  <si>
    <t>Foden</t>
  </si>
  <si>
    <t>Joško</t>
  </si>
  <si>
    <t>Gvardiol</t>
  </si>
  <si>
    <t>Erling</t>
  </si>
  <si>
    <t>Haaland</t>
  </si>
  <si>
    <t>Mateo</t>
  </si>
  <si>
    <t>Kovačić</t>
  </si>
  <si>
    <t>Rico</t>
  </si>
  <si>
    <t>Ilkay</t>
  </si>
  <si>
    <t>Gündogan</t>
  </si>
  <si>
    <t>Amad</t>
  </si>
  <si>
    <t>Diallo</t>
  </si>
  <si>
    <t>Bruno</t>
  </si>
  <si>
    <t>Borges Fernandes</t>
  </si>
  <si>
    <t>B.Fernandes</t>
  </si>
  <si>
    <t>Diogo</t>
  </si>
  <si>
    <t>Dalot Teixeira</t>
  </si>
  <si>
    <t>Dalot</t>
  </si>
  <si>
    <t>Alejandro</t>
  </si>
  <si>
    <t>Garnacho</t>
  </si>
  <si>
    <t>Rasmus</t>
  </si>
  <si>
    <t>Højlund</t>
  </si>
  <si>
    <t>André</t>
  </si>
  <si>
    <t>Onana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</si>
  <si>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</si>
  <si>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</si>
  <si>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</si>
  <si>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</si>
  <si>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</si>
  <si>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</si>
  <si>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</si>
  <si>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</si>
  <si>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</si>
  <si>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</si>
  <si>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</si>
  <si>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Jacob</t>
  </si>
  <si>
    <t>Murphy</t>
  </si>
  <si>
    <t>J.Murphy</t>
  </si>
  <si>
    <t>Joelinton Cássio</t>
  </si>
  <si>
    <t>Apolinário de Lira</t>
  </si>
  <si>
    <t>Joelinton</t>
  </si>
  <si>
    <t>Tino</t>
  </si>
  <si>
    <t>Livramento</t>
  </si>
  <si>
    <t>Sean</t>
  </si>
  <si>
    <t>Longstaff</t>
  </si>
  <si>
    <t>Fabian</t>
  </si>
  <si>
    <t>Schär</t>
  </si>
  <si>
    <t>Sandro</t>
  </si>
  <si>
    <t>Tonali</t>
  </si>
  <si>
    <t>Joe</t>
  </si>
  <si>
    <t>Willock</t>
  </si>
  <si>
    <t>Ola</t>
  </si>
  <si>
    <t>Aina</t>
  </si>
  <si>
    <t>Elliot</t>
  </si>
  <si>
    <t>Anderson</t>
  </si>
  <si>
    <t>Taiwo</t>
  </si>
  <si>
    <t>Awoniyi</t>
  </si>
  <si>
    <t>Nicolás</t>
  </si>
  <si>
    <t>Domínguez</t>
  </si>
  <si>
    <t>Dominguez</t>
  </si>
  <si>
    <t>Elanga</t>
  </si>
  <si>
    <t>Gibbs-White</t>
  </si>
  <si>
    <t>Callum</t>
  </si>
  <si>
    <t>Hudson-Odoi</t>
  </si>
  <si>
    <t>Murillo</t>
  </si>
  <si>
    <t>Santiago Costa dos Santos</t>
  </si>
  <si>
    <t>Neco</t>
  </si>
  <si>
    <t>Williams</t>
  </si>
  <si>
    <t>N.Williams</t>
  </si>
  <si>
    <t>Matz</t>
  </si>
  <si>
    <t>Sels</t>
  </si>
  <si>
    <t>Chris</t>
  </si>
  <si>
    <t>Wood</t>
  </si>
  <si>
    <t>Yates</t>
  </si>
  <si>
    <t>Aaron</t>
  </si>
  <si>
    <t>Ramsdale</t>
  </si>
  <si>
    <t>Cameron</t>
  </si>
  <si>
    <t>Archer</t>
  </si>
  <si>
    <t>Jan</t>
  </si>
  <si>
    <t>Bednarek</t>
  </si>
  <si>
    <t>Yves</t>
  </si>
  <si>
    <t>Bissouma</t>
  </si>
  <si>
    <t>Brennan</t>
  </si>
  <si>
    <t>Johnson</t>
  </si>
  <si>
    <t>Dejan</t>
  </si>
  <si>
    <t>Kulusevski</t>
  </si>
  <si>
    <t>Maddison</t>
  </si>
  <si>
    <t>Porro</t>
  </si>
  <si>
    <t>Pedro Porro</t>
  </si>
  <si>
    <t>Pape Matar</t>
  </si>
  <si>
    <t>P.M.Sarr</t>
  </si>
  <si>
    <t>Son</t>
  </si>
  <si>
    <t>Heung-min</t>
  </si>
  <si>
    <t>Destiny</t>
  </si>
  <si>
    <t>Udogie</t>
  </si>
  <si>
    <t>Wan-Bissaka</t>
  </si>
  <si>
    <t>Edson</t>
  </si>
  <si>
    <t>Álvarez Velázquez</t>
  </si>
  <si>
    <t>Álvarez</t>
  </si>
  <si>
    <t>Jarrod</t>
  </si>
  <si>
    <t>Bowen</t>
  </si>
  <si>
    <t>Emerson</t>
  </si>
  <si>
    <t>Palmieri dos Santos</t>
  </si>
  <si>
    <t>Max</t>
  </si>
  <si>
    <t>Kilman</t>
  </si>
  <si>
    <t>Mohammed</t>
  </si>
  <si>
    <t>Kudus</t>
  </si>
  <si>
    <t>Tolentino Coelho de Lima</t>
  </si>
  <si>
    <t>L.Paquetá</t>
  </si>
  <si>
    <t>Tomáš</t>
  </si>
  <si>
    <t>Souček</t>
  </si>
  <si>
    <t>Rayan</t>
  </si>
  <si>
    <t>Aït-Nouri</t>
  </si>
  <si>
    <t>Jean-Ricner</t>
  </si>
  <si>
    <t>Bellegarde</t>
  </si>
  <si>
    <t>Matheus</t>
  </si>
  <si>
    <t>Santos Carneiro Da Cunha</t>
  </si>
  <si>
    <t>Cunha</t>
  </si>
  <si>
    <t>Matt</t>
  </si>
  <si>
    <t>Doherty</t>
  </si>
  <si>
    <t>Gonçalo Manuel</t>
  </si>
  <si>
    <t>Ganchinho Guedes</t>
  </si>
  <si>
    <t>Guedes</t>
  </si>
  <si>
    <t>João Victor</t>
  </si>
  <si>
    <t>Gomes da Silva</t>
  </si>
  <si>
    <t>J.Gomes</t>
  </si>
  <si>
    <t>José</t>
  </si>
  <si>
    <t>Malheiro de Sá</t>
  </si>
  <si>
    <t>José Sá</t>
  </si>
  <si>
    <t>Nélson</t>
  </si>
  <si>
    <t>Cabral Semedo</t>
  </si>
  <si>
    <t>N.Semedo</t>
  </si>
  <si>
    <t>Santiago</t>
  </si>
  <si>
    <t>Bueno</t>
  </si>
  <si>
    <t>S.Bueno</t>
  </si>
  <si>
    <t>Toti António</t>
  </si>
  <si>
    <t>Gomes</t>
  </si>
  <si>
    <t>Toti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</si>
</sst>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74" totalsRowShown="0">
  <autoFilter ref="A1:AL174" xr:uid="{00000000-0009-0000-0100-000001000000}">
    <filterColumn colId="37">
      <filters>
        <filter val="1"/>
      </filters>
    </filterColumn>
  </autoFilter>
  <sortState xmlns:xlrd2="http://schemas.microsoft.com/office/spreadsheetml/2017/richdata2" ref="A2:AL144">
    <sortCondition descending="1" ref="AI1:AI174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4"/>
  <sheetViews>
    <sheetView tabSelected="1" workbookViewId="0">
      <selection activeCell="C87" sqref="C87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3" x14ac:dyDescent="0.2">
      <c r="A1" t="s">
        <v>32</v>
      </c>
      <c r="B1" t="s">
        <v>33</v>
      </c>
      <c r="C1" t="s">
        <v>34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10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43" x14ac:dyDescent="0.2">
      <c r="A2" t="s">
        <v>259</v>
      </c>
      <c r="B2" t="s">
        <v>260</v>
      </c>
      <c r="C2" t="s">
        <v>261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13.7</v>
      </c>
      <c r="AE2">
        <v>451</v>
      </c>
      <c r="AF2">
        <v>65.269565217391317</v>
      </c>
      <c r="AG2">
        <v>67.347335876541194</v>
      </c>
      <c r="AH2">
        <f>64.3942637819024*1</f>
        <v>64.394263781902396</v>
      </c>
      <c r="AI2">
        <f>6.88576636071099*1</f>
        <v>6.8857663607109902</v>
      </c>
      <c r="AJ2">
        <v>1</v>
      </c>
      <c r="AK2">
        <v>1</v>
      </c>
      <c r="AL2">
        <v>1</v>
      </c>
      <c r="AN2" t="s">
        <v>0</v>
      </c>
      <c r="AO2">
        <f>SUMPRODUCT(Table1[Selected], Table1[PP])</f>
        <v>620.1133513785943</v>
      </c>
      <c r="AP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7.7</v>
      </c>
      <c r="AE3">
        <v>3</v>
      </c>
      <c r="AF3">
        <v>46.338149079507048</v>
      </c>
      <c r="AG3">
        <v>30.574345708376839</v>
      </c>
      <c r="AH3">
        <f>52.2634709888989*1</f>
        <v>52.263470988898902</v>
      </c>
      <c r="AI3">
        <f>5.98682981762767*1</f>
        <v>5.9868298176276697</v>
      </c>
      <c r="AJ3">
        <v>1</v>
      </c>
      <c r="AK3">
        <v>0</v>
      </c>
      <c r="AL3">
        <v>0</v>
      </c>
    </row>
    <row r="4" spans="1:43" hidden="1" x14ac:dyDescent="0.2">
      <c r="A4" t="s">
        <v>45</v>
      </c>
      <c r="B4" t="s">
        <v>49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6.5</v>
      </c>
      <c r="AE4">
        <v>8</v>
      </c>
      <c r="AF4">
        <v>38.641304347826093</v>
      </c>
      <c r="AG4">
        <v>45.551536924818272</v>
      </c>
      <c r="AH4">
        <f>20.106895741685*1</f>
        <v>20.106895741685001</v>
      </c>
      <c r="AI4">
        <f>2.16178600937725*1</f>
        <v>2.1617860093772499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99.500000000000014</v>
      </c>
      <c r="AP4">
        <v>101.4</v>
      </c>
    </row>
    <row r="5" spans="1:43" hidden="1" x14ac:dyDescent="0.2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8.1999999999999993</v>
      </c>
      <c r="AE5">
        <v>10</v>
      </c>
      <c r="AF5">
        <v>41.16176470588232</v>
      </c>
      <c r="AG5">
        <v>46.153993723038013</v>
      </c>
      <c r="AH5">
        <f>23.2879458548074*1</f>
        <v>23.287945854807401</v>
      </c>
      <c r="AI5">
        <f>2.64854888724728*1</f>
        <v>2.64854888724728</v>
      </c>
      <c r="AJ5">
        <v>1</v>
      </c>
      <c r="AK5">
        <v>0</v>
      </c>
      <c r="AL5">
        <v>0</v>
      </c>
    </row>
    <row r="6" spans="1:43" hidden="1" x14ac:dyDescent="0.2">
      <c r="A6" t="s">
        <v>53</v>
      </c>
      <c r="B6" t="s">
        <v>54</v>
      </c>
      <c r="C6" t="s">
        <v>55</v>
      </c>
      <c r="D6" t="s">
        <v>3</v>
      </c>
      <c r="E6">
        <v>1</v>
      </c>
      <c r="F6">
        <v>0</v>
      </c>
      <c r="G6">
        <v>0</v>
      </c>
      <c r="H6">
        <v>0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5.5</v>
      </c>
      <c r="AE6">
        <v>11</v>
      </c>
      <c r="AF6">
        <v>36.722560266242681</v>
      </c>
      <c r="AG6">
        <v>39.247573629283963</v>
      </c>
      <c r="AH6">
        <f>25.0654368087612*1</f>
        <v>25.065436808761199</v>
      </c>
      <c r="AI6">
        <f>2.70754265395265*1</f>
        <v>2.7075426539526499</v>
      </c>
      <c r="AJ6">
        <v>1</v>
      </c>
      <c r="AK6">
        <v>0</v>
      </c>
      <c r="AL6">
        <v>0</v>
      </c>
      <c r="AN6" t="s">
        <v>3</v>
      </c>
      <c r="AO6">
        <v>2</v>
      </c>
      <c r="AP6">
        <f>SUMPRODUCT(Table1[Selected],Table1[GKP])</f>
        <v>2</v>
      </c>
      <c r="AQ6">
        <v>2</v>
      </c>
    </row>
    <row r="7" spans="1:43" hidden="1" x14ac:dyDescent="0.2">
      <c r="A7" t="s">
        <v>56</v>
      </c>
      <c r="B7" t="s">
        <v>57</v>
      </c>
      <c r="C7" t="s">
        <v>57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6.2</v>
      </c>
      <c r="AE7">
        <v>12</v>
      </c>
      <c r="AF7">
        <v>33.168059126911388</v>
      </c>
      <c r="AG7">
        <v>24.07822647656111</v>
      </c>
      <c r="AH7">
        <f>18.959803284775*1</f>
        <v>18.959803284774999</v>
      </c>
      <c r="AI7">
        <f>2.12441891541426*1</f>
        <v>2.1244189154142599</v>
      </c>
      <c r="AJ7">
        <v>1</v>
      </c>
      <c r="AK7">
        <v>0</v>
      </c>
      <c r="AL7">
        <v>0</v>
      </c>
      <c r="AN7" t="s">
        <v>4</v>
      </c>
      <c r="AO7">
        <v>5</v>
      </c>
      <c r="AP7">
        <f>SUMPRODUCT(Table1[Selected],Table1[DEF])</f>
        <v>5</v>
      </c>
      <c r="AQ7">
        <v>5</v>
      </c>
    </row>
    <row r="8" spans="1:43" x14ac:dyDescent="0.2">
      <c r="A8" t="s">
        <v>91</v>
      </c>
      <c r="B8" t="s">
        <v>92</v>
      </c>
      <c r="C8" t="s">
        <v>92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6.2</v>
      </c>
      <c r="AE8">
        <v>90</v>
      </c>
      <c r="AF8">
        <v>52.286308992523693</v>
      </c>
      <c r="AG8">
        <v>28.761726933648479</v>
      </c>
      <c r="AH8">
        <f>57.3254085168639*1</f>
        <v>57.325408516863902</v>
      </c>
      <c r="AI8">
        <f>6.24995540937255*1</f>
        <v>6.24995540937255</v>
      </c>
      <c r="AJ8">
        <v>1</v>
      </c>
      <c r="AK8">
        <v>1</v>
      </c>
      <c r="AL8">
        <v>1</v>
      </c>
      <c r="AN8" t="s">
        <v>5</v>
      </c>
      <c r="AO8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60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4.9000000000000004</v>
      </c>
      <c r="AE9">
        <v>15</v>
      </c>
      <c r="AF9">
        <v>22.19491525423728</v>
      </c>
      <c r="AG9">
        <v>20.00097444515162</v>
      </c>
      <c r="AH9">
        <f>18.1212596636252*1</f>
        <v>18.121259663625199</v>
      </c>
      <c r="AI9">
        <f>1.9828113827603*1</f>
        <v>1.9828113827603</v>
      </c>
      <c r="AJ9">
        <v>1</v>
      </c>
      <c r="AK9">
        <v>0</v>
      </c>
      <c r="AL9">
        <v>0</v>
      </c>
      <c r="AN9" t="s">
        <v>6</v>
      </c>
      <c r="AO9">
        <v>3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6.8</v>
      </c>
      <c r="AE10">
        <v>18</v>
      </c>
      <c r="AF10">
        <v>34.608247422680392</v>
      </c>
      <c r="AG10">
        <v>35.225211457281873</v>
      </c>
      <c r="AH10">
        <f>20.5566134297342*1</f>
        <v>20.556613429734199</v>
      </c>
      <c r="AI10">
        <f>2.18416440298775*1</f>
        <v>2.1841644029877498</v>
      </c>
      <c r="AJ10">
        <v>1</v>
      </c>
      <c r="AK10">
        <v>0</v>
      </c>
      <c r="AL10">
        <v>0</v>
      </c>
      <c r="AN10" t="s">
        <v>7</v>
      </c>
      <c r="AO10">
        <v>15</v>
      </c>
      <c r="AP10">
        <f>SUM(SUMPRODUCT(Table1[Selected],Table1[GKP]), SUMPRODUCT(Table1[Selected],Table1[DEF]), SUMPRODUCT(Table1[Selected],Table1[MID]), SUMPRODUCT(Table1[Selected],Table1[FWD]))</f>
        <v>15</v>
      </c>
      <c r="AQ10">
        <v>15</v>
      </c>
    </row>
    <row r="11" spans="1:43" hidden="1" x14ac:dyDescent="0.2">
      <c r="A11" t="s">
        <v>64</v>
      </c>
      <c r="B11" t="s">
        <v>65</v>
      </c>
      <c r="C11" t="s">
        <v>65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6.2</v>
      </c>
      <c r="AE11">
        <v>34</v>
      </c>
      <c r="AF11">
        <v>27.500000000000011</v>
      </c>
      <c r="AG11">
        <v>25.852300060669311</v>
      </c>
      <c r="AH11">
        <f>16.8281440086271*1</f>
        <v>16.828144008627099</v>
      </c>
      <c r="AI11">
        <f>1.84890449688715*1</f>
        <v>1.84890449688715</v>
      </c>
      <c r="AJ11">
        <v>1</v>
      </c>
      <c r="AK11">
        <v>0</v>
      </c>
      <c r="AL11">
        <v>0</v>
      </c>
    </row>
    <row r="12" spans="1:43" hidden="1" x14ac:dyDescent="0.2">
      <c r="A12" t="s">
        <v>66</v>
      </c>
      <c r="B12" t="s">
        <v>67</v>
      </c>
      <c r="C12" t="s">
        <v>67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4.5</v>
      </c>
      <c r="AE12">
        <v>42</v>
      </c>
      <c r="AF12">
        <v>22.804946668212182</v>
      </c>
      <c r="AG12">
        <v>29.601374510418431</v>
      </c>
      <c r="AH12">
        <f>14.0044730224119*1</f>
        <v>14.004473022411901</v>
      </c>
      <c r="AI12">
        <f>1.40379120770468*1</f>
        <v>1.4037912077046799</v>
      </c>
      <c r="AJ12">
        <v>1</v>
      </c>
      <c r="AK12">
        <v>0</v>
      </c>
      <c r="AL12">
        <v>0</v>
      </c>
      <c r="AN12" t="s">
        <v>8</v>
      </c>
      <c r="AO12">
        <f>SUMPRODUCT(Table1[Selected], -- (Table1[PREV] = 0))</f>
        <v>1</v>
      </c>
    </row>
    <row r="13" spans="1:43" hidden="1" x14ac:dyDescent="0.2">
      <c r="A13" t="s">
        <v>68</v>
      </c>
      <c r="B13" t="s">
        <v>69</v>
      </c>
      <c r="C13" t="s">
        <v>70</v>
      </c>
      <c r="D13" t="s">
        <v>4</v>
      </c>
      <c r="E13">
        <v>0</v>
      </c>
      <c r="F13">
        <v>1</v>
      </c>
      <c r="G13">
        <v>0</v>
      </c>
      <c r="H13">
        <v>0</v>
      </c>
      <c r="I13" t="s">
        <v>13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4.4000000000000004</v>
      </c>
      <c r="AE13">
        <v>50</v>
      </c>
      <c r="AF13">
        <v>24.675824175824161</v>
      </c>
      <c r="AG13">
        <v>25.222976166617279</v>
      </c>
      <c r="AH13">
        <f>13.3451626434859*1</f>
        <v>13.345162643485899</v>
      </c>
      <c r="AI13">
        <f>1.48117894760365*1</f>
        <v>1.4811789476036501</v>
      </c>
      <c r="AJ13">
        <v>1</v>
      </c>
      <c r="AK13">
        <v>0</v>
      </c>
      <c r="AL13">
        <v>0</v>
      </c>
      <c r="AN13" t="s">
        <v>9</v>
      </c>
      <c r="AO13">
        <v>1</v>
      </c>
    </row>
    <row r="14" spans="1:43" hidden="1" x14ac:dyDescent="0.2">
      <c r="A14" t="s">
        <v>71</v>
      </c>
      <c r="B14" t="s">
        <v>72</v>
      </c>
      <c r="C14" t="s">
        <v>72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</v>
      </c>
      <c r="AE14">
        <v>51</v>
      </c>
      <c r="AF14">
        <v>0</v>
      </c>
      <c r="AG14">
        <v>0</v>
      </c>
      <c r="AH14">
        <f>0*1</f>
        <v>0</v>
      </c>
      <c r="AI14">
        <f>0*1</f>
        <v>0</v>
      </c>
      <c r="AJ14">
        <v>1</v>
      </c>
      <c r="AK14">
        <v>0</v>
      </c>
      <c r="AL14">
        <v>0</v>
      </c>
    </row>
    <row r="15" spans="1:43" hidden="1" x14ac:dyDescent="0.2">
      <c r="A15" t="s">
        <v>73</v>
      </c>
      <c r="B15" t="s">
        <v>74</v>
      </c>
      <c r="C15" t="s">
        <v>75</v>
      </c>
      <c r="D15" t="s">
        <v>3</v>
      </c>
      <c r="E15">
        <v>1</v>
      </c>
      <c r="F15">
        <v>0</v>
      </c>
      <c r="G15">
        <v>0</v>
      </c>
      <c r="H15">
        <v>0</v>
      </c>
      <c r="I15" t="s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53</v>
      </c>
      <c r="AF15">
        <v>28.96875</v>
      </c>
      <c r="AG15">
        <v>29.651106537336741</v>
      </c>
      <c r="AH15">
        <f>13.9825981563621*1</f>
        <v>13.9825981563621</v>
      </c>
      <c r="AI15">
        <f>1.65821816587401*1</f>
        <v>1.6582181658740101</v>
      </c>
      <c r="AJ15">
        <v>1</v>
      </c>
      <c r="AK15">
        <v>0</v>
      </c>
      <c r="AL15">
        <v>0</v>
      </c>
      <c r="AN15" t="s">
        <v>10</v>
      </c>
      <c r="AO15">
        <f>((AO12-AO13)+ABS((AO12-AO13)))/2*4</f>
        <v>0</v>
      </c>
    </row>
    <row r="16" spans="1:43" hidden="1" x14ac:dyDescent="0.2">
      <c r="A16" t="s">
        <v>76</v>
      </c>
      <c r="B16" t="s">
        <v>77</v>
      </c>
      <c r="C16" t="s">
        <v>77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5.2</v>
      </c>
      <c r="AE16">
        <v>54</v>
      </c>
      <c r="AF16">
        <v>26.225806451612879</v>
      </c>
      <c r="AG16">
        <v>28.108748496043422</v>
      </c>
      <c r="AH16">
        <f>12.9305752098386*1</f>
        <v>12.930575209838601</v>
      </c>
      <c r="AI16">
        <f>1.43540286788276*1</f>
        <v>1.4354028678827599</v>
      </c>
      <c r="AJ16">
        <v>1</v>
      </c>
      <c r="AK16">
        <v>0</v>
      </c>
      <c r="AL16">
        <v>0</v>
      </c>
    </row>
    <row r="17" spans="1:42" hidden="1" x14ac:dyDescent="0.2">
      <c r="A17" t="s">
        <v>78</v>
      </c>
      <c r="B17" t="s">
        <v>79</v>
      </c>
      <c r="C17" t="s">
        <v>79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60</v>
      </c>
      <c r="AF17">
        <v>0</v>
      </c>
      <c r="AG17">
        <v>0</v>
      </c>
      <c r="AH17">
        <f>0*1</f>
        <v>0</v>
      </c>
      <c r="AI17">
        <f>0*1</f>
        <v>0</v>
      </c>
      <c r="AJ17">
        <v>1</v>
      </c>
      <c r="AK17">
        <v>0</v>
      </c>
      <c r="AL17">
        <v>0</v>
      </c>
      <c r="AN17" t="s">
        <v>11</v>
      </c>
      <c r="AO17">
        <f>AO2-AO15*9</f>
        <v>620.1133513785943</v>
      </c>
    </row>
    <row r="18" spans="1:42" hidden="1" x14ac:dyDescent="0.2">
      <c r="A18" t="s">
        <v>80</v>
      </c>
      <c r="B18" t="s">
        <v>81</v>
      </c>
      <c r="C18" t="s">
        <v>81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</v>
      </c>
      <c r="AE18">
        <v>63</v>
      </c>
      <c r="AF18">
        <v>26.51130376048383</v>
      </c>
      <c r="AG18">
        <v>30.701889843880899</v>
      </c>
      <c r="AH18">
        <f>16.523664306917*1</f>
        <v>16.523664306916999</v>
      </c>
      <c r="AI18">
        <f>1.90856502899964*1</f>
        <v>1.9085650289996401</v>
      </c>
      <c r="AJ18">
        <v>1</v>
      </c>
      <c r="AK18">
        <v>0</v>
      </c>
      <c r="AL18">
        <v>0</v>
      </c>
    </row>
    <row r="19" spans="1:42" hidden="1" x14ac:dyDescent="0.2">
      <c r="A19" t="s">
        <v>82</v>
      </c>
      <c r="B19" t="s">
        <v>83</v>
      </c>
      <c r="C19" t="s">
        <v>83</v>
      </c>
      <c r="D19" t="s">
        <v>6</v>
      </c>
      <c r="E19">
        <v>0</v>
      </c>
      <c r="F19">
        <v>0</v>
      </c>
      <c r="G19">
        <v>0</v>
      </c>
      <c r="H19">
        <v>1</v>
      </c>
      <c r="I19" t="s">
        <v>13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8.9</v>
      </c>
      <c r="AE19">
        <v>64</v>
      </c>
      <c r="AF19">
        <v>43.285714285714263</v>
      </c>
      <c r="AG19">
        <v>43.464306568090883</v>
      </c>
      <c r="AH19">
        <f>28.7309301212585*1</f>
        <v>28.730930121258499</v>
      </c>
      <c r="AI19">
        <f>3.12533225283063*1</f>
        <v>3.12533225283063</v>
      </c>
      <c r="AJ19">
        <v>1</v>
      </c>
      <c r="AK19">
        <v>0</v>
      </c>
      <c r="AL19">
        <v>0</v>
      </c>
      <c r="AN19" t="s">
        <v>12</v>
      </c>
      <c r="AO19">
        <f>SUMPRODUCT(Table1[Selected],Table1[ARS])</f>
        <v>2</v>
      </c>
      <c r="AP19">
        <v>3</v>
      </c>
    </row>
    <row r="20" spans="1:42" hidden="1" x14ac:dyDescent="0.2">
      <c r="A20" t="s">
        <v>53</v>
      </c>
      <c r="B20" t="s">
        <v>84</v>
      </c>
      <c r="C20" t="s">
        <v>84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4.9000000000000004</v>
      </c>
      <c r="AE20">
        <v>81</v>
      </c>
      <c r="AF20">
        <v>17.17481128733538</v>
      </c>
      <c r="AG20">
        <v>33.464861599350407</v>
      </c>
      <c r="AH20">
        <f>6.4864583457197*1</f>
        <v>6.4864583457196998</v>
      </c>
      <c r="AI20">
        <f>0.966307921697391*1</f>
        <v>0.96630792169739099</v>
      </c>
      <c r="AJ20">
        <v>1</v>
      </c>
      <c r="AK20">
        <v>0</v>
      </c>
      <c r="AL20">
        <v>0</v>
      </c>
      <c r="AN20" t="s">
        <v>13</v>
      </c>
      <c r="AO20">
        <f>SUMPRODUCT(Table1[Selected],Table1[AVL])</f>
        <v>0</v>
      </c>
      <c r="AP20">
        <v>3</v>
      </c>
    </row>
    <row r="21" spans="1:42" hidden="1" x14ac:dyDescent="0.2">
      <c r="A21" t="s">
        <v>85</v>
      </c>
      <c r="B21" t="s">
        <v>86</v>
      </c>
      <c r="C21" t="s">
        <v>86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14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4.9000000000000004</v>
      </c>
      <c r="AE21">
        <v>82</v>
      </c>
      <c r="AF21">
        <v>20.680851063829799</v>
      </c>
      <c r="AG21">
        <v>16.446926405399761</v>
      </c>
      <c r="AH21">
        <f>17.1948721761478*1</f>
        <v>17.194872176147801</v>
      </c>
      <c r="AI21">
        <f>1.95986753726912*1</f>
        <v>1.9598675372691201</v>
      </c>
      <c r="AJ21">
        <v>1</v>
      </c>
      <c r="AK21">
        <v>0</v>
      </c>
      <c r="AL21">
        <v>0</v>
      </c>
      <c r="AN21" t="s">
        <v>14</v>
      </c>
      <c r="AO21">
        <f>SUMPRODUCT(Table1[Selected],Table1[BOU])</f>
        <v>2</v>
      </c>
      <c r="AP21">
        <v>3</v>
      </c>
    </row>
    <row r="22" spans="1:42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83</v>
      </c>
      <c r="AF22">
        <v>17.952922573969129</v>
      </c>
      <c r="AG22">
        <v>16.21721869526414</v>
      </c>
      <c r="AH22">
        <f>17.4086445690329*1</f>
        <v>17.408644569032901</v>
      </c>
      <c r="AI22">
        <f>1.89944346522059*1</f>
        <v>1.89944346522059</v>
      </c>
      <c r="AJ22">
        <v>1</v>
      </c>
      <c r="AK22">
        <v>0</v>
      </c>
      <c r="AL22">
        <v>0</v>
      </c>
      <c r="AN22" t="s">
        <v>15</v>
      </c>
      <c r="AO22">
        <f>SUMPRODUCT(Table1[Selected],Table1[BRE])</f>
        <v>1</v>
      </c>
      <c r="AP22">
        <v>3</v>
      </c>
    </row>
    <row r="23" spans="1:42" hidden="1" x14ac:dyDescent="0.2">
      <c r="A23" t="s">
        <v>89</v>
      </c>
      <c r="B23" t="s">
        <v>90</v>
      </c>
      <c r="C23" t="s">
        <v>90</v>
      </c>
      <c r="D23" t="s">
        <v>4</v>
      </c>
      <c r="E23">
        <v>0</v>
      </c>
      <c r="F23">
        <v>1</v>
      </c>
      <c r="G23">
        <v>0</v>
      </c>
      <c r="H23">
        <v>0</v>
      </c>
      <c r="I23" t="s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5.2</v>
      </c>
      <c r="AE23">
        <v>89</v>
      </c>
      <c r="AF23">
        <v>0</v>
      </c>
      <c r="AG23">
        <v>0</v>
      </c>
      <c r="AH23">
        <f>0*1</f>
        <v>0</v>
      </c>
      <c r="AI23">
        <f>0*1</f>
        <v>0</v>
      </c>
      <c r="AJ23">
        <v>1</v>
      </c>
      <c r="AK23">
        <v>0</v>
      </c>
      <c r="AL23">
        <v>0</v>
      </c>
      <c r="AN23" t="s">
        <v>16</v>
      </c>
      <c r="AO23">
        <f>SUMPRODUCT(Table1[Selected],Table1[BHA])</f>
        <v>0</v>
      </c>
      <c r="AP23">
        <v>3</v>
      </c>
    </row>
    <row r="24" spans="1:42" x14ac:dyDescent="0.2">
      <c r="A24" t="s">
        <v>337</v>
      </c>
      <c r="B24" t="s">
        <v>338</v>
      </c>
      <c r="C24" t="s">
        <v>337</v>
      </c>
      <c r="D24" t="s">
        <v>4</v>
      </c>
      <c r="E24">
        <v>0</v>
      </c>
      <c r="F24">
        <v>1</v>
      </c>
      <c r="G24">
        <v>0</v>
      </c>
      <c r="H24">
        <v>0</v>
      </c>
      <c r="I24" t="s">
        <v>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4.7</v>
      </c>
      <c r="AE24">
        <v>601</v>
      </c>
      <c r="AF24">
        <v>30.163317672186931</v>
      </c>
      <c r="AG24">
        <v>20.935140056558549</v>
      </c>
      <c r="AH24">
        <f>55.4143245963059*1</f>
        <v>55.414324596305903</v>
      </c>
      <c r="AI24">
        <f>6.13862109231297*1</f>
        <v>6.1386210923129703</v>
      </c>
      <c r="AJ24">
        <v>1</v>
      </c>
      <c r="AK24">
        <v>1</v>
      </c>
      <c r="AL24">
        <v>1</v>
      </c>
      <c r="AN24" t="s">
        <v>17</v>
      </c>
      <c r="AO24">
        <f>SUMPRODUCT(Table1[Selected],Table1[CHE])</f>
        <v>0</v>
      </c>
      <c r="AP24">
        <v>3</v>
      </c>
    </row>
    <row r="25" spans="1:42" x14ac:dyDescent="0.2">
      <c r="A25" t="s">
        <v>114</v>
      </c>
      <c r="B25" t="s">
        <v>115</v>
      </c>
      <c r="C25" t="s">
        <v>115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15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8.1</v>
      </c>
      <c r="AE25">
        <v>132</v>
      </c>
      <c r="AF25">
        <v>50.718054461208553</v>
      </c>
      <c r="AG25">
        <v>35.44278163578165</v>
      </c>
      <c r="AH25">
        <f>50.4446899931328*1</f>
        <v>50.444689993132798</v>
      </c>
      <c r="AI25">
        <f>5.9148733234211*1</f>
        <v>5.9148733234210997</v>
      </c>
      <c r="AJ25">
        <v>1</v>
      </c>
      <c r="AK25">
        <v>1</v>
      </c>
      <c r="AL25">
        <v>1</v>
      </c>
      <c r="AN25" t="s">
        <v>18</v>
      </c>
      <c r="AO25">
        <f>SUMPRODUCT(Table1[Selected],Table1[CRY])</f>
        <v>1</v>
      </c>
      <c r="AP25">
        <v>3</v>
      </c>
    </row>
    <row r="26" spans="1:42" hidden="1" x14ac:dyDescent="0.2">
      <c r="A26" t="s">
        <v>96</v>
      </c>
      <c r="B26" t="s">
        <v>97</v>
      </c>
      <c r="C26" t="s">
        <v>97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5.7</v>
      </c>
      <c r="AE26">
        <v>96</v>
      </c>
      <c r="AF26">
        <v>30.260869565217391</v>
      </c>
      <c r="AG26">
        <v>22.80548156580279</v>
      </c>
      <c r="AH26">
        <f>17.3513153538582*1</f>
        <v>17.351315353858201</v>
      </c>
      <c r="AI26">
        <f>1.89433532016641*1</f>
        <v>1.8943353201664099</v>
      </c>
      <c r="AJ26">
        <v>1</v>
      </c>
      <c r="AK26">
        <v>0</v>
      </c>
      <c r="AL26">
        <v>0</v>
      </c>
      <c r="AN26" t="s">
        <v>19</v>
      </c>
      <c r="AO26">
        <f>SUMPRODUCT(Table1[Selected],Table1[EVE])</f>
        <v>2</v>
      </c>
      <c r="AP26">
        <v>3</v>
      </c>
    </row>
    <row r="27" spans="1:42" hidden="1" x14ac:dyDescent="0.2">
      <c r="A27" t="s">
        <v>98</v>
      </c>
      <c r="B27" t="s">
        <v>99</v>
      </c>
      <c r="C27" t="s">
        <v>99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5.4</v>
      </c>
      <c r="AE27">
        <v>100</v>
      </c>
      <c r="AF27">
        <v>30.328767123287701</v>
      </c>
      <c r="AG27">
        <v>35.770704712389097</v>
      </c>
      <c r="AH27">
        <f>14.7699100089215*1</f>
        <v>14.769910008921499</v>
      </c>
      <c r="AI27">
        <f>1.59961996014704*1</f>
        <v>1.59961996014704</v>
      </c>
      <c r="AJ27">
        <v>1</v>
      </c>
      <c r="AK27">
        <v>0</v>
      </c>
      <c r="AL27">
        <v>0</v>
      </c>
      <c r="AN27" t="s">
        <v>20</v>
      </c>
      <c r="AO27">
        <f>SUMPRODUCT(Table1[Selected],Table1[FUL])</f>
        <v>1</v>
      </c>
      <c r="AP27">
        <v>3</v>
      </c>
    </row>
    <row r="28" spans="1:42" hidden="1" x14ac:dyDescent="0.2">
      <c r="A28" t="s">
        <v>100</v>
      </c>
      <c r="B28" t="s">
        <v>101</v>
      </c>
      <c r="C28" t="s">
        <v>101</v>
      </c>
      <c r="D28" t="s">
        <v>4</v>
      </c>
      <c r="E28">
        <v>0</v>
      </c>
      <c r="F28">
        <v>1</v>
      </c>
      <c r="G28">
        <v>0</v>
      </c>
      <c r="H28">
        <v>0</v>
      </c>
      <c r="I28" t="s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4.4000000000000004</v>
      </c>
      <c r="AE28">
        <v>102</v>
      </c>
      <c r="AF28">
        <v>20.820895522388071</v>
      </c>
      <c r="AG28">
        <v>17.988865538742239</v>
      </c>
      <c r="AH28">
        <f>15.0577230498271*1</f>
        <v>15.0577230498271</v>
      </c>
      <c r="AI28">
        <f>1.60302297790738*1</f>
        <v>1.6030229779073799</v>
      </c>
      <c r="AJ28">
        <v>1</v>
      </c>
      <c r="AK28">
        <v>0</v>
      </c>
      <c r="AL28">
        <v>0</v>
      </c>
      <c r="AN28" t="s">
        <v>21</v>
      </c>
      <c r="AO28">
        <f>SUMPRODUCT(Table1[Selected],Table1[IPS])</f>
        <v>0</v>
      </c>
      <c r="AP28">
        <v>3</v>
      </c>
    </row>
    <row r="29" spans="1:42" hidden="1" x14ac:dyDescent="0.2">
      <c r="A29" t="s">
        <v>102</v>
      </c>
      <c r="B29" t="s">
        <v>103</v>
      </c>
      <c r="C29" t="s">
        <v>103</v>
      </c>
      <c r="D29" t="s">
        <v>3</v>
      </c>
      <c r="E29">
        <v>1</v>
      </c>
      <c r="F29">
        <v>0</v>
      </c>
      <c r="G29">
        <v>0</v>
      </c>
      <c r="H29">
        <v>0</v>
      </c>
      <c r="I29" t="s">
        <v>14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4.5999999999999996</v>
      </c>
      <c r="AE29">
        <v>103</v>
      </c>
      <c r="AF29">
        <v>32.642857142857132</v>
      </c>
      <c r="AG29">
        <v>33.051038543227968</v>
      </c>
      <c r="AH29">
        <f>22.161586089517*1</f>
        <v>22.161586089517002</v>
      </c>
      <c r="AI29">
        <f>2.38219610745987*1</f>
        <v>2.3821961074598699</v>
      </c>
      <c r="AJ29">
        <v>1</v>
      </c>
      <c r="AK29">
        <v>0</v>
      </c>
      <c r="AL29">
        <v>0</v>
      </c>
      <c r="AN29" t="s">
        <v>22</v>
      </c>
      <c r="AO29">
        <f>SUMPRODUCT(Table1[Selected],Table1[LEI])</f>
        <v>0</v>
      </c>
      <c r="AP29">
        <v>3</v>
      </c>
    </row>
    <row r="30" spans="1:42" hidden="1" x14ac:dyDescent="0.2">
      <c r="A30" t="s">
        <v>104</v>
      </c>
      <c r="B30" t="s">
        <v>105</v>
      </c>
      <c r="C30" t="s">
        <v>105</v>
      </c>
      <c r="D30" t="s">
        <v>4</v>
      </c>
      <c r="E30">
        <v>0</v>
      </c>
      <c r="F30">
        <v>1</v>
      </c>
      <c r="G30">
        <v>0</v>
      </c>
      <c r="H30">
        <v>0</v>
      </c>
      <c r="I30" t="s">
        <v>15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</v>
      </c>
      <c r="AE30">
        <v>121</v>
      </c>
      <c r="AF30">
        <v>23.711538461538449</v>
      </c>
      <c r="AG30">
        <v>23.40720798676255</v>
      </c>
      <c r="AH30">
        <f>22.1162200628035*1</f>
        <v>22.1162200628035</v>
      </c>
      <c r="AI30">
        <f>2.40876022731574*1</f>
        <v>2.40876022731574</v>
      </c>
      <c r="AJ30">
        <v>1</v>
      </c>
      <c r="AK30">
        <v>0</v>
      </c>
      <c r="AL30">
        <v>0</v>
      </c>
      <c r="AN30" t="s">
        <v>23</v>
      </c>
      <c r="AO30">
        <f>SUMPRODUCT(Table1[Selected],Table1[LIV])</f>
        <v>1</v>
      </c>
      <c r="AP30">
        <v>3</v>
      </c>
    </row>
    <row r="31" spans="1:42" hidden="1" x14ac:dyDescent="0.2">
      <c r="A31" t="s">
        <v>106</v>
      </c>
      <c r="B31" t="s">
        <v>107</v>
      </c>
      <c r="C31" t="s">
        <v>107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15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5.0999999999999996</v>
      </c>
      <c r="AE31">
        <v>122</v>
      </c>
      <c r="AF31">
        <v>34.045156355876721</v>
      </c>
      <c r="AG31">
        <v>17.970187025556822</v>
      </c>
      <c r="AH31">
        <f>47.2014117047701*1</f>
        <v>47.201411704770102</v>
      </c>
      <c r="AI31">
        <f>6.01223668012376*1</f>
        <v>6.0122366801237597</v>
      </c>
      <c r="AJ31">
        <v>1</v>
      </c>
      <c r="AK31">
        <v>0</v>
      </c>
      <c r="AL31">
        <v>0</v>
      </c>
      <c r="AN31" t="s">
        <v>24</v>
      </c>
      <c r="AO31">
        <f>SUMPRODUCT(Table1[Selected],Table1[MCI])</f>
        <v>0</v>
      </c>
      <c r="AP31">
        <v>3</v>
      </c>
    </row>
    <row r="32" spans="1:42" hidden="1" x14ac:dyDescent="0.2">
      <c r="A32" t="s">
        <v>108</v>
      </c>
      <c r="B32" t="s">
        <v>109</v>
      </c>
      <c r="C32" t="s">
        <v>109</v>
      </c>
      <c r="D32" t="s">
        <v>3</v>
      </c>
      <c r="E32">
        <v>1</v>
      </c>
      <c r="F32">
        <v>0</v>
      </c>
      <c r="G32">
        <v>0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4.4000000000000004</v>
      </c>
      <c r="AE32">
        <v>124</v>
      </c>
      <c r="AF32">
        <v>30.09375</v>
      </c>
      <c r="AG32">
        <v>23.387193429256879</v>
      </c>
      <c r="AH32">
        <f>11.2788550746692*1</f>
        <v>11.278855074669201</v>
      </c>
      <c r="AI32">
        <f>1.30606401360878*1</f>
        <v>1.30606401360878</v>
      </c>
      <c r="AJ32">
        <v>1</v>
      </c>
      <c r="AK32">
        <v>0</v>
      </c>
      <c r="AL32">
        <v>0</v>
      </c>
      <c r="AN32" t="s">
        <v>25</v>
      </c>
      <c r="AO32">
        <f>SUMPRODUCT(Table1[Selected],Table1[MUN])</f>
        <v>1</v>
      </c>
      <c r="AP32">
        <v>3</v>
      </c>
    </row>
    <row r="33" spans="1:42" hidden="1" x14ac:dyDescent="0.2">
      <c r="A33" t="s">
        <v>110</v>
      </c>
      <c r="B33" t="s">
        <v>111</v>
      </c>
      <c r="C33" t="s">
        <v>111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4.9000000000000004</v>
      </c>
      <c r="AE33">
        <v>127</v>
      </c>
      <c r="AF33">
        <v>23.1328125</v>
      </c>
      <c r="AG33">
        <v>20.40423650061372</v>
      </c>
      <c r="AH33">
        <f>13.1402740569998*1</f>
        <v>13.1402740569998</v>
      </c>
      <c r="AI33">
        <f>1.48191828938558*1</f>
        <v>1.48191828938558</v>
      </c>
      <c r="AJ33">
        <v>1</v>
      </c>
      <c r="AK33">
        <v>0</v>
      </c>
      <c r="AL33">
        <v>0</v>
      </c>
      <c r="AN33" t="s">
        <v>26</v>
      </c>
      <c r="AO33">
        <f>SUMPRODUCT(Table1[Selected],Table1[NEW])</f>
        <v>2</v>
      </c>
      <c r="AP33">
        <v>3</v>
      </c>
    </row>
    <row r="34" spans="1:42" hidden="1" x14ac:dyDescent="0.2">
      <c r="A34" t="s">
        <v>112</v>
      </c>
      <c r="B34" t="s">
        <v>113</v>
      </c>
      <c r="C34" t="s">
        <v>113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131</v>
      </c>
      <c r="AF34">
        <v>21.308823529411761</v>
      </c>
      <c r="AG34">
        <v>17.320819533275969</v>
      </c>
      <c r="AH34">
        <f>18.7441268109266*1</f>
        <v>18.744126810926598</v>
      </c>
      <c r="AI34">
        <f>2.10851239339592*1</f>
        <v>2.10851239339592</v>
      </c>
      <c r="AJ34">
        <v>1</v>
      </c>
      <c r="AK34">
        <v>0</v>
      </c>
      <c r="AL34">
        <v>0</v>
      </c>
      <c r="AN34" t="s">
        <v>27</v>
      </c>
      <c r="AO34">
        <f>SUMPRODUCT(Table1[Selected],Table1[NFO])</f>
        <v>2</v>
      </c>
      <c r="AP34">
        <v>3</v>
      </c>
    </row>
    <row r="35" spans="1:42" x14ac:dyDescent="0.2">
      <c r="A35" t="s">
        <v>306</v>
      </c>
      <c r="B35" t="s">
        <v>307</v>
      </c>
      <c r="C35" t="s">
        <v>307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9.3000000000000007</v>
      </c>
      <c r="AE35">
        <v>561</v>
      </c>
      <c r="AF35">
        <v>58.3783783783784</v>
      </c>
      <c r="AG35">
        <v>50.855327330296163</v>
      </c>
      <c r="AH35">
        <f>55.4207815624685*1</f>
        <v>55.420781562468498</v>
      </c>
      <c r="AI35">
        <f>5.67844879774303*1</f>
        <v>5.6784487977430302</v>
      </c>
      <c r="AJ35">
        <v>1</v>
      </c>
      <c r="AK35">
        <v>1</v>
      </c>
      <c r="AL35">
        <v>1</v>
      </c>
      <c r="AN35" t="s">
        <v>28</v>
      </c>
      <c r="AO35">
        <f>SUMPRODUCT(Table1[Selected],Table1[SOU])</f>
        <v>0</v>
      </c>
      <c r="AP35">
        <v>3</v>
      </c>
    </row>
    <row r="36" spans="1:42" hidden="1" x14ac:dyDescent="0.2">
      <c r="A36" t="s">
        <v>116</v>
      </c>
      <c r="B36" t="s">
        <v>117</v>
      </c>
      <c r="C36" t="s">
        <v>117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15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4.8</v>
      </c>
      <c r="AE36">
        <v>134</v>
      </c>
      <c r="AF36">
        <v>25.833333333333339</v>
      </c>
      <c r="AG36">
        <v>23.077386080896311</v>
      </c>
      <c r="AH36">
        <f>14.5418013518186*1</f>
        <v>14.5418013518186</v>
      </c>
      <c r="AI36">
        <f>1.58006788108264*1</f>
        <v>1.5800678810826401</v>
      </c>
      <c r="AJ36">
        <v>1</v>
      </c>
      <c r="AK36">
        <v>0</v>
      </c>
      <c r="AL36">
        <v>0</v>
      </c>
      <c r="AN36" t="s">
        <v>29</v>
      </c>
      <c r="AO36">
        <f>SUMPRODUCT(Table1[Selected],Table1[TOT])</f>
        <v>0</v>
      </c>
      <c r="AP36">
        <v>3</v>
      </c>
    </row>
    <row r="37" spans="1:42" hidden="1" x14ac:dyDescent="0.2">
      <c r="A37" t="s">
        <v>118</v>
      </c>
      <c r="B37" t="s">
        <v>119</v>
      </c>
      <c r="C37" t="s">
        <v>119</v>
      </c>
      <c r="D37" t="s">
        <v>4</v>
      </c>
      <c r="E37">
        <v>0</v>
      </c>
      <c r="F37">
        <v>1</v>
      </c>
      <c r="G37">
        <v>0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4.4000000000000004</v>
      </c>
      <c r="AE37">
        <v>137</v>
      </c>
      <c r="AF37">
        <v>26.083333333333339</v>
      </c>
      <c r="AG37">
        <v>32.369965196577652</v>
      </c>
      <c r="AH37">
        <f>14.7670930555722*1</f>
        <v>14.7670930555722</v>
      </c>
      <c r="AI37">
        <f>1.7361876208828*1</f>
        <v>1.7361876208828</v>
      </c>
      <c r="AJ37">
        <v>1</v>
      </c>
      <c r="AK37">
        <v>0</v>
      </c>
      <c r="AL37">
        <v>0</v>
      </c>
      <c r="AN37" t="s">
        <v>30</v>
      </c>
      <c r="AO37">
        <f>SUMPRODUCT(Table1[Selected],Table1[WHU])</f>
        <v>0</v>
      </c>
      <c r="AP37">
        <v>3</v>
      </c>
    </row>
    <row r="38" spans="1:42" hidden="1" x14ac:dyDescent="0.2">
      <c r="A38" t="s">
        <v>120</v>
      </c>
      <c r="B38" t="s">
        <v>121</v>
      </c>
      <c r="C38" t="s">
        <v>121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5.0999999999999996</v>
      </c>
      <c r="AE38">
        <v>139</v>
      </c>
      <c r="AF38">
        <v>0</v>
      </c>
      <c r="AG38">
        <v>0</v>
      </c>
      <c r="AH38">
        <f>0*1</f>
        <v>0</v>
      </c>
      <c r="AI38">
        <f>0*1</f>
        <v>0</v>
      </c>
      <c r="AJ38">
        <v>1</v>
      </c>
      <c r="AK38">
        <v>0</v>
      </c>
      <c r="AL38">
        <v>0</v>
      </c>
      <c r="AN38" t="s">
        <v>31</v>
      </c>
      <c r="AO38">
        <f>SUMPRODUCT(Table1[Selected],Table1[WOL])</f>
        <v>0</v>
      </c>
      <c r="AP38">
        <v>3</v>
      </c>
    </row>
    <row r="39" spans="1:42" hidden="1" x14ac:dyDescent="0.2">
      <c r="A39" t="s">
        <v>122</v>
      </c>
      <c r="B39" t="s">
        <v>123</v>
      </c>
      <c r="C39" t="s">
        <v>123</v>
      </c>
      <c r="D39" t="s">
        <v>6</v>
      </c>
      <c r="E39">
        <v>0</v>
      </c>
      <c r="F39">
        <v>0</v>
      </c>
      <c r="G39">
        <v>0</v>
      </c>
      <c r="H39">
        <v>1</v>
      </c>
      <c r="I39" t="s">
        <v>15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6.5</v>
      </c>
      <c r="AE39">
        <v>143</v>
      </c>
      <c r="AF39">
        <v>42.277003043264891</v>
      </c>
      <c r="AG39">
        <v>27.520199215176479</v>
      </c>
      <c r="AH39">
        <f>39.8856441534039*1</f>
        <v>39.885644153403902</v>
      </c>
      <c r="AI39">
        <f>4.69904043952518*1</f>
        <v>4.6990404395251799</v>
      </c>
      <c r="AJ39">
        <v>1</v>
      </c>
      <c r="AK39">
        <v>0</v>
      </c>
      <c r="AL39">
        <v>0</v>
      </c>
    </row>
    <row r="40" spans="1:42" hidden="1" x14ac:dyDescent="0.2">
      <c r="A40" t="s">
        <v>124</v>
      </c>
      <c r="B40" t="s">
        <v>125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161</v>
      </c>
      <c r="AF40">
        <v>0</v>
      </c>
      <c r="AG40">
        <v>0</v>
      </c>
      <c r="AH40">
        <f>0*1</f>
        <v>0</v>
      </c>
      <c r="AI40">
        <f>0*1</f>
        <v>0</v>
      </c>
      <c r="AJ40">
        <v>1</v>
      </c>
      <c r="AK40">
        <v>0</v>
      </c>
      <c r="AL40">
        <v>0</v>
      </c>
    </row>
    <row r="41" spans="1:42" hidden="1" x14ac:dyDescent="0.2">
      <c r="A41" t="s">
        <v>126</v>
      </c>
      <c r="B41" t="s">
        <v>127</v>
      </c>
      <c r="C41" t="s">
        <v>128</v>
      </c>
      <c r="D41" t="s">
        <v>4</v>
      </c>
      <c r="E41">
        <v>0</v>
      </c>
      <c r="F41">
        <v>1</v>
      </c>
      <c r="G41">
        <v>0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4.9000000000000004</v>
      </c>
      <c r="AE41">
        <v>166</v>
      </c>
      <c r="AF41">
        <v>27.28678604673647</v>
      </c>
      <c r="AG41">
        <v>26.59638156452629</v>
      </c>
      <c r="AH41">
        <f>13.6855278864509*1</f>
        <v>13.685527886450901</v>
      </c>
      <c r="AI41">
        <f>1.74687513284028*1</f>
        <v>1.7468751328402801</v>
      </c>
      <c r="AJ41">
        <v>1</v>
      </c>
      <c r="AK41">
        <v>0</v>
      </c>
      <c r="AL41">
        <v>0</v>
      </c>
    </row>
    <row r="42" spans="1:42" hidden="1" x14ac:dyDescent="0.2">
      <c r="A42" t="s">
        <v>129</v>
      </c>
      <c r="B42" t="s">
        <v>130</v>
      </c>
      <c r="C42" t="s">
        <v>129</v>
      </c>
      <c r="D42" t="s">
        <v>6</v>
      </c>
      <c r="E42">
        <v>0</v>
      </c>
      <c r="F42">
        <v>0</v>
      </c>
      <c r="G42">
        <v>0</v>
      </c>
      <c r="H42">
        <v>1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5.6</v>
      </c>
      <c r="AE42">
        <v>172</v>
      </c>
      <c r="AF42">
        <v>39.636587484088977</v>
      </c>
      <c r="AG42">
        <v>28.672958618562689</v>
      </c>
      <c r="AH42">
        <f>41.2149406391167*1</f>
        <v>41.214940639116698</v>
      </c>
      <c r="AI42">
        <f>4.70751421722266*1</f>
        <v>4.7075142172226601</v>
      </c>
      <c r="AJ42">
        <v>1</v>
      </c>
      <c r="AK42">
        <v>0</v>
      </c>
      <c r="AL42">
        <v>0</v>
      </c>
    </row>
    <row r="43" spans="1:42" hidden="1" x14ac:dyDescent="0.2">
      <c r="A43" t="s">
        <v>131</v>
      </c>
      <c r="B43" t="s">
        <v>132</v>
      </c>
      <c r="C43" t="s">
        <v>133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4.5</v>
      </c>
      <c r="AE43">
        <v>187</v>
      </c>
      <c r="AF43">
        <v>31.984205578455349</v>
      </c>
      <c r="AG43">
        <v>15.185551941346869</v>
      </c>
      <c r="AH43">
        <f>24.3270104363838*1</f>
        <v>24.327010436383802</v>
      </c>
      <c r="AI43">
        <f>2.8851644085187*1</f>
        <v>2.8851644085186998</v>
      </c>
      <c r="AJ43">
        <v>1</v>
      </c>
      <c r="AK43">
        <v>0</v>
      </c>
      <c r="AL43">
        <v>0</v>
      </c>
    </row>
    <row r="44" spans="1:42" hidden="1" x14ac:dyDescent="0.2">
      <c r="A44" t="s">
        <v>134</v>
      </c>
      <c r="B44" t="s">
        <v>135</v>
      </c>
      <c r="C44" t="s">
        <v>135</v>
      </c>
      <c r="D44" t="s">
        <v>3</v>
      </c>
      <c r="E44">
        <v>1</v>
      </c>
      <c r="F44">
        <v>0</v>
      </c>
      <c r="G44">
        <v>0</v>
      </c>
      <c r="H44">
        <v>0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4.5</v>
      </c>
      <c r="AE44">
        <v>189</v>
      </c>
      <c r="AF44">
        <v>0</v>
      </c>
      <c r="AG44">
        <v>0</v>
      </c>
      <c r="AH44">
        <f>0*1</f>
        <v>0</v>
      </c>
      <c r="AI44">
        <f>0*1</f>
        <v>0</v>
      </c>
      <c r="AJ44">
        <v>1</v>
      </c>
      <c r="AK44">
        <v>0</v>
      </c>
      <c r="AL44">
        <v>0</v>
      </c>
    </row>
    <row r="45" spans="1:42" hidden="1" x14ac:dyDescent="0.2">
      <c r="A45" t="s">
        <v>136</v>
      </c>
      <c r="B45" t="s">
        <v>137</v>
      </c>
      <c r="C45" t="s">
        <v>137</v>
      </c>
      <c r="D45" t="s">
        <v>6</v>
      </c>
      <c r="E45">
        <v>0</v>
      </c>
      <c r="F45">
        <v>0</v>
      </c>
      <c r="G45">
        <v>0</v>
      </c>
      <c r="H45">
        <v>1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5.5</v>
      </c>
      <c r="AE45">
        <v>191</v>
      </c>
      <c r="AF45">
        <v>27.997919269910589</v>
      </c>
      <c r="AG45">
        <v>24.291581602131981</v>
      </c>
      <c r="AH45">
        <f>19.8225586444321*1</f>
        <v>19.8225586444321</v>
      </c>
      <c r="AI45">
        <f>1.93284669672708*1</f>
        <v>1.9328466967270801</v>
      </c>
      <c r="AJ45">
        <v>1</v>
      </c>
      <c r="AK45">
        <v>0</v>
      </c>
      <c r="AL45">
        <v>0</v>
      </c>
    </row>
    <row r="46" spans="1:42" hidden="1" x14ac:dyDescent="0.2">
      <c r="A46" t="s">
        <v>138</v>
      </c>
      <c r="B46" t="s">
        <v>139</v>
      </c>
      <c r="C46" t="s">
        <v>138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5.0999999999999996</v>
      </c>
      <c r="AE46">
        <v>197</v>
      </c>
      <c r="AF46">
        <v>0</v>
      </c>
      <c r="AG46">
        <v>0</v>
      </c>
      <c r="AH46">
        <f>0*1</f>
        <v>0</v>
      </c>
      <c r="AI46">
        <f>0*1</f>
        <v>0</v>
      </c>
      <c r="AJ46">
        <v>1</v>
      </c>
      <c r="AK46">
        <v>0</v>
      </c>
      <c r="AL46">
        <v>0</v>
      </c>
    </row>
    <row r="47" spans="1:42" hidden="1" x14ac:dyDescent="0.2">
      <c r="A47" t="s">
        <v>140</v>
      </c>
      <c r="B47" t="s">
        <v>141</v>
      </c>
      <c r="C47" t="s">
        <v>142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4.9000000000000004</v>
      </c>
      <c r="AE47">
        <v>213</v>
      </c>
      <c r="AF47">
        <v>21.22642141995161</v>
      </c>
      <c r="AG47">
        <v>21.8498635407263</v>
      </c>
      <c r="AH47">
        <f>17.5560976848381*1</f>
        <v>17.5560976848381</v>
      </c>
      <c r="AI47">
        <f>2.13790306944173*1</f>
        <v>2.1379030694417298</v>
      </c>
      <c r="AJ47">
        <v>1</v>
      </c>
      <c r="AK47">
        <v>0</v>
      </c>
      <c r="AL47">
        <v>0</v>
      </c>
    </row>
    <row r="48" spans="1:42" hidden="1" x14ac:dyDescent="0.2">
      <c r="A48" t="s">
        <v>143</v>
      </c>
      <c r="B48" t="s">
        <v>144</v>
      </c>
      <c r="C48" t="s">
        <v>144</v>
      </c>
      <c r="D48" t="s">
        <v>4</v>
      </c>
      <c r="E48">
        <v>0</v>
      </c>
      <c r="F48">
        <v>1</v>
      </c>
      <c r="G48">
        <v>0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4.4000000000000004</v>
      </c>
      <c r="AE48">
        <v>217</v>
      </c>
      <c r="AF48">
        <v>24.13636363636364</v>
      </c>
      <c r="AG48">
        <v>25.689670437720991</v>
      </c>
      <c r="AH48">
        <f>13.7364321406976*1</f>
        <v>13.7364321406976</v>
      </c>
      <c r="AI48">
        <f>1.58127218180565*1</f>
        <v>1.5812721818056501</v>
      </c>
      <c r="AJ48">
        <v>1</v>
      </c>
      <c r="AK48">
        <v>0</v>
      </c>
      <c r="AL48">
        <v>0</v>
      </c>
    </row>
    <row r="49" spans="1:38" hidden="1" x14ac:dyDescent="0.2">
      <c r="A49" t="s">
        <v>145</v>
      </c>
      <c r="B49" t="s">
        <v>146</v>
      </c>
      <c r="C49" t="s">
        <v>147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5.2</v>
      </c>
      <c r="AE49">
        <v>218</v>
      </c>
      <c r="AF49">
        <v>26.338235294117641</v>
      </c>
      <c r="AG49">
        <v>24.585789207129459</v>
      </c>
      <c r="AH49">
        <f>24.2039889248741*1</f>
        <v>24.2039889248741</v>
      </c>
      <c r="AI49">
        <f>2.76878982854632*1</f>
        <v>2.7687898285463199</v>
      </c>
      <c r="AJ49">
        <v>1</v>
      </c>
      <c r="AK49">
        <v>0</v>
      </c>
      <c r="AL49">
        <v>0</v>
      </c>
    </row>
    <row r="50" spans="1:38" hidden="1" x14ac:dyDescent="0.2">
      <c r="A50" t="s">
        <v>148</v>
      </c>
      <c r="B50" t="s">
        <v>149</v>
      </c>
      <c r="C50" t="s">
        <v>148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4.7</v>
      </c>
      <c r="AE50">
        <v>222</v>
      </c>
      <c r="AF50">
        <v>26.30261744867115</v>
      </c>
      <c r="AG50">
        <v>22.592951565199549</v>
      </c>
      <c r="AH50">
        <f>25.1912427724378*1</f>
        <v>25.1912427724378</v>
      </c>
      <c r="AI50">
        <f>2.93521879811205*1</f>
        <v>2.9352187981120501</v>
      </c>
      <c r="AJ50">
        <v>1</v>
      </c>
      <c r="AK50">
        <v>0</v>
      </c>
      <c r="AL50">
        <v>0</v>
      </c>
    </row>
    <row r="51" spans="1:38" hidden="1" x14ac:dyDescent="0.2">
      <c r="A51" t="s">
        <v>150</v>
      </c>
      <c r="B51" t="s">
        <v>151</v>
      </c>
      <c r="C51" t="s">
        <v>151</v>
      </c>
      <c r="D51" t="s">
        <v>4</v>
      </c>
      <c r="E51">
        <v>0</v>
      </c>
      <c r="F51">
        <v>1</v>
      </c>
      <c r="G51">
        <v>0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4.9000000000000004</v>
      </c>
      <c r="AE51">
        <v>225</v>
      </c>
      <c r="AF51">
        <v>0</v>
      </c>
      <c r="AG51">
        <v>0</v>
      </c>
      <c r="AH51">
        <f>0*1</f>
        <v>0</v>
      </c>
      <c r="AI51">
        <f>0*1</f>
        <v>0</v>
      </c>
      <c r="AJ51">
        <v>1</v>
      </c>
      <c r="AK51">
        <v>0</v>
      </c>
      <c r="AL51">
        <v>0</v>
      </c>
    </row>
    <row r="52" spans="1:38" hidden="1" x14ac:dyDescent="0.2">
      <c r="A52" t="s">
        <v>152</v>
      </c>
      <c r="B52" t="s">
        <v>153</v>
      </c>
      <c r="C52" t="s">
        <v>153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231</v>
      </c>
      <c r="AF52">
        <v>0</v>
      </c>
      <c r="AG52">
        <v>0</v>
      </c>
      <c r="AH52">
        <f>0*1</f>
        <v>0</v>
      </c>
      <c r="AI52">
        <f>0*1</f>
        <v>0</v>
      </c>
      <c r="AJ52">
        <v>1</v>
      </c>
      <c r="AK52">
        <v>0</v>
      </c>
      <c r="AL52">
        <v>0</v>
      </c>
    </row>
    <row r="53" spans="1:38" hidden="1" x14ac:dyDescent="0.2">
      <c r="A53" t="s">
        <v>154</v>
      </c>
      <c r="B53" t="s">
        <v>155</v>
      </c>
      <c r="C53" t="s">
        <v>156</v>
      </c>
      <c r="D53" t="s">
        <v>6</v>
      </c>
      <c r="E53">
        <v>0</v>
      </c>
      <c r="F53">
        <v>0</v>
      </c>
      <c r="G53">
        <v>0</v>
      </c>
      <c r="H53">
        <v>1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7.7</v>
      </c>
      <c r="AE53">
        <v>234</v>
      </c>
      <c r="AF53">
        <v>0</v>
      </c>
      <c r="AG53">
        <v>0</v>
      </c>
      <c r="AH53">
        <f>0*1</f>
        <v>0</v>
      </c>
      <c r="AI53">
        <f>0*1</f>
        <v>0</v>
      </c>
      <c r="AJ53">
        <v>1</v>
      </c>
      <c r="AK53">
        <v>0</v>
      </c>
      <c r="AL53">
        <v>0</v>
      </c>
    </row>
    <row r="54" spans="1:38" hidden="1" x14ac:dyDescent="0.2">
      <c r="A54" t="s">
        <v>157</v>
      </c>
      <c r="B54" t="s">
        <v>158</v>
      </c>
      <c r="C54" t="s">
        <v>158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5.7</v>
      </c>
      <c r="AE54">
        <v>235</v>
      </c>
      <c r="AF54">
        <v>0</v>
      </c>
      <c r="AG54">
        <v>0</v>
      </c>
      <c r="AH54">
        <f>0*1</f>
        <v>0</v>
      </c>
      <c r="AI54">
        <f>0*1</f>
        <v>0</v>
      </c>
      <c r="AJ54">
        <v>1</v>
      </c>
      <c r="AK54">
        <v>0</v>
      </c>
      <c r="AL54">
        <v>0</v>
      </c>
    </row>
    <row r="55" spans="1:38" hidden="1" x14ac:dyDescent="0.2">
      <c r="A55" t="s">
        <v>159</v>
      </c>
      <c r="B55" t="s">
        <v>160</v>
      </c>
      <c r="C55" t="s">
        <v>160</v>
      </c>
      <c r="D55" t="s">
        <v>5</v>
      </c>
      <c r="E55">
        <v>0</v>
      </c>
      <c r="F55">
        <v>0</v>
      </c>
      <c r="G55">
        <v>1</v>
      </c>
      <c r="H55">
        <v>0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10.8</v>
      </c>
      <c r="AE55">
        <v>236</v>
      </c>
      <c r="AF55">
        <v>36.693220877693399</v>
      </c>
      <c r="AG55">
        <v>65.054669843176399</v>
      </c>
      <c r="AH55">
        <f>24.3015423318265*1</f>
        <v>24.3015423318265</v>
      </c>
      <c r="AI55">
        <f>2.57404239026423*1</f>
        <v>2.5740423902642302</v>
      </c>
      <c r="AJ55">
        <v>1</v>
      </c>
      <c r="AK55">
        <v>0</v>
      </c>
      <c r="AL55">
        <v>0</v>
      </c>
    </row>
    <row r="56" spans="1:38" hidden="1" x14ac:dyDescent="0.2">
      <c r="A56" t="s">
        <v>161</v>
      </c>
      <c r="B56" t="s">
        <v>162</v>
      </c>
      <c r="C56" t="s">
        <v>162</v>
      </c>
      <c r="D56" t="s">
        <v>3</v>
      </c>
      <c r="E56">
        <v>1</v>
      </c>
      <c r="F56">
        <v>0</v>
      </c>
      <c r="G56">
        <v>0</v>
      </c>
      <c r="H56">
        <v>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4.5</v>
      </c>
      <c r="AE56">
        <v>239</v>
      </c>
      <c r="AF56">
        <v>32.237704918032769</v>
      </c>
      <c r="AG56">
        <v>30.795884069737681</v>
      </c>
      <c r="AH56">
        <f>20.7234544693556*1</f>
        <v>20.723454469355602</v>
      </c>
      <c r="AI56">
        <f>2.24016976567013*1</f>
        <v>2.2401697656701298</v>
      </c>
      <c r="AJ56">
        <v>1</v>
      </c>
      <c r="AK56">
        <v>0</v>
      </c>
      <c r="AL56">
        <v>0</v>
      </c>
    </row>
    <row r="57" spans="1:38" hidden="1" x14ac:dyDescent="0.2">
      <c r="A57" t="s">
        <v>163</v>
      </c>
      <c r="B57" t="s">
        <v>164</v>
      </c>
      <c r="C57" t="s">
        <v>164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6.2</v>
      </c>
      <c r="AE57">
        <v>242</v>
      </c>
      <c r="AF57">
        <v>25.426332149725319</v>
      </c>
      <c r="AG57">
        <v>32.733695510852407</v>
      </c>
      <c r="AH57">
        <f>13.7542558257577*1</f>
        <v>13.754255825757699</v>
      </c>
      <c r="AI57">
        <f>1.50058035175162*1</f>
        <v>1.5005803517516201</v>
      </c>
      <c r="AJ57">
        <v>1</v>
      </c>
      <c r="AK57">
        <v>0</v>
      </c>
      <c r="AL57">
        <v>0</v>
      </c>
    </row>
    <row r="58" spans="1:38" hidden="1" x14ac:dyDescent="0.2">
      <c r="A58" t="s">
        <v>165</v>
      </c>
      <c r="B58" t="s">
        <v>166</v>
      </c>
      <c r="C58" t="s">
        <v>167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6.3</v>
      </c>
      <c r="AE58">
        <v>243</v>
      </c>
      <c r="AF58">
        <v>27.389439425810892</v>
      </c>
      <c r="AG58">
        <v>27.6765935237738</v>
      </c>
      <c r="AH58">
        <f>19.163812804099*1</f>
        <v>19.163812804098999</v>
      </c>
      <c r="AI58">
        <f>2.17277813019077*1</f>
        <v>2.1727781301907698</v>
      </c>
      <c r="AJ58">
        <v>1</v>
      </c>
      <c r="AK58">
        <v>0</v>
      </c>
      <c r="AL58">
        <v>0</v>
      </c>
    </row>
    <row r="59" spans="1:38" hidden="1" x14ac:dyDescent="0.2">
      <c r="A59" t="s">
        <v>168</v>
      </c>
      <c r="B59" t="s">
        <v>169</v>
      </c>
      <c r="C59" t="s">
        <v>169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6.7</v>
      </c>
      <c r="AE59">
        <v>264</v>
      </c>
      <c r="AF59">
        <v>38.846153846153818</v>
      </c>
      <c r="AG59">
        <v>36.440444002125638</v>
      </c>
      <c r="AH59">
        <f>28.9533823338466*1</f>
        <v>28.953382333846601</v>
      </c>
      <c r="AI59">
        <f>2.83850158384162*1</f>
        <v>2.8385015838416199</v>
      </c>
      <c r="AJ59">
        <v>1</v>
      </c>
      <c r="AK59">
        <v>0</v>
      </c>
      <c r="AL59">
        <v>0</v>
      </c>
    </row>
    <row r="60" spans="1:38" hidden="1" x14ac:dyDescent="0.2">
      <c r="A60" t="s">
        <v>145</v>
      </c>
      <c r="B60" t="s">
        <v>170</v>
      </c>
      <c r="C60" t="s">
        <v>170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4.7</v>
      </c>
      <c r="AE60">
        <v>265</v>
      </c>
      <c r="AF60">
        <v>30.74380165289255</v>
      </c>
      <c r="AG60">
        <v>26.162694400634539</v>
      </c>
      <c r="AH60">
        <f>22.0505169010561*1</f>
        <v>22.050516901056099</v>
      </c>
      <c r="AI60">
        <f>2.03623702419949*1</f>
        <v>2.0362370241994898</v>
      </c>
      <c r="AJ60">
        <v>1</v>
      </c>
      <c r="AK60">
        <v>0</v>
      </c>
      <c r="AL60">
        <v>0</v>
      </c>
    </row>
    <row r="61" spans="1:38" hidden="1" x14ac:dyDescent="0.2">
      <c r="A61" t="s">
        <v>171</v>
      </c>
      <c r="B61" t="s">
        <v>172</v>
      </c>
      <c r="C61" t="s">
        <v>172</v>
      </c>
      <c r="D61" t="s">
        <v>3</v>
      </c>
      <c r="E61">
        <v>1</v>
      </c>
      <c r="F61">
        <v>0</v>
      </c>
      <c r="G61">
        <v>0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4.5999999999999996</v>
      </c>
      <c r="AE61">
        <v>266</v>
      </c>
      <c r="AF61">
        <v>37.608552542631458</v>
      </c>
      <c r="AG61">
        <v>41.420296289240987</v>
      </c>
      <c r="AH61">
        <f>22.5466160802195*1</f>
        <v>22.546616080219501</v>
      </c>
      <c r="AI61">
        <f>2.14331187628184*1</f>
        <v>2.1433118762818402</v>
      </c>
      <c r="AJ61">
        <v>1</v>
      </c>
      <c r="AK61">
        <v>0</v>
      </c>
      <c r="AL61">
        <v>0</v>
      </c>
    </row>
    <row r="62" spans="1:38" hidden="1" x14ac:dyDescent="0.2">
      <c r="A62" t="s">
        <v>173</v>
      </c>
      <c r="B62" t="s">
        <v>174</v>
      </c>
      <c r="C62" t="s">
        <v>174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4.9000000000000004</v>
      </c>
      <c r="AE62">
        <v>268</v>
      </c>
      <c r="AF62">
        <v>21.29032258064516</v>
      </c>
      <c r="AG62">
        <v>19.579933369474819</v>
      </c>
      <c r="AH62">
        <f>15.6924612923466*1</f>
        <v>15.6924612923466</v>
      </c>
      <c r="AI62">
        <f>1.50754713597455*1</f>
        <v>1.50754713597455</v>
      </c>
      <c r="AJ62">
        <v>1</v>
      </c>
      <c r="AK62">
        <v>0</v>
      </c>
      <c r="AL62">
        <v>0</v>
      </c>
    </row>
    <row r="63" spans="1:38" hidden="1" x14ac:dyDescent="0.2">
      <c r="A63" t="s">
        <v>175</v>
      </c>
      <c r="B63" t="s">
        <v>176</v>
      </c>
      <c r="C63" t="s">
        <v>177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4.8</v>
      </c>
      <c r="AE63">
        <v>270</v>
      </c>
      <c r="AF63">
        <v>19.977776684886379</v>
      </c>
      <c r="AG63">
        <v>26.68866013806414</v>
      </c>
      <c r="AH63">
        <f>9.07393646148436*1</f>
        <v>9.0739364614843598</v>
      </c>
      <c r="AI63">
        <f>0.869596570834062*1</f>
        <v>0.86959657083406205</v>
      </c>
      <c r="AJ63">
        <v>1</v>
      </c>
      <c r="AK63">
        <v>0</v>
      </c>
      <c r="AL63">
        <v>0</v>
      </c>
    </row>
    <row r="64" spans="1:38" x14ac:dyDescent="0.2">
      <c r="A64" t="s">
        <v>178</v>
      </c>
      <c r="B64" t="s">
        <v>179</v>
      </c>
      <c r="C64" t="s">
        <v>179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7.5</v>
      </c>
      <c r="AE64">
        <v>271</v>
      </c>
      <c r="AF64">
        <v>59.444808289351712</v>
      </c>
      <c r="AG64">
        <v>32.437859863787303</v>
      </c>
      <c r="AH64">
        <f>56.1363957868089*1</f>
        <v>56.136395786808897</v>
      </c>
      <c r="AI64">
        <f>5.52770932930744*1</f>
        <v>5.5277093293074397</v>
      </c>
      <c r="AJ64">
        <v>1</v>
      </c>
      <c r="AK64">
        <v>0</v>
      </c>
      <c r="AL64">
        <v>1</v>
      </c>
    </row>
    <row r="65" spans="1:38" hidden="1" x14ac:dyDescent="0.2">
      <c r="A65" t="s">
        <v>180</v>
      </c>
      <c r="B65" t="s">
        <v>181</v>
      </c>
      <c r="C65" t="s">
        <v>181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4.8</v>
      </c>
      <c r="AE65">
        <v>274</v>
      </c>
      <c r="AF65">
        <v>30.25974025974023</v>
      </c>
      <c r="AG65">
        <v>27.874803516053959</v>
      </c>
      <c r="AH65">
        <f>23.8152866635556*1</f>
        <v>23.8152866635556</v>
      </c>
      <c r="AI65">
        <f>2.35636057863798*1</f>
        <v>2.3563605786379802</v>
      </c>
      <c r="AJ65">
        <v>1</v>
      </c>
      <c r="AK65">
        <v>0</v>
      </c>
      <c r="AL65">
        <v>0</v>
      </c>
    </row>
    <row r="66" spans="1:38" hidden="1" x14ac:dyDescent="0.2">
      <c r="A66" t="s">
        <v>182</v>
      </c>
      <c r="B66" t="s">
        <v>183</v>
      </c>
      <c r="C66" t="s">
        <v>183</v>
      </c>
      <c r="D66" t="s">
        <v>4</v>
      </c>
      <c r="E66">
        <v>0</v>
      </c>
      <c r="F66">
        <v>1</v>
      </c>
      <c r="G66">
        <v>0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5.0999999999999996</v>
      </c>
      <c r="AE66">
        <v>275</v>
      </c>
      <c r="AF66">
        <v>0</v>
      </c>
      <c r="AG66">
        <v>0</v>
      </c>
      <c r="AH66">
        <f>0*1</f>
        <v>0</v>
      </c>
      <c r="AI66">
        <f>0*1</f>
        <v>0</v>
      </c>
      <c r="AJ66">
        <v>1</v>
      </c>
      <c r="AK66">
        <v>0</v>
      </c>
      <c r="AL66">
        <v>0</v>
      </c>
    </row>
    <row r="67" spans="1:38" hidden="1" x14ac:dyDescent="0.2">
      <c r="A67" t="s">
        <v>184</v>
      </c>
      <c r="B67" t="s">
        <v>185</v>
      </c>
      <c r="C67" t="s">
        <v>186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5.6</v>
      </c>
      <c r="AE67">
        <v>282</v>
      </c>
      <c r="AF67">
        <v>0</v>
      </c>
      <c r="AG67">
        <v>0</v>
      </c>
      <c r="AH67">
        <f>0*1</f>
        <v>0</v>
      </c>
      <c r="AI67">
        <f>0*1</f>
        <v>0</v>
      </c>
      <c r="AJ67">
        <v>1</v>
      </c>
      <c r="AK67">
        <v>0</v>
      </c>
      <c r="AL67">
        <v>0</v>
      </c>
    </row>
    <row r="68" spans="1:38" hidden="1" x14ac:dyDescent="0.2">
      <c r="A68" t="s">
        <v>187</v>
      </c>
      <c r="B68" t="s">
        <v>188</v>
      </c>
      <c r="C68" t="s">
        <v>189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5.0999999999999996</v>
      </c>
      <c r="AE68">
        <v>293</v>
      </c>
      <c r="AF68">
        <v>27.259479573549079</v>
      </c>
      <c r="AG68">
        <v>29.982054434929811</v>
      </c>
      <c r="AH68">
        <f>16.4298863615065*1</f>
        <v>16.429886361506501</v>
      </c>
      <c r="AI68">
        <f>1.36229240110859*1</f>
        <v>1.36229240110859</v>
      </c>
      <c r="AJ68">
        <v>1</v>
      </c>
      <c r="AK68">
        <v>0</v>
      </c>
      <c r="AL68">
        <v>0</v>
      </c>
    </row>
    <row r="69" spans="1:38" hidden="1" x14ac:dyDescent="0.2">
      <c r="A69" t="s">
        <v>190</v>
      </c>
      <c r="B69" t="s">
        <v>191</v>
      </c>
      <c r="C69" t="s">
        <v>191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4.8</v>
      </c>
      <c r="AE69">
        <v>295</v>
      </c>
      <c r="AF69">
        <v>27.415384615384621</v>
      </c>
      <c r="AG69">
        <v>39.063366587126588</v>
      </c>
      <c r="AH69">
        <f>22.8800141816401*1</f>
        <v>22.880014181640099</v>
      </c>
      <c r="AI69">
        <f>2.73562277663217*1</f>
        <v>2.7356227766321699</v>
      </c>
      <c r="AJ69">
        <v>1</v>
      </c>
      <c r="AK69">
        <v>0</v>
      </c>
      <c r="AL69">
        <v>0</v>
      </c>
    </row>
    <row r="70" spans="1:38" hidden="1" x14ac:dyDescent="0.2">
      <c r="A70" t="s">
        <v>192</v>
      </c>
      <c r="B70" t="s">
        <v>193</v>
      </c>
      <c r="C70" t="s">
        <v>193</v>
      </c>
      <c r="D70" t="s">
        <v>6</v>
      </c>
      <c r="E70">
        <v>0</v>
      </c>
      <c r="F70">
        <v>0</v>
      </c>
      <c r="G70">
        <v>0</v>
      </c>
      <c r="H70">
        <v>1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5.4</v>
      </c>
      <c r="AE70">
        <v>296</v>
      </c>
      <c r="AF70">
        <v>29.588815466359652</v>
      </c>
      <c r="AG70">
        <v>32.55970273967062</v>
      </c>
      <c r="AH70">
        <f>19.5255881445662*1</f>
        <v>19.5255881445662</v>
      </c>
      <c r="AI70">
        <f>1.88693524137918*1</f>
        <v>1.88693524137918</v>
      </c>
      <c r="AJ70">
        <v>1</v>
      </c>
      <c r="AK70">
        <v>0</v>
      </c>
      <c r="AL70">
        <v>0</v>
      </c>
    </row>
    <row r="71" spans="1:38" hidden="1" x14ac:dyDescent="0.2">
      <c r="A71" t="s">
        <v>194</v>
      </c>
      <c r="B71" t="s">
        <v>195</v>
      </c>
      <c r="C71" t="s">
        <v>196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4.8</v>
      </c>
      <c r="AE71">
        <v>298</v>
      </c>
      <c r="AF71">
        <v>21.02586206896552</v>
      </c>
      <c r="AG71">
        <v>18.815698942181939</v>
      </c>
      <c r="AH71">
        <f>18.420042550279*1</f>
        <v>18.420042550279</v>
      </c>
      <c r="AI71">
        <f>2.08696629531126*1</f>
        <v>2.0869662953112602</v>
      </c>
      <c r="AJ71">
        <v>1</v>
      </c>
      <c r="AK71">
        <v>0</v>
      </c>
      <c r="AL71">
        <v>0</v>
      </c>
    </row>
    <row r="72" spans="1:38" hidden="1" x14ac:dyDescent="0.2">
      <c r="A72" t="s">
        <v>197</v>
      </c>
      <c r="B72" t="s">
        <v>198</v>
      </c>
      <c r="C72" t="s">
        <v>198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5.2</v>
      </c>
      <c r="AE72">
        <v>300</v>
      </c>
      <c r="AF72">
        <v>32.176470588235269</v>
      </c>
      <c r="AG72">
        <v>29.386218145416539</v>
      </c>
      <c r="AH72">
        <f>10.8952571679335*1</f>
        <v>10.895257167933501</v>
      </c>
      <c r="AI72">
        <f>1.21494986317883*1</f>
        <v>1.21494986317883</v>
      </c>
      <c r="AJ72">
        <v>1</v>
      </c>
      <c r="AK72">
        <v>0</v>
      </c>
      <c r="AL72">
        <v>0</v>
      </c>
    </row>
    <row r="73" spans="1:38" hidden="1" x14ac:dyDescent="0.2">
      <c r="A73" t="s">
        <v>199</v>
      </c>
      <c r="B73" t="s">
        <v>200</v>
      </c>
      <c r="C73" t="s">
        <v>200</v>
      </c>
      <c r="D73" t="s">
        <v>4</v>
      </c>
      <c r="E73">
        <v>0</v>
      </c>
      <c r="F73">
        <v>1</v>
      </c>
      <c r="G73">
        <v>0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4.4000000000000004</v>
      </c>
      <c r="AE73">
        <v>307</v>
      </c>
      <c r="AF73">
        <v>25.791645856903791</v>
      </c>
      <c r="AG73">
        <v>25.449446867262001</v>
      </c>
      <c r="AH73">
        <f>13.4935859226749*1</f>
        <v>13.4935859226749</v>
      </c>
      <c r="AI73">
        <f>1.43845928653952*1</f>
        <v>1.43845928653952</v>
      </c>
      <c r="AJ73">
        <v>1</v>
      </c>
      <c r="AK73">
        <v>0</v>
      </c>
      <c r="AL73">
        <v>0</v>
      </c>
    </row>
    <row r="74" spans="1:38" x14ac:dyDescent="0.2">
      <c r="A74" t="s">
        <v>308</v>
      </c>
      <c r="B74" t="s">
        <v>309</v>
      </c>
      <c r="C74" t="s">
        <v>310</v>
      </c>
      <c r="D74" t="s">
        <v>5</v>
      </c>
      <c r="E74">
        <v>0</v>
      </c>
      <c r="F74">
        <v>0</v>
      </c>
      <c r="G74">
        <v>1</v>
      </c>
      <c r="H74">
        <v>0</v>
      </c>
      <c r="I74" t="s">
        <v>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</v>
      </c>
      <c r="AE74">
        <v>562</v>
      </c>
      <c r="AF74">
        <v>41.933256394141097</v>
      </c>
      <c r="AG74">
        <v>19.231892961576381</v>
      </c>
      <c r="AH74">
        <f>52.9502815089799*1</f>
        <v>52.950281508979899</v>
      </c>
      <c r="AI74">
        <f>5.27285355238035*1</f>
        <v>5.2728535523803499</v>
      </c>
      <c r="AJ74">
        <v>1</v>
      </c>
      <c r="AK74">
        <v>1</v>
      </c>
      <c r="AL74">
        <v>1</v>
      </c>
    </row>
    <row r="75" spans="1:38" x14ac:dyDescent="0.2">
      <c r="A75" t="s">
        <v>93</v>
      </c>
      <c r="B75" t="s">
        <v>94</v>
      </c>
      <c r="C75" t="s">
        <v>95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5.0999999999999996</v>
      </c>
      <c r="AE75">
        <v>92</v>
      </c>
      <c r="AF75">
        <v>34.190222583888733</v>
      </c>
      <c r="AG75">
        <v>15.759190265734</v>
      </c>
      <c r="AH75">
        <f>45.2968932327003*1</f>
        <v>45.296893232700299</v>
      </c>
      <c r="AI75">
        <f>4.98185157168049*1</f>
        <v>4.9818515716804903</v>
      </c>
      <c r="AJ75">
        <v>1</v>
      </c>
      <c r="AK75">
        <v>1</v>
      </c>
      <c r="AL75">
        <v>1</v>
      </c>
    </row>
    <row r="76" spans="1:38" hidden="1" x14ac:dyDescent="0.2">
      <c r="A76" t="s">
        <v>205</v>
      </c>
      <c r="B76" t="s">
        <v>206</v>
      </c>
      <c r="C76" t="s">
        <v>206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4.4000000000000004</v>
      </c>
      <c r="AE76">
        <v>313</v>
      </c>
      <c r="AF76">
        <v>22.903448275862079</v>
      </c>
      <c r="AG76">
        <v>20.853476320713</v>
      </c>
      <c r="AH76">
        <f>20.0176321908166*1</f>
        <v>20.017632190816599</v>
      </c>
      <c r="AI76">
        <f>2.33321222322913*1</f>
        <v>2.3332122232291299</v>
      </c>
      <c r="AJ76">
        <v>1</v>
      </c>
      <c r="AK76">
        <v>0</v>
      </c>
      <c r="AL76">
        <v>0</v>
      </c>
    </row>
    <row r="77" spans="1:38" hidden="1" x14ac:dyDescent="0.2">
      <c r="A77" t="s">
        <v>207</v>
      </c>
      <c r="B77" t="s">
        <v>208</v>
      </c>
      <c r="C77" t="s">
        <v>208</v>
      </c>
      <c r="D77" t="s">
        <v>5</v>
      </c>
      <c r="E77">
        <v>0</v>
      </c>
      <c r="F77">
        <v>0</v>
      </c>
      <c r="G77">
        <v>1</v>
      </c>
      <c r="H77">
        <v>0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5.0999999999999996</v>
      </c>
      <c r="AE77">
        <v>328</v>
      </c>
      <c r="AF77">
        <v>29.117647058823518</v>
      </c>
      <c r="AG77">
        <v>34.018907390976317</v>
      </c>
      <c r="AH77">
        <f>15.4651219085106*1</f>
        <v>15.4651219085106</v>
      </c>
      <c r="AI77">
        <f>1.85220331411988*1</f>
        <v>1.8522033141198799</v>
      </c>
      <c r="AJ77">
        <v>1</v>
      </c>
      <c r="AK77">
        <v>0</v>
      </c>
      <c r="AL77">
        <v>0</v>
      </c>
    </row>
    <row r="78" spans="1:38" hidden="1" x14ac:dyDescent="0.2">
      <c r="A78" t="s">
        <v>209</v>
      </c>
      <c r="B78" t="s">
        <v>210</v>
      </c>
      <c r="C78" t="s">
        <v>210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4.2</v>
      </c>
      <c r="AE78">
        <v>329</v>
      </c>
      <c r="AF78">
        <v>26.335570469798679</v>
      </c>
      <c r="AG78">
        <v>30.63030328262397</v>
      </c>
      <c r="AH78">
        <f>14.2934495265968*1</f>
        <v>14.293449526596801</v>
      </c>
      <c r="AI78">
        <f>1.55043423834449*1</f>
        <v>1.55043423834449</v>
      </c>
      <c r="AJ78">
        <v>1</v>
      </c>
      <c r="AK78">
        <v>0</v>
      </c>
      <c r="AL78">
        <v>0</v>
      </c>
    </row>
    <row r="79" spans="1:38" hidden="1" x14ac:dyDescent="0.2">
      <c r="A79" t="s">
        <v>211</v>
      </c>
      <c r="B79" t="s">
        <v>212</v>
      </c>
      <c r="C79" t="s">
        <v>211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4.5999999999999996</v>
      </c>
      <c r="AE79">
        <v>330</v>
      </c>
      <c r="AF79">
        <v>22.94000079664476</v>
      </c>
      <c r="AG79">
        <v>20.95632873586414</v>
      </c>
      <c r="AH79">
        <f>15.577254063172*1</f>
        <v>15.577254063171999</v>
      </c>
      <c r="AI79">
        <f>2.03175066427144*1</f>
        <v>2.0317506642714398</v>
      </c>
      <c r="AJ79">
        <v>1</v>
      </c>
      <c r="AK79">
        <v>0</v>
      </c>
      <c r="AL79">
        <v>0</v>
      </c>
    </row>
    <row r="80" spans="1:38" hidden="1" x14ac:dyDescent="0.2">
      <c r="A80" t="s">
        <v>213</v>
      </c>
      <c r="B80" t="s">
        <v>214</v>
      </c>
      <c r="C80" t="s">
        <v>213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4.9000000000000004</v>
      </c>
      <c r="AE80">
        <v>331</v>
      </c>
      <c r="AF80">
        <v>30.22105263157896</v>
      </c>
      <c r="AG80">
        <v>34.585681883107583</v>
      </c>
      <c r="AH80">
        <f>18.0096140772057*1</f>
        <v>18.009614077205701</v>
      </c>
      <c r="AI80">
        <f>2.04775168856094*1</f>
        <v>2.0477516885609401</v>
      </c>
      <c r="AJ80">
        <v>1</v>
      </c>
      <c r="AK80">
        <v>0</v>
      </c>
      <c r="AL80">
        <v>0</v>
      </c>
    </row>
    <row r="81" spans="1:38" hidden="1" x14ac:dyDescent="0.2">
      <c r="A81" t="s">
        <v>215</v>
      </c>
      <c r="B81" t="s">
        <v>216</v>
      </c>
      <c r="C81" t="s">
        <v>216</v>
      </c>
      <c r="D81" t="s">
        <v>4</v>
      </c>
      <c r="E81">
        <v>0</v>
      </c>
      <c r="F81">
        <v>1</v>
      </c>
      <c r="G81">
        <v>0</v>
      </c>
      <c r="H81">
        <v>0</v>
      </c>
      <c r="I81" t="s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</v>
      </c>
      <c r="AE81">
        <v>332</v>
      </c>
      <c r="AF81">
        <v>0</v>
      </c>
      <c r="AG81">
        <v>0</v>
      </c>
      <c r="AH81">
        <f>0*1</f>
        <v>0</v>
      </c>
      <c r="AI81">
        <f>0*1</f>
        <v>0</v>
      </c>
      <c r="AJ81">
        <v>1</v>
      </c>
      <c r="AK81">
        <v>0</v>
      </c>
      <c r="AL81">
        <v>0</v>
      </c>
    </row>
    <row r="82" spans="1:38" hidden="1" x14ac:dyDescent="0.2">
      <c r="A82" t="s">
        <v>217</v>
      </c>
      <c r="B82" t="s">
        <v>218</v>
      </c>
      <c r="C82" t="s">
        <v>218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5.6</v>
      </c>
      <c r="AE82">
        <v>338</v>
      </c>
      <c r="AF82">
        <v>32.754063474095361</v>
      </c>
      <c r="AG82">
        <v>24.35573946272434</v>
      </c>
      <c r="AH82">
        <f>32.4276511610619*1</f>
        <v>32.427651161061902</v>
      </c>
      <c r="AI82">
        <f>3.60971871491503*1</f>
        <v>3.6097187149150298</v>
      </c>
      <c r="AJ82">
        <v>1</v>
      </c>
      <c r="AK82">
        <v>0</v>
      </c>
      <c r="AL82">
        <v>0</v>
      </c>
    </row>
    <row r="83" spans="1:38" hidden="1" x14ac:dyDescent="0.2">
      <c r="A83" t="s">
        <v>219</v>
      </c>
      <c r="B83" t="s">
        <v>220</v>
      </c>
      <c r="C83" t="s">
        <v>220</v>
      </c>
      <c r="D83" t="s">
        <v>3</v>
      </c>
      <c r="E83">
        <v>1</v>
      </c>
      <c r="F83">
        <v>0</v>
      </c>
      <c r="G83">
        <v>0</v>
      </c>
      <c r="H83">
        <v>0</v>
      </c>
      <c r="I83" t="s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339</v>
      </c>
      <c r="AF83">
        <v>30.675905883720759</v>
      </c>
      <c r="AG83">
        <v>32.392241814024032</v>
      </c>
      <c r="AH83">
        <f>18.1086523568856*1</f>
        <v>18.108652356885599</v>
      </c>
      <c r="AI83">
        <f>1.41578543093659*1</f>
        <v>1.41578543093659</v>
      </c>
      <c r="AJ83">
        <v>1</v>
      </c>
      <c r="AK83">
        <v>0</v>
      </c>
      <c r="AL83">
        <v>0</v>
      </c>
    </row>
    <row r="84" spans="1:38" hidden="1" x14ac:dyDescent="0.2">
      <c r="A84" t="s">
        <v>221</v>
      </c>
      <c r="B84" t="s">
        <v>222</v>
      </c>
      <c r="C84" t="s">
        <v>222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4.8</v>
      </c>
      <c r="AE84">
        <v>340</v>
      </c>
      <c r="AF84">
        <v>0</v>
      </c>
      <c r="AG84">
        <v>0</v>
      </c>
      <c r="AH84">
        <f>0*1</f>
        <v>0</v>
      </c>
      <c r="AI84">
        <f>0*1</f>
        <v>0</v>
      </c>
      <c r="AJ84">
        <v>1</v>
      </c>
      <c r="AK84">
        <v>0</v>
      </c>
      <c r="AL84">
        <v>0</v>
      </c>
    </row>
    <row r="85" spans="1:38" hidden="1" x14ac:dyDescent="0.2">
      <c r="A85" t="s">
        <v>223</v>
      </c>
      <c r="B85" t="s">
        <v>224</v>
      </c>
      <c r="C85" t="s">
        <v>225</v>
      </c>
      <c r="D85" t="s">
        <v>6</v>
      </c>
      <c r="E85">
        <v>0</v>
      </c>
      <c r="F85">
        <v>0</v>
      </c>
      <c r="G85">
        <v>0</v>
      </c>
      <c r="H85">
        <v>1</v>
      </c>
      <c r="I85" t="s">
        <v>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5.5</v>
      </c>
      <c r="AE85">
        <v>342</v>
      </c>
      <c r="AF85">
        <v>0</v>
      </c>
      <c r="AG85">
        <v>0</v>
      </c>
      <c r="AH85">
        <f>0*1</f>
        <v>0</v>
      </c>
      <c r="AI85">
        <f>0*1</f>
        <v>0</v>
      </c>
      <c r="AJ85">
        <v>1</v>
      </c>
      <c r="AK85">
        <v>0</v>
      </c>
      <c r="AL85">
        <v>0</v>
      </c>
    </row>
    <row r="86" spans="1:38" hidden="1" x14ac:dyDescent="0.2">
      <c r="A86" t="s">
        <v>226</v>
      </c>
      <c r="B86" t="s">
        <v>227</v>
      </c>
      <c r="C86" t="s">
        <v>226</v>
      </c>
      <c r="D86" t="s">
        <v>6</v>
      </c>
      <c r="E86">
        <v>0</v>
      </c>
      <c r="F86">
        <v>0</v>
      </c>
      <c r="G86">
        <v>0</v>
      </c>
      <c r="H86">
        <v>1</v>
      </c>
      <c r="I86" t="s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5.5</v>
      </c>
      <c r="AE86">
        <v>343</v>
      </c>
      <c r="AF86">
        <v>35.047246402202887</v>
      </c>
      <c r="AG86">
        <v>37.994971924244958</v>
      </c>
      <c r="AH86">
        <f>27.2469370401727*1</f>
        <v>27.2469370401727</v>
      </c>
      <c r="AI86">
        <f>2.64319469315002*1</f>
        <v>2.6431946931500199</v>
      </c>
      <c r="AJ86">
        <v>1</v>
      </c>
      <c r="AK86">
        <v>0</v>
      </c>
      <c r="AL86">
        <v>0</v>
      </c>
    </row>
    <row r="87" spans="1:38" x14ac:dyDescent="0.2">
      <c r="A87" t="s">
        <v>344</v>
      </c>
      <c r="B87" t="s">
        <v>345</v>
      </c>
      <c r="C87" t="s">
        <v>345</v>
      </c>
      <c r="D87" t="s">
        <v>6</v>
      </c>
      <c r="E87">
        <v>0</v>
      </c>
      <c r="F87">
        <v>0</v>
      </c>
      <c r="G87">
        <v>0</v>
      </c>
      <c r="H87">
        <v>1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7.3</v>
      </c>
      <c r="AE87">
        <v>611</v>
      </c>
      <c r="AF87">
        <v>34.539854671085727</v>
      </c>
      <c r="AG87">
        <v>28.981820666076938</v>
      </c>
      <c r="AH87">
        <f>35.8366328928237*0.972222222222222</f>
        <v>34.841170868023035</v>
      </c>
      <c r="AI87">
        <f>3.56918300126816*0.972222222222222</f>
        <v>3.4700390290107102</v>
      </c>
      <c r="AJ87">
        <v>0.97222222222222221</v>
      </c>
      <c r="AK87">
        <v>1</v>
      </c>
      <c r="AL87">
        <v>1</v>
      </c>
    </row>
    <row r="88" spans="1:38" hidden="1" x14ac:dyDescent="0.2">
      <c r="A88" t="s">
        <v>230</v>
      </c>
      <c r="B88" t="s">
        <v>231</v>
      </c>
      <c r="C88" t="s">
        <v>231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355</v>
      </c>
      <c r="AF88">
        <v>18.941860465116289</v>
      </c>
      <c r="AG88">
        <v>21.663645568805329</v>
      </c>
      <c r="AH88">
        <f>9.00116298645473*1</f>
        <v>9.0011629864547302</v>
      </c>
      <c r="AI88">
        <f>1.01574770866294*1</f>
        <v>1.0157477086629401</v>
      </c>
      <c r="AJ88">
        <v>1</v>
      </c>
      <c r="AK88">
        <v>0</v>
      </c>
      <c r="AL88">
        <v>0</v>
      </c>
    </row>
    <row r="89" spans="1:38" hidden="1" x14ac:dyDescent="0.2">
      <c r="A89" t="s">
        <v>232</v>
      </c>
      <c r="B89" t="s">
        <v>233</v>
      </c>
      <c r="C89" t="s">
        <v>233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4.5999999999999996</v>
      </c>
      <c r="AE89">
        <v>397</v>
      </c>
      <c r="AF89">
        <v>20.95081967213115</v>
      </c>
      <c r="AG89">
        <v>33.486386844086347</v>
      </c>
      <c r="AH89">
        <f>15.1965572166103*1</f>
        <v>15.1965572166103</v>
      </c>
      <c r="AI89">
        <f>1.71751042213428*1</f>
        <v>1.7175104221342801</v>
      </c>
      <c r="AJ89">
        <v>1</v>
      </c>
      <c r="AK89">
        <v>0</v>
      </c>
      <c r="AL89">
        <v>0</v>
      </c>
    </row>
    <row r="90" spans="1:38" hidden="1" x14ac:dyDescent="0.2">
      <c r="A90" t="s">
        <v>201</v>
      </c>
      <c r="B90" t="s">
        <v>234</v>
      </c>
      <c r="C90" t="s">
        <v>235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5.0999999999999996</v>
      </c>
      <c r="AE90">
        <v>398</v>
      </c>
      <c r="AF90">
        <v>24.76056338028167</v>
      </c>
      <c r="AG90">
        <v>23.4848527734318</v>
      </c>
      <c r="AH90">
        <f>13.3177151664099*1</f>
        <v>13.317715166409901</v>
      </c>
      <c r="AI90">
        <f>1.43489843875015*1</f>
        <v>1.43489843875015</v>
      </c>
      <c r="AJ90">
        <v>1</v>
      </c>
      <c r="AK90">
        <v>0</v>
      </c>
      <c r="AL90">
        <v>0</v>
      </c>
    </row>
    <row r="91" spans="1:38" hidden="1" x14ac:dyDescent="0.2">
      <c r="A91" t="s">
        <v>236</v>
      </c>
      <c r="B91" t="s">
        <v>237</v>
      </c>
      <c r="C91" t="s">
        <v>238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4.4000000000000004</v>
      </c>
      <c r="AE91">
        <v>400</v>
      </c>
      <c r="AF91">
        <v>14.80682468088677</v>
      </c>
      <c r="AG91">
        <v>12.317219972168459</v>
      </c>
      <c r="AH91">
        <f>6.6295237950669*1</f>
        <v>6.6295237950669001</v>
      </c>
      <c r="AI91">
        <f>0.789081876036414*1</f>
        <v>0.789081876036414</v>
      </c>
      <c r="AJ91">
        <v>1</v>
      </c>
      <c r="AK91">
        <v>0</v>
      </c>
      <c r="AL91">
        <v>0</v>
      </c>
    </row>
    <row r="92" spans="1:38" hidden="1" x14ac:dyDescent="0.2">
      <c r="A92" t="s">
        <v>203</v>
      </c>
      <c r="B92" t="s">
        <v>91</v>
      </c>
      <c r="C92" t="s">
        <v>91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4.0999999999999996</v>
      </c>
      <c r="AE92">
        <v>410</v>
      </c>
      <c r="AF92">
        <v>25.280898876404489</v>
      </c>
      <c r="AG92">
        <v>25.17061490779535</v>
      </c>
      <c r="AH92">
        <f>10.3345157001166*1</f>
        <v>10.334515700116601</v>
      </c>
      <c r="AI92">
        <f>1.11853363752149*1</f>
        <v>1.11853363752149</v>
      </c>
      <c r="AJ92">
        <v>1</v>
      </c>
      <c r="AK92">
        <v>0</v>
      </c>
      <c r="AL92">
        <v>0</v>
      </c>
    </row>
    <row r="93" spans="1:38" hidden="1" x14ac:dyDescent="0.2">
      <c r="A93" t="s">
        <v>239</v>
      </c>
      <c r="B93" t="s">
        <v>240</v>
      </c>
      <c r="C93" t="s">
        <v>240</v>
      </c>
      <c r="D93" t="s">
        <v>4</v>
      </c>
      <c r="E93">
        <v>0</v>
      </c>
      <c r="F93">
        <v>1</v>
      </c>
      <c r="G93">
        <v>0</v>
      </c>
      <c r="H93">
        <v>0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4.4000000000000004</v>
      </c>
      <c r="AE93">
        <v>411</v>
      </c>
      <c r="AF93">
        <v>0</v>
      </c>
      <c r="AG93">
        <v>0</v>
      </c>
      <c r="AH93">
        <f>0*1</f>
        <v>0</v>
      </c>
      <c r="AI93">
        <f>0*1</f>
        <v>0</v>
      </c>
      <c r="AJ93">
        <v>1</v>
      </c>
      <c r="AK93">
        <v>0</v>
      </c>
      <c r="AL93">
        <v>0</v>
      </c>
    </row>
    <row r="94" spans="1:38" hidden="1" x14ac:dyDescent="0.2">
      <c r="A94" t="s">
        <v>241</v>
      </c>
      <c r="B94" t="s">
        <v>242</v>
      </c>
      <c r="C94" t="s">
        <v>242</v>
      </c>
      <c r="D94" t="s">
        <v>6</v>
      </c>
      <c r="E94">
        <v>0</v>
      </c>
      <c r="F94">
        <v>0</v>
      </c>
      <c r="G94">
        <v>0</v>
      </c>
      <c r="H94">
        <v>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5.3</v>
      </c>
      <c r="AE94">
        <v>421</v>
      </c>
      <c r="AF94">
        <v>28.678548833260791</v>
      </c>
      <c r="AG94">
        <v>44.892913656251643</v>
      </c>
      <c r="AH94">
        <f>13.5136667918416*1</f>
        <v>13.513666791841599</v>
      </c>
      <c r="AI94">
        <f>1.31797944357141*1</f>
        <v>1.3179794435714101</v>
      </c>
      <c r="AJ94">
        <v>1</v>
      </c>
      <c r="AK94">
        <v>0</v>
      </c>
      <c r="AL94">
        <v>0</v>
      </c>
    </row>
    <row r="95" spans="1:38" hidden="1" x14ac:dyDescent="0.2">
      <c r="A95" t="s">
        <v>243</v>
      </c>
      <c r="B95" t="s">
        <v>244</v>
      </c>
      <c r="C95" t="s">
        <v>244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4.4000000000000004</v>
      </c>
      <c r="AE95">
        <v>424</v>
      </c>
      <c r="AF95">
        <v>15.28935703625457</v>
      </c>
      <c r="AG95">
        <v>15.080599725486239</v>
      </c>
      <c r="AH95">
        <f>10.6675762378685*1</f>
        <v>10.6675762378685</v>
      </c>
      <c r="AI95">
        <f>1.10183538948375*1</f>
        <v>1.10183538948375</v>
      </c>
      <c r="AJ95">
        <v>1</v>
      </c>
      <c r="AK95">
        <v>0</v>
      </c>
      <c r="AL95">
        <v>0</v>
      </c>
    </row>
    <row r="96" spans="1:38" hidden="1" x14ac:dyDescent="0.2">
      <c r="A96" t="s">
        <v>245</v>
      </c>
      <c r="B96" t="s">
        <v>246</v>
      </c>
      <c r="C96" t="s">
        <v>246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7.4</v>
      </c>
      <c r="AE96">
        <v>435</v>
      </c>
      <c r="AF96">
        <v>45.652372120697663</v>
      </c>
      <c r="AG96">
        <v>50.31475328186059</v>
      </c>
      <c r="AH96">
        <f>25.1707891057182*1</f>
        <v>25.1707891057182</v>
      </c>
      <c r="AI96">
        <f>2.61666107891815*1</f>
        <v>2.6166610789181499</v>
      </c>
      <c r="AJ96">
        <v>1</v>
      </c>
      <c r="AK96">
        <v>0</v>
      </c>
      <c r="AL96">
        <v>0</v>
      </c>
    </row>
    <row r="97" spans="1:38" hidden="1" x14ac:dyDescent="0.2">
      <c r="A97" t="s">
        <v>247</v>
      </c>
      <c r="B97" t="s">
        <v>248</v>
      </c>
      <c r="C97" t="s">
        <v>247</v>
      </c>
      <c r="D97" t="s">
        <v>6</v>
      </c>
      <c r="E97">
        <v>0</v>
      </c>
      <c r="F97">
        <v>0</v>
      </c>
      <c r="G97">
        <v>0</v>
      </c>
      <c r="H97">
        <v>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439</v>
      </c>
      <c r="AF97">
        <v>31.120481927710831</v>
      </c>
      <c r="AG97">
        <v>35.90094272773112</v>
      </c>
      <c r="AH97">
        <f>14.8264750395141*1</f>
        <v>14.826475039514101</v>
      </c>
      <c r="AI97">
        <f>1.50620274878057*1</f>
        <v>1.50620274878057</v>
      </c>
      <c r="AJ97">
        <v>1</v>
      </c>
      <c r="AK97">
        <v>0</v>
      </c>
      <c r="AL97">
        <v>0</v>
      </c>
    </row>
    <row r="98" spans="1:38" hidden="1" x14ac:dyDescent="0.2">
      <c r="A98" t="s">
        <v>249</v>
      </c>
      <c r="B98" t="s">
        <v>250</v>
      </c>
      <c r="C98" t="s">
        <v>250</v>
      </c>
      <c r="D98" t="s">
        <v>6</v>
      </c>
      <c r="E98">
        <v>0</v>
      </c>
      <c r="F98">
        <v>0</v>
      </c>
      <c r="G98">
        <v>0</v>
      </c>
      <c r="H98">
        <v>1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7.4</v>
      </c>
      <c r="AE98">
        <v>444</v>
      </c>
      <c r="AF98">
        <v>30.740259740259731</v>
      </c>
      <c r="AG98">
        <v>24.018232185244209</v>
      </c>
      <c r="AH98">
        <f>20.4341545400537*1</f>
        <v>20.434154540053701</v>
      </c>
      <c r="AI98">
        <f>2.19427384037314*1</f>
        <v>2.1942738403731399</v>
      </c>
      <c r="AJ98">
        <v>1</v>
      </c>
      <c r="AK98">
        <v>0</v>
      </c>
      <c r="AL98">
        <v>0</v>
      </c>
    </row>
    <row r="99" spans="1:38" hidden="1" x14ac:dyDescent="0.2">
      <c r="A99" t="s">
        <v>85</v>
      </c>
      <c r="B99" t="s">
        <v>251</v>
      </c>
      <c r="C99" t="s">
        <v>251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446</v>
      </c>
      <c r="AF99">
        <v>0</v>
      </c>
      <c r="AG99">
        <v>0</v>
      </c>
      <c r="AH99">
        <f>0*1</f>
        <v>0</v>
      </c>
      <c r="AI99">
        <f>0*1</f>
        <v>0</v>
      </c>
      <c r="AJ99">
        <v>1</v>
      </c>
      <c r="AK99">
        <v>0</v>
      </c>
      <c r="AL99">
        <v>0</v>
      </c>
    </row>
    <row r="100" spans="1:38" hidden="1" x14ac:dyDescent="0.2">
      <c r="A100" t="s">
        <v>252</v>
      </c>
      <c r="B100" t="s">
        <v>253</v>
      </c>
      <c r="C100" t="s">
        <v>253</v>
      </c>
      <c r="D100" t="s">
        <v>5</v>
      </c>
      <c r="E100">
        <v>0</v>
      </c>
      <c r="F100">
        <v>0</v>
      </c>
      <c r="G100">
        <v>1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5.3</v>
      </c>
      <c r="AE100">
        <v>447</v>
      </c>
      <c r="AF100">
        <v>20.716981132075471</v>
      </c>
      <c r="AG100">
        <v>16.102077377746859</v>
      </c>
      <c r="AH100">
        <f>12.5939371989385*1</f>
        <v>12.5939371989385</v>
      </c>
      <c r="AI100">
        <f>1.34789537146025*1</f>
        <v>1.34789537146025</v>
      </c>
      <c r="AJ100">
        <v>1</v>
      </c>
      <c r="AK100">
        <v>0</v>
      </c>
      <c r="AL100">
        <v>0</v>
      </c>
    </row>
    <row r="101" spans="1:38" hidden="1" x14ac:dyDescent="0.2">
      <c r="A101" t="s">
        <v>254</v>
      </c>
      <c r="B101" t="s">
        <v>255</v>
      </c>
      <c r="C101" t="s">
        <v>255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5.2</v>
      </c>
      <c r="AE101">
        <v>449</v>
      </c>
      <c r="AF101">
        <v>27.908183735126059</v>
      </c>
      <c r="AG101">
        <v>32.47463776962519</v>
      </c>
      <c r="AH101">
        <f>24.4294256326667*1</f>
        <v>24.4294256326667</v>
      </c>
      <c r="AI101">
        <f>1.2424560976258*1</f>
        <v>1.2424560976257999</v>
      </c>
      <c r="AJ101">
        <v>1</v>
      </c>
      <c r="AK101">
        <v>0</v>
      </c>
      <c r="AL101">
        <v>0</v>
      </c>
    </row>
    <row r="102" spans="1:38" hidden="1" x14ac:dyDescent="0.2">
      <c r="A102" t="s">
        <v>256</v>
      </c>
      <c r="B102" t="s">
        <v>257</v>
      </c>
      <c r="C102" t="s">
        <v>258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7.5</v>
      </c>
      <c r="AE102">
        <v>450</v>
      </c>
      <c r="AF102">
        <v>35.896551724137929</v>
      </c>
      <c r="AG102">
        <v>39.04054229567992</v>
      </c>
      <c r="AH102">
        <f>35.7021193500455*1</f>
        <v>35.7021193500455</v>
      </c>
      <c r="AI102">
        <f>3.6927559989085*1</f>
        <v>3.6927559989084999</v>
      </c>
      <c r="AJ102">
        <v>1</v>
      </c>
      <c r="AK102">
        <v>0</v>
      </c>
      <c r="AL102">
        <v>0</v>
      </c>
    </row>
    <row r="103" spans="1:38" x14ac:dyDescent="0.2">
      <c r="A103" t="s">
        <v>45</v>
      </c>
      <c r="B103" t="s">
        <v>46</v>
      </c>
      <c r="C103" t="s">
        <v>45</v>
      </c>
      <c r="D103" t="s">
        <v>4</v>
      </c>
      <c r="E103">
        <v>0</v>
      </c>
      <c r="F103">
        <v>1</v>
      </c>
      <c r="G103">
        <v>0</v>
      </c>
      <c r="H103">
        <v>0</v>
      </c>
      <c r="I103" t="s">
        <v>12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6.4</v>
      </c>
      <c r="AE103">
        <v>2</v>
      </c>
      <c r="AF103">
        <v>36.652704709256447</v>
      </c>
      <c r="AG103">
        <v>34.533545177834263</v>
      </c>
      <c r="AH103">
        <f>26.5598520820315*1</f>
        <v>26.559852082031501</v>
      </c>
      <c r="AI103">
        <f>3.22054103684363*1</f>
        <v>3.2205410368436298</v>
      </c>
      <c r="AJ103">
        <v>1</v>
      </c>
      <c r="AK103">
        <v>1</v>
      </c>
      <c r="AL103">
        <v>1</v>
      </c>
    </row>
    <row r="104" spans="1:38" hidden="1" x14ac:dyDescent="0.2">
      <c r="A104" t="s">
        <v>262</v>
      </c>
      <c r="B104" t="s">
        <v>263</v>
      </c>
      <c r="C104" t="s">
        <v>263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6.2</v>
      </c>
      <c r="AE104">
        <v>452</v>
      </c>
      <c r="AF104">
        <v>27.184190270813929</v>
      </c>
      <c r="AG104">
        <v>25.65084356142081</v>
      </c>
      <c r="AH104">
        <f>22.5981453938426*1</f>
        <v>22.5981453938426</v>
      </c>
      <c r="AI104">
        <f>2.31497694755141*1</f>
        <v>2.3149769475514099</v>
      </c>
      <c r="AJ104">
        <v>1</v>
      </c>
      <c r="AK104">
        <v>0</v>
      </c>
      <c r="AL104">
        <v>0</v>
      </c>
    </row>
    <row r="105" spans="1:38" hidden="1" x14ac:dyDescent="0.2">
      <c r="A105" t="s">
        <v>264</v>
      </c>
      <c r="B105" t="s">
        <v>265</v>
      </c>
      <c r="C105" t="s">
        <v>265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5.8</v>
      </c>
      <c r="AE105">
        <v>458</v>
      </c>
      <c r="AF105">
        <v>23.550065059787929</v>
      </c>
      <c r="AG105">
        <v>40.977815901779181</v>
      </c>
      <c r="AH105">
        <f>12.0388826073801*1</f>
        <v>12.038882607380099</v>
      </c>
      <c r="AI105">
        <f>1.11498057818066*1</f>
        <v>1.1149805781806601</v>
      </c>
      <c r="AJ105">
        <v>1</v>
      </c>
      <c r="AK105">
        <v>0</v>
      </c>
      <c r="AL105">
        <v>0</v>
      </c>
    </row>
    <row r="106" spans="1:38" hidden="1" x14ac:dyDescent="0.2">
      <c r="A106" t="s">
        <v>266</v>
      </c>
      <c r="B106" t="s">
        <v>267</v>
      </c>
      <c r="C106" t="s">
        <v>267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6.4</v>
      </c>
      <c r="AE106">
        <v>459</v>
      </c>
      <c r="AF106">
        <v>0</v>
      </c>
      <c r="AG106">
        <v>0</v>
      </c>
      <c r="AH106">
        <f>0*1</f>
        <v>0</v>
      </c>
      <c r="AI106">
        <f>0*1</f>
        <v>0</v>
      </c>
      <c r="AJ106">
        <v>1</v>
      </c>
      <c r="AK106">
        <v>0</v>
      </c>
      <c r="AL106">
        <v>0</v>
      </c>
    </row>
    <row r="107" spans="1:38" hidden="1" x14ac:dyDescent="0.2">
      <c r="A107" t="s">
        <v>268</v>
      </c>
      <c r="B107" t="s">
        <v>269</v>
      </c>
      <c r="C107" t="s">
        <v>268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6.4</v>
      </c>
      <c r="AE107">
        <v>461</v>
      </c>
      <c r="AF107">
        <v>32.299622465234442</v>
      </c>
      <c r="AG107">
        <v>44.161506047808281</v>
      </c>
      <c r="AH107">
        <f>17.8761527653523*1</f>
        <v>17.876152765352298</v>
      </c>
      <c r="AI107">
        <f>1.82495205949923*1</f>
        <v>1.8249520594992299</v>
      </c>
      <c r="AJ107">
        <v>1</v>
      </c>
      <c r="AK107">
        <v>0</v>
      </c>
      <c r="AL107">
        <v>0</v>
      </c>
    </row>
    <row r="108" spans="1:38" hidden="1" x14ac:dyDescent="0.2">
      <c r="A108" t="s">
        <v>270</v>
      </c>
      <c r="B108" t="s">
        <v>271</v>
      </c>
      <c r="C108" t="s">
        <v>270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6.1</v>
      </c>
      <c r="AE108">
        <v>471</v>
      </c>
      <c r="AF108">
        <v>29.86250480241095</v>
      </c>
      <c r="AG108">
        <v>42.654147755661967</v>
      </c>
      <c r="AH108">
        <f>12.6100159454776*1</f>
        <v>12.610015945477601</v>
      </c>
      <c r="AI108">
        <f>1.35646021782005*1</f>
        <v>1.35646021782005</v>
      </c>
      <c r="AJ108">
        <v>1</v>
      </c>
      <c r="AK108">
        <v>0</v>
      </c>
      <c r="AL108">
        <v>0</v>
      </c>
    </row>
    <row r="109" spans="1:38" hidden="1" x14ac:dyDescent="0.2">
      <c r="A109" t="s">
        <v>272</v>
      </c>
      <c r="B109" t="s">
        <v>273</v>
      </c>
      <c r="C109" t="s">
        <v>273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9.1999999999999993</v>
      </c>
      <c r="AE109">
        <v>477</v>
      </c>
      <c r="AF109">
        <v>47.141988348370383</v>
      </c>
      <c r="AG109">
        <v>45.032494669873373</v>
      </c>
      <c r="AH109">
        <f>29.3868703610538*1</f>
        <v>29.386870361053798</v>
      </c>
      <c r="AI109">
        <f>3.08392053618973*1</f>
        <v>3.0839205361897299</v>
      </c>
      <c r="AJ109">
        <v>1</v>
      </c>
      <c r="AK109">
        <v>0</v>
      </c>
      <c r="AL109">
        <v>0</v>
      </c>
    </row>
    <row r="110" spans="1:38" hidden="1" x14ac:dyDescent="0.2">
      <c r="A110" t="s">
        <v>274</v>
      </c>
      <c r="B110" t="s">
        <v>275</v>
      </c>
      <c r="C110" t="s">
        <v>275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479</v>
      </c>
      <c r="AF110">
        <v>0</v>
      </c>
      <c r="AG110">
        <v>0</v>
      </c>
      <c r="AH110">
        <f>0*1</f>
        <v>0</v>
      </c>
      <c r="AI110">
        <f>0*1</f>
        <v>0</v>
      </c>
      <c r="AJ110">
        <v>1</v>
      </c>
      <c r="AK110">
        <v>0</v>
      </c>
      <c r="AL110">
        <v>0</v>
      </c>
    </row>
    <row r="111" spans="1:38" hidden="1" x14ac:dyDescent="0.2">
      <c r="A111" t="s">
        <v>276</v>
      </c>
      <c r="B111" t="s">
        <v>277</v>
      </c>
      <c r="C111" t="s">
        <v>277</v>
      </c>
      <c r="D111" t="s">
        <v>6</v>
      </c>
      <c r="E111">
        <v>0</v>
      </c>
      <c r="F111">
        <v>0</v>
      </c>
      <c r="G111">
        <v>0</v>
      </c>
      <c r="H111">
        <v>1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14.8</v>
      </c>
      <c r="AE111">
        <v>480</v>
      </c>
      <c r="AF111">
        <v>65.556818181818215</v>
      </c>
      <c r="AG111">
        <v>91.307780403367289</v>
      </c>
      <c r="AH111">
        <f>31.3257872461511*1</f>
        <v>31.325787246151101</v>
      </c>
      <c r="AI111">
        <f>3.29028273356345*1</f>
        <v>3.2902827335634499</v>
      </c>
      <c r="AJ111">
        <v>1</v>
      </c>
      <c r="AK111">
        <v>0</v>
      </c>
      <c r="AL111">
        <v>0</v>
      </c>
    </row>
    <row r="112" spans="1:38" hidden="1" x14ac:dyDescent="0.2">
      <c r="A112" t="s">
        <v>278</v>
      </c>
      <c r="B112" t="s">
        <v>279</v>
      </c>
      <c r="C112" t="s">
        <v>279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5.4</v>
      </c>
      <c r="AE112">
        <v>483</v>
      </c>
      <c r="AF112">
        <v>0</v>
      </c>
      <c r="AG112">
        <v>0</v>
      </c>
      <c r="AH112">
        <f>0*1</f>
        <v>0</v>
      </c>
      <c r="AI112">
        <f>0*1</f>
        <v>0</v>
      </c>
      <c r="AJ112">
        <v>1</v>
      </c>
      <c r="AK112">
        <v>0</v>
      </c>
      <c r="AL112">
        <v>0</v>
      </c>
    </row>
    <row r="113" spans="1:38" hidden="1" x14ac:dyDescent="0.2">
      <c r="A113" t="s">
        <v>280</v>
      </c>
      <c r="B113" t="s">
        <v>87</v>
      </c>
      <c r="C113" t="s">
        <v>87</v>
      </c>
      <c r="D113" t="s">
        <v>4</v>
      </c>
      <c r="E113">
        <v>0</v>
      </c>
      <c r="F113">
        <v>1</v>
      </c>
      <c r="G113">
        <v>0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4.3</v>
      </c>
      <c r="AE113">
        <v>484</v>
      </c>
      <c r="AF113">
        <v>0</v>
      </c>
      <c r="AG113">
        <v>0</v>
      </c>
      <c r="AH113">
        <f>0*1</f>
        <v>0</v>
      </c>
      <c r="AI113">
        <f>0*1</f>
        <v>0</v>
      </c>
      <c r="AJ113">
        <v>1</v>
      </c>
      <c r="AK113">
        <v>0</v>
      </c>
      <c r="AL113">
        <v>0</v>
      </c>
    </row>
    <row r="114" spans="1:38" hidden="1" x14ac:dyDescent="0.2">
      <c r="A114" t="s">
        <v>281</v>
      </c>
      <c r="B114" t="s">
        <v>282</v>
      </c>
      <c r="C114" t="s">
        <v>282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6.3</v>
      </c>
      <c r="AE114">
        <v>494</v>
      </c>
      <c r="AF114">
        <v>33.757513030051847</v>
      </c>
      <c r="AG114">
        <v>28.968970472566149</v>
      </c>
      <c r="AH114">
        <f>16.3178991160942*1</f>
        <v>16.3178991160942</v>
      </c>
      <c r="AI114">
        <f>1.75342138601686*1</f>
        <v>1.7534213860168599</v>
      </c>
      <c r="AJ114">
        <v>1</v>
      </c>
      <c r="AK114">
        <v>0</v>
      </c>
      <c r="AL114">
        <v>0</v>
      </c>
    </row>
    <row r="115" spans="1:38" hidden="1" x14ac:dyDescent="0.2">
      <c r="A115" t="s">
        <v>283</v>
      </c>
      <c r="B115" t="s">
        <v>284</v>
      </c>
      <c r="C115" t="s">
        <v>283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5.3</v>
      </c>
      <c r="AE115">
        <v>508</v>
      </c>
      <c r="AF115">
        <v>0</v>
      </c>
      <c r="AG115">
        <v>0</v>
      </c>
      <c r="AH115">
        <f>0*1</f>
        <v>0</v>
      </c>
      <c r="AI115">
        <f>0*1</f>
        <v>0</v>
      </c>
      <c r="AJ115">
        <v>1</v>
      </c>
      <c r="AK115">
        <v>0</v>
      </c>
      <c r="AL115">
        <v>0</v>
      </c>
    </row>
    <row r="116" spans="1:38" hidden="1" x14ac:dyDescent="0.2">
      <c r="A116" t="s">
        <v>285</v>
      </c>
      <c r="B116" t="s">
        <v>286</v>
      </c>
      <c r="C116" t="s">
        <v>287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8.6</v>
      </c>
      <c r="AE116">
        <v>510</v>
      </c>
      <c r="AF116">
        <v>46.05497414112191</v>
      </c>
      <c r="AG116">
        <v>30.948705073808771</v>
      </c>
      <c r="AH116">
        <f>40.8284012139795*1</f>
        <v>40.828401213979497</v>
      </c>
      <c r="AI116">
        <f>5.94683053382634*1</f>
        <v>5.9468305338263399</v>
      </c>
      <c r="AJ116">
        <v>1</v>
      </c>
      <c r="AK116">
        <v>0</v>
      </c>
      <c r="AL116">
        <v>0</v>
      </c>
    </row>
    <row r="117" spans="1:38" hidden="1" x14ac:dyDescent="0.2">
      <c r="A117" t="s">
        <v>288</v>
      </c>
      <c r="B117" t="s">
        <v>289</v>
      </c>
      <c r="C117" t="s">
        <v>290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</v>
      </c>
      <c r="AE117">
        <v>513</v>
      </c>
      <c r="AF117">
        <v>29.379310344827601</v>
      </c>
      <c r="AG117">
        <v>36.627465053450003</v>
      </c>
      <c r="AH117">
        <f>15.8618944260652*1</f>
        <v>15.8618944260652</v>
      </c>
      <c r="AI117">
        <f>1.65240385349347*1</f>
        <v>1.65240385349347</v>
      </c>
      <c r="AJ117">
        <v>1</v>
      </c>
      <c r="AK117">
        <v>0</v>
      </c>
      <c r="AL117">
        <v>0</v>
      </c>
    </row>
    <row r="118" spans="1:38" hidden="1" x14ac:dyDescent="0.2">
      <c r="A118" t="s">
        <v>291</v>
      </c>
      <c r="B118" t="s">
        <v>292</v>
      </c>
      <c r="C118" t="s">
        <v>292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5.9</v>
      </c>
      <c r="AE118">
        <v>516</v>
      </c>
      <c r="AF118">
        <v>27.512087862598339</v>
      </c>
      <c r="AG118">
        <v>30.3451551765205</v>
      </c>
      <c r="AH118">
        <f>17.5701806154052*1</f>
        <v>17.570180615405199</v>
      </c>
      <c r="AI118">
        <f>1.15702723054098*1</f>
        <v>1.1570272305409799</v>
      </c>
      <c r="AJ118">
        <v>1</v>
      </c>
      <c r="AK118">
        <v>0</v>
      </c>
      <c r="AL118">
        <v>0</v>
      </c>
    </row>
    <row r="119" spans="1:38" hidden="1" x14ac:dyDescent="0.2">
      <c r="A119" t="s">
        <v>293</v>
      </c>
      <c r="B119" t="s">
        <v>294</v>
      </c>
      <c r="C119" t="s">
        <v>294</v>
      </c>
      <c r="D119" t="s">
        <v>6</v>
      </c>
      <c r="E119">
        <v>0</v>
      </c>
      <c r="F119">
        <v>0</v>
      </c>
      <c r="G119">
        <v>0</v>
      </c>
      <c r="H119">
        <v>1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6.9</v>
      </c>
      <c r="AE119">
        <v>519</v>
      </c>
      <c r="AF119">
        <v>0</v>
      </c>
      <c r="AG119">
        <v>0</v>
      </c>
      <c r="AH119">
        <f>0*1</f>
        <v>0</v>
      </c>
      <c r="AI119">
        <f>0*1</f>
        <v>0</v>
      </c>
      <c r="AJ119">
        <v>1</v>
      </c>
      <c r="AK119">
        <v>0</v>
      </c>
      <c r="AL119">
        <v>0</v>
      </c>
    </row>
    <row r="120" spans="1:38" x14ac:dyDescent="0.2">
      <c r="A120" t="s">
        <v>295</v>
      </c>
      <c r="B120" t="s">
        <v>296</v>
      </c>
      <c r="C120" t="s">
        <v>296</v>
      </c>
      <c r="D120" t="s">
        <v>3</v>
      </c>
      <c r="E120">
        <v>1</v>
      </c>
      <c r="F120">
        <v>0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527</v>
      </c>
      <c r="AF120">
        <v>31.360965642008271</v>
      </c>
      <c r="AG120">
        <v>37.332656576525572</v>
      </c>
      <c r="AH120">
        <f>24.8190654727286*1</f>
        <v>24.8190654727286</v>
      </c>
      <c r="AI120">
        <f>2.99518834683324*1</f>
        <v>2.9951883468332401</v>
      </c>
      <c r="AJ120">
        <v>1</v>
      </c>
      <c r="AK120">
        <v>1</v>
      </c>
      <c r="AL120">
        <v>1</v>
      </c>
    </row>
    <row r="121" spans="1:38" hidden="1" x14ac:dyDescent="0.2">
      <c r="A121" t="s">
        <v>297</v>
      </c>
      <c r="B121" t="s">
        <v>298</v>
      </c>
      <c r="C121" t="s">
        <v>298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5.9</v>
      </c>
      <c r="AE121">
        <v>553</v>
      </c>
      <c r="AF121">
        <v>37.845303867403317</v>
      </c>
      <c r="AG121">
        <v>38.038166942613358</v>
      </c>
      <c r="AH121">
        <f>19.0756545166552*1</f>
        <v>19.075654516655199</v>
      </c>
      <c r="AI121">
        <f>1.81136926491853*1</f>
        <v>1.81136926491853</v>
      </c>
      <c r="AJ121">
        <v>1</v>
      </c>
      <c r="AK121">
        <v>0</v>
      </c>
      <c r="AL121">
        <v>0</v>
      </c>
    </row>
    <row r="122" spans="1:38" hidden="1" x14ac:dyDescent="0.2">
      <c r="A122" t="s">
        <v>285</v>
      </c>
      <c r="B122" t="s">
        <v>299</v>
      </c>
      <c r="C122" t="s">
        <v>300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6.1</v>
      </c>
      <c r="AE122">
        <v>555</v>
      </c>
      <c r="AF122">
        <v>37.777777777777793</v>
      </c>
      <c r="AG122">
        <v>37.046282874108783</v>
      </c>
      <c r="AH122">
        <f>31.2062633606141*1</f>
        <v>31.206263360614098</v>
      </c>
      <c r="AI122">
        <f>3.07876590997843*1</f>
        <v>3.0787659099784301</v>
      </c>
      <c r="AJ122">
        <v>1</v>
      </c>
      <c r="AK122">
        <v>0</v>
      </c>
      <c r="AL122">
        <v>0</v>
      </c>
    </row>
    <row r="123" spans="1:38" hidden="1" x14ac:dyDescent="0.2">
      <c r="A123" t="s">
        <v>301</v>
      </c>
      <c r="B123" t="s">
        <v>302</v>
      </c>
      <c r="C123" t="s">
        <v>302</v>
      </c>
      <c r="D123" t="s">
        <v>4</v>
      </c>
      <c r="E123">
        <v>0</v>
      </c>
      <c r="F123">
        <v>1</v>
      </c>
      <c r="G123">
        <v>0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4.4000000000000004</v>
      </c>
      <c r="AE123">
        <v>556</v>
      </c>
      <c r="AF123">
        <v>28.950276243093921</v>
      </c>
      <c r="AG123">
        <v>30.156358198447911</v>
      </c>
      <c r="AH123">
        <f>18.8813274731207*1</f>
        <v>18.881327473120699</v>
      </c>
      <c r="AI123">
        <f>1.93141303848561*1</f>
        <v>1.9314130384856101</v>
      </c>
      <c r="AJ123">
        <v>1</v>
      </c>
      <c r="AK123">
        <v>0</v>
      </c>
      <c r="AL123">
        <v>0</v>
      </c>
    </row>
    <row r="124" spans="1:38" hidden="1" x14ac:dyDescent="0.2">
      <c r="A124" t="s">
        <v>303</v>
      </c>
      <c r="B124" t="s">
        <v>304</v>
      </c>
      <c r="C124" t="s">
        <v>304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7.4</v>
      </c>
      <c r="AE124">
        <v>558</v>
      </c>
      <c r="AF124">
        <v>38.356491270787053</v>
      </c>
      <c r="AG124">
        <v>35.786903787170687</v>
      </c>
      <c r="AH124">
        <f>21.8647726527537*1</f>
        <v>21.8647726527537</v>
      </c>
      <c r="AI124">
        <f>2.1567867660617*1</f>
        <v>2.1567867660617002</v>
      </c>
      <c r="AJ124">
        <v>1</v>
      </c>
      <c r="AK124">
        <v>0</v>
      </c>
      <c r="AL124">
        <v>0</v>
      </c>
    </row>
    <row r="125" spans="1:38" hidden="1" x14ac:dyDescent="0.2">
      <c r="A125" t="s">
        <v>87</v>
      </c>
      <c r="B125" t="s">
        <v>305</v>
      </c>
      <c r="C125" t="s">
        <v>305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4.8</v>
      </c>
      <c r="AE125">
        <v>559</v>
      </c>
      <c r="AF125">
        <v>0</v>
      </c>
      <c r="AG125">
        <v>0</v>
      </c>
      <c r="AH125">
        <f>0*1</f>
        <v>0</v>
      </c>
      <c r="AI125">
        <f>0*1</f>
        <v>0</v>
      </c>
      <c r="AJ125">
        <v>1</v>
      </c>
      <c r="AK125">
        <v>0</v>
      </c>
      <c r="AL125">
        <v>0</v>
      </c>
    </row>
    <row r="126" spans="1:38" x14ac:dyDescent="0.2">
      <c r="A126" t="s">
        <v>228</v>
      </c>
      <c r="B126" t="s">
        <v>229</v>
      </c>
      <c r="C126" t="s">
        <v>229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346</v>
      </c>
      <c r="AF126">
        <v>27.372366900023842</v>
      </c>
      <c r="AG126">
        <v>21.739087390054959</v>
      </c>
      <c r="AH126">
        <f>25.8793664283627*1</f>
        <v>25.879366428362701</v>
      </c>
      <c r="AI126">
        <f>2.95365907208772*1</f>
        <v>2.9536590720877198</v>
      </c>
      <c r="AJ126">
        <v>1</v>
      </c>
      <c r="AK126">
        <v>1</v>
      </c>
      <c r="AL126">
        <v>1</v>
      </c>
    </row>
    <row r="127" spans="1:38" x14ac:dyDescent="0.2">
      <c r="A127" t="s">
        <v>201</v>
      </c>
      <c r="B127" t="s">
        <v>202</v>
      </c>
      <c r="C127" t="s">
        <v>202</v>
      </c>
      <c r="D127" t="s">
        <v>3</v>
      </c>
      <c r="E127">
        <v>1</v>
      </c>
      <c r="F127">
        <v>0</v>
      </c>
      <c r="G127">
        <v>0</v>
      </c>
      <c r="H127">
        <v>0</v>
      </c>
      <c r="I127" t="s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5.0999999999999996</v>
      </c>
      <c r="AE127">
        <v>310</v>
      </c>
      <c r="AF127">
        <v>32.620253164556907</v>
      </c>
      <c r="AG127">
        <v>32.366733237284329</v>
      </c>
      <c r="AH127">
        <f>24.4364697999763*1</f>
        <v>24.436469799976301</v>
      </c>
      <c r="AI127">
        <f>2.72617951319608*1</f>
        <v>2.72617951319608</v>
      </c>
      <c r="AJ127">
        <v>1</v>
      </c>
      <c r="AK127">
        <v>1</v>
      </c>
      <c r="AL127">
        <v>1</v>
      </c>
    </row>
    <row r="128" spans="1:38" hidden="1" x14ac:dyDescent="0.2">
      <c r="A128" t="s">
        <v>311</v>
      </c>
      <c r="B128" t="s">
        <v>312</v>
      </c>
      <c r="C128" t="s">
        <v>313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563</v>
      </c>
      <c r="AF128">
        <v>32.19273520534923</v>
      </c>
      <c r="AG128">
        <v>25.533619012310648</v>
      </c>
      <c r="AH128">
        <f>23.3669273459609*1</f>
        <v>23.366927345960899</v>
      </c>
      <c r="AI128">
        <f>2.35862783505006*1</f>
        <v>2.35862783505006</v>
      </c>
      <c r="AJ128">
        <v>1</v>
      </c>
      <c r="AK128">
        <v>0</v>
      </c>
      <c r="AL128">
        <v>0</v>
      </c>
    </row>
    <row r="129" spans="1:38" hidden="1" x14ac:dyDescent="0.2">
      <c r="A129" t="s">
        <v>314</v>
      </c>
      <c r="B129" t="s">
        <v>315</v>
      </c>
      <c r="C129" t="s">
        <v>315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4.5</v>
      </c>
      <c r="AE129">
        <v>569</v>
      </c>
      <c r="AF129">
        <v>23.287447209741568</v>
      </c>
      <c r="AG129">
        <v>29.79378737557235</v>
      </c>
      <c r="AH129">
        <f>17.3372123091234*1</f>
        <v>17.337212309123402</v>
      </c>
      <c r="AI129">
        <f>1.670438634412*1</f>
        <v>1.6704386344119999</v>
      </c>
      <c r="AJ129">
        <v>1</v>
      </c>
      <c r="AK129">
        <v>0</v>
      </c>
      <c r="AL129">
        <v>0</v>
      </c>
    </row>
    <row r="130" spans="1:38" hidden="1" x14ac:dyDescent="0.2">
      <c r="A130" t="s">
        <v>316</v>
      </c>
      <c r="B130" t="s">
        <v>317</v>
      </c>
      <c r="C130" t="s">
        <v>317</v>
      </c>
      <c r="D130" t="s">
        <v>5</v>
      </c>
      <c r="E130">
        <v>0</v>
      </c>
      <c r="F130">
        <v>0</v>
      </c>
      <c r="G130">
        <v>1</v>
      </c>
      <c r="H130">
        <v>0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4.5</v>
      </c>
      <c r="AE130">
        <v>570</v>
      </c>
      <c r="AF130">
        <v>23.109756097560989</v>
      </c>
      <c r="AG130">
        <v>23.739341369370631</v>
      </c>
      <c r="AH130">
        <f>11.7796903847026*1</f>
        <v>11.779690384702601</v>
      </c>
      <c r="AI130">
        <f>1.16076174428792*1</f>
        <v>1.1607617442879199</v>
      </c>
      <c r="AJ130">
        <v>1</v>
      </c>
      <c r="AK130">
        <v>0</v>
      </c>
      <c r="AL130">
        <v>0</v>
      </c>
    </row>
    <row r="131" spans="1:38" hidden="1" x14ac:dyDescent="0.2">
      <c r="A131" t="s">
        <v>318</v>
      </c>
      <c r="B131" t="s">
        <v>319</v>
      </c>
      <c r="C131" t="s">
        <v>319</v>
      </c>
      <c r="D131" t="s">
        <v>4</v>
      </c>
      <c r="E131">
        <v>0</v>
      </c>
      <c r="F131">
        <v>1</v>
      </c>
      <c r="G131">
        <v>0</v>
      </c>
      <c r="H131">
        <v>0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5.4</v>
      </c>
      <c r="AE131">
        <v>575</v>
      </c>
      <c r="AF131">
        <v>31.485160221383211</v>
      </c>
      <c r="AG131">
        <v>34.255634463720639</v>
      </c>
      <c r="AH131">
        <f>16.572327617486*1</f>
        <v>16.572327617486</v>
      </c>
      <c r="AI131">
        <f>1.88701379531733*1</f>
        <v>1.88701379531733</v>
      </c>
      <c r="AJ131">
        <v>1</v>
      </c>
      <c r="AK131">
        <v>0</v>
      </c>
      <c r="AL131">
        <v>0</v>
      </c>
    </row>
    <row r="132" spans="1:38" hidden="1" x14ac:dyDescent="0.2">
      <c r="A132" t="s">
        <v>320</v>
      </c>
      <c r="B132" t="s">
        <v>321</v>
      </c>
      <c r="C132" t="s">
        <v>321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5.5</v>
      </c>
      <c r="AE132">
        <v>577</v>
      </c>
      <c r="AF132">
        <v>0</v>
      </c>
      <c r="AG132">
        <v>0</v>
      </c>
      <c r="AH132">
        <f>0*1</f>
        <v>0</v>
      </c>
      <c r="AI132">
        <f>0*1</f>
        <v>0</v>
      </c>
      <c r="AJ132">
        <v>1</v>
      </c>
      <c r="AK132">
        <v>0</v>
      </c>
      <c r="AL132">
        <v>0</v>
      </c>
    </row>
    <row r="133" spans="1:38" hidden="1" x14ac:dyDescent="0.2">
      <c r="A133" t="s">
        <v>322</v>
      </c>
      <c r="B133" t="s">
        <v>323</v>
      </c>
      <c r="C133" t="s">
        <v>323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4.7</v>
      </c>
      <c r="AE133">
        <v>580</v>
      </c>
      <c r="AF133">
        <v>10</v>
      </c>
      <c r="AG133">
        <v>34.881262707557539</v>
      </c>
      <c r="AH133">
        <f>3.69234693353719*1</f>
        <v>3.6923469335371899</v>
      </c>
      <c r="AI133">
        <f>0.281891476757903*1</f>
        <v>0.28189147675790299</v>
      </c>
      <c r="AJ133">
        <v>1</v>
      </c>
      <c r="AK133">
        <v>0</v>
      </c>
      <c r="AL133">
        <v>0</v>
      </c>
    </row>
    <row r="134" spans="1:38" hidden="1" x14ac:dyDescent="0.2">
      <c r="A134" t="s">
        <v>324</v>
      </c>
      <c r="B134" t="s">
        <v>325</v>
      </c>
      <c r="C134" t="s">
        <v>325</v>
      </c>
      <c r="D134" t="s">
        <v>4</v>
      </c>
      <c r="E134">
        <v>0</v>
      </c>
      <c r="F134">
        <v>1</v>
      </c>
      <c r="G134">
        <v>0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5.4</v>
      </c>
      <c r="AE134">
        <v>587</v>
      </c>
      <c r="AF134">
        <v>0</v>
      </c>
      <c r="AG134">
        <v>0</v>
      </c>
      <c r="AH134">
        <f>0*1</f>
        <v>0</v>
      </c>
      <c r="AI134">
        <f>0*1</f>
        <v>0</v>
      </c>
      <c r="AJ134">
        <v>1</v>
      </c>
      <c r="AK134">
        <v>0</v>
      </c>
      <c r="AL134">
        <v>0</v>
      </c>
    </row>
    <row r="135" spans="1:38" hidden="1" x14ac:dyDescent="0.2">
      <c r="A135" t="s">
        <v>326</v>
      </c>
      <c r="B135" t="s">
        <v>327</v>
      </c>
      <c r="C135" t="s">
        <v>327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588</v>
      </c>
      <c r="AF135">
        <v>27.591813217822828</v>
      </c>
      <c r="AG135">
        <v>14.54902053604418</v>
      </c>
      <c r="AH135">
        <f>20.3540916155376*1</f>
        <v>20.354091615537602</v>
      </c>
      <c r="AI135">
        <f>2.47615176105324*1</f>
        <v>2.4761517610532402</v>
      </c>
      <c r="AJ135">
        <v>1</v>
      </c>
      <c r="AK135">
        <v>0</v>
      </c>
      <c r="AL135">
        <v>0</v>
      </c>
    </row>
    <row r="136" spans="1:38" hidden="1" x14ac:dyDescent="0.2">
      <c r="A136" t="s">
        <v>328</v>
      </c>
      <c r="B136" t="s">
        <v>329</v>
      </c>
      <c r="C136" t="s">
        <v>329</v>
      </c>
      <c r="D136" t="s">
        <v>6</v>
      </c>
      <c r="E136">
        <v>0</v>
      </c>
      <c r="F136">
        <v>0</v>
      </c>
      <c r="G136">
        <v>0</v>
      </c>
      <c r="H136">
        <v>1</v>
      </c>
      <c r="I136" t="s">
        <v>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5.5</v>
      </c>
      <c r="AE136">
        <v>589</v>
      </c>
      <c r="AF136">
        <v>9.7647992561913526</v>
      </c>
      <c r="AG136">
        <v>29.084354162634281</v>
      </c>
      <c r="AH136">
        <f>2.52616247542738*1</f>
        <v>2.5261624754273799</v>
      </c>
      <c r="AI136">
        <f>0.203161713578298*1</f>
        <v>0.20316171357829799</v>
      </c>
      <c r="AJ136">
        <v>1</v>
      </c>
      <c r="AK136">
        <v>0</v>
      </c>
      <c r="AL136">
        <v>0</v>
      </c>
    </row>
    <row r="137" spans="1:38" hidden="1" x14ac:dyDescent="0.2">
      <c r="A137" t="s">
        <v>330</v>
      </c>
      <c r="B137" t="s">
        <v>331</v>
      </c>
      <c r="C137" t="s">
        <v>332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4.8</v>
      </c>
      <c r="AE137">
        <v>596</v>
      </c>
      <c r="AF137">
        <v>0</v>
      </c>
      <c r="AG137">
        <v>0</v>
      </c>
      <c r="AH137">
        <f>0*1</f>
        <v>0</v>
      </c>
      <c r="AI137">
        <f>0*1</f>
        <v>0</v>
      </c>
      <c r="AJ137">
        <v>1</v>
      </c>
      <c r="AK137">
        <v>0</v>
      </c>
      <c r="AL137">
        <v>0</v>
      </c>
    </row>
    <row r="138" spans="1:38" hidden="1" x14ac:dyDescent="0.2">
      <c r="A138" t="s">
        <v>303</v>
      </c>
      <c r="B138" t="s">
        <v>333</v>
      </c>
      <c r="C138" t="s">
        <v>333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5.3</v>
      </c>
      <c r="AE138">
        <v>597</v>
      </c>
      <c r="AF138">
        <v>53.161780498924813</v>
      </c>
      <c r="AG138">
        <v>19.845850353500818</v>
      </c>
      <c r="AH138">
        <f>43.695908004411*1</f>
        <v>43.695908004411002</v>
      </c>
      <c r="AI138">
        <f>5.95939310253272*1</f>
        <v>5.9593931025327196</v>
      </c>
      <c r="AJ138">
        <v>1</v>
      </c>
      <c r="AK138">
        <v>0</v>
      </c>
      <c r="AL138">
        <v>0</v>
      </c>
    </row>
    <row r="139" spans="1:38" hidden="1" x14ac:dyDescent="0.2">
      <c r="A139" t="s">
        <v>78</v>
      </c>
      <c r="B139" t="s">
        <v>334</v>
      </c>
      <c r="C139" t="s">
        <v>334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6.6</v>
      </c>
      <c r="AE139">
        <v>598</v>
      </c>
      <c r="AF139">
        <v>45.405048047461293</v>
      </c>
      <c r="AG139">
        <v>26.11283366243045</v>
      </c>
      <c r="AH139">
        <f>44.0310422647034*1</f>
        <v>44.031042264703402</v>
      </c>
      <c r="AI139">
        <f>5.00492284163972*1</f>
        <v>5.0049228416397202</v>
      </c>
      <c r="AJ139">
        <v>1</v>
      </c>
      <c r="AK139">
        <v>0</v>
      </c>
      <c r="AL139">
        <v>0</v>
      </c>
    </row>
    <row r="140" spans="1:38" hidden="1" x14ac:dyDescent="0.2">
      <c r="A140" t="s">
        <v>335</v>
      </c>
      <c r="B140" t="s">
        <v>336</v>
      </c>
      <c r="C140" t="s">
        <v>336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5.2</v>
      </c>
      <c r="AE140">
        <v>599</v>
      </c>
      <c r="AF140">
        <v>35.039269681305363</v>
      </c>
      <c r="AG140">
        <v>26.102403757965469</v>
      </c>
      <c r="AH140">
        <f>40.4293628740917*1</f>
        <v>40.429362874091701</v>
      </c>
      <c r="AI140">
        <f>4.75712746804178*1</f>
        <v>4.7571274680417801</v>
      </c>
      <c r="AJ140">
        <v>1</v>
      </c>
      <c r="AK140">
        <v>0</v>
      </c>
      <c r="AL140">
        <v>0</v>
      </c>
    </row>
    <row r="141" spans="1:38" x14ac:dyDescent="0.2">
      <c r="A141" t="s">
        <v>58</v>
      </c>
      <c r="B141" t="s">
        <v>59</v>
      </c>
      <c r="C141" t="s">
        <v>59</v>
      </c>
      <c r="D141" t="s">
        <v>4</v>
      </c>
      <c r="E141">
        <v>0</v>
      </c>
      <c r="F141">
        <v>1</v>
      </c>
      <c r="G141">
        <v>0</v>
      </c>
      <c r="H141">
        <v>0</v>
      </c>
      <c r="I141" t="s">
        <v>12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6.2</v>
      </c>
      <c r="AE141">
        <v>14</v>
      </c>
      <c r="AF141">
        <v>37.520757078070638</v>
      </c>
      <c r="AG141">
        <v>33.048639792256722</v>
      </c>
      <c r="AH141">
        <f>26.712195306646*1</f>
        <v>26.712195306645999</v>
      </c>
      <c r="AI141">
        <f>2.57886683501407*1</f>
        <v>2.57886683501407</v>
      </c>
      <c r="AJ141">
        <v>1</v>
      </c>
      <c r="AK141">
        <v>1</v>
      </c>
      <c r="AL141">
        <v>1</v>
      </c>
    </row>
    <row r="142" spans="1:38" hidden="1" x14ac:dyDescent="0.2">
      <c r="A142" t="s">
        <v>339</v>
      </c>
      <c r="B142" t="s">
        <v>340</v>
      </c>
      <c r="C142" t="s">
        <v>341</v>
      </c>
      <c r="D142" t="s">
        <v>4</v>
      </c>
      <c r="E142">
        <v>0</v>
      </c>
      <c r="F142">
        <v>1</v>
      </c>
      <c r="G142">
        <v>0</v>
      </c>
      <c r="H142">
        <v>0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4.4000000000000004</v>
      </c>
      <c r="AE142">
        <v>602</v>
      </c>
      <c r="AF142">
        <v>19.326315789473689</v>
      </c>
      <c r="AG142">
        <v>13.61175071118006</v>
      </c>
      <c r="AH142">
        <f>19.9815834913319*1</f>
        <v>19.9815834913319</v>
      </c>
      <c r="AI142">
        <f>2.23321433768939*1</f>
        <v>2.23321433768939</v>
      </c>
      <c r="AJ142">
        <v>1</v>
      </c>
      <c r="AK142">
        <v>0</v>
      </c>
      <c r="AL142">
        <v>0</v>
      </c>
    </row>
    <row r="143" spans="1:38" hidden="1" x14ac:dyDescent="0.2">
      <c r="A143" t="s">
        <v>342</v>
      </c>
      <c r="B143" t="s">
        <v>343</v>
      </c>
      <c r="C143" t="s">
        <v>343</v>
      </c>
      <c r="D143" t="s">
        <v>3</v>
      </c>
      <c r="E143">
        <v>1</v>
      </c>
      <c r="F143">
        <v>0</v>
      </c>
      <c r="G143">
        <v>0</v>
      </c>
      <c r="H143">
        <v>0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5.0999999999999996</v>
      </c>
      <c r="AE143">
        <v>608</v>
      </c>
      <c r="AF143">
        <v>0</v>
      </c>
      <c r="AG143">
        <v>0</v>
      </c>
      <c r="AH143">
        <f>0*1</f>
        <v>0</v>
      </c>
      <c r="AI143">
        <f>0*1</f>
        <v>0</v>
      </c>
      <c r="AJ143">
        <v>1</v>
      </c>
      <c r="AK143">
        <v>0</v>
      </c>
      <c r="AL143">
        <v>0</v>
      </c>
    </row>
    <row r="144" spans="1:38" x14ac:dyDescent="0.2">
      <c r="A144" t="s">
        <v>203</v>
      </c>
      <c r="B144" t="s">
        <v>204</v>
      </c>
      <c r="C144" t="s">
        <v>204</v>
      </c>
      <c r="D144" t="s">
        <v>4</v>
      </c>
      <c r="E144">
        <v>0</v>
      </c>
      <c r="F144">
        <v>1</v>
      </c>
      <c r="G144">
        <v>0</v>
      </c>
      <c r="H144">
        <v>0</v>
      </c>
      <c r="I144" t="s">
        <v>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4.9000000000000004</v>
      </c>
      <c r="AE144">
        <v>311</v>
      </c>
      <c r="AF144">
        <v>27.292808306452422</v>
      </c>
      <c r="AG144">
        <v>27.99831228876516</v>
      </c>
      <c r="AH144">
        <f>19.4821924416635*1</f>
        <v>19.4821924416635</v>
      </c>
      <c r="AI144">
        <f>2.25081714561992*1</f>
        <v>2.2508171456199202</v>
      </c>
      <c r="AJ144">
        <v>1</v>
      </c>
      <c r="AK144">
        <v>1</v>
      </c>
      <c r="AL144">
        <v>1</v>
      </c>
    </row>
    <row r="145" spans="1:38" hidden="1" x14ac:dyDescent="0.2">
      <c r="A145" t="s">
        <v>85</v>
      </c>
      <c r="B145" t="s">
        <v>346</v>
      </c>
      <c r="C145" t="s">
        <v>346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4.8</v>
      </c>
      <c r="AE145">
        <v>613</v>
      </c>
      <c r="AF145">
        <v>17.06896551724137</v>
      </c>
      <c r="AG145">
        <v>13.609701982604509</v>
      </c>
      <c r="AH145">
        <f>16.9949442007551*1</f>
        <v>16.9949442007551</v>
      </c>
      <c r="AI145">
        <f>1.90857501282701*1</f>
        <v>1.90857501282701</v>
      </c>
      <c r="AJ145">
        <v>1</v>
      </c>
      <c r="AK145">
        <v>0</v>
      </c>
      <c r="AL145">
        <v>0</v>
      </c>
    </row>
    <row r="146" spans="1:38" hidden="1" x14ac:dyDescent="0.2">
      <c r="A146" t="s">
        <v>347</v>
      </c>
      <c r="B146" t="s">
        <v>348</v>
      </c>
      <c r="C146" t="s">
        <v>348</v>
      </c>
      <c r="D146" t="s">
        <v>3</v>
      </c>
      <c r="E146">
        <v>1</v>
      </c>
      <c r="F146">
        <v>0</v>
      </c>
      <c r="G146">
        <v>0</v>
      </c>
      <c r="H146">
        <v>0</v>
      </c>
      <c r="I146" t="s">
        <v>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4.4000000000000004</v>
      </c>
      <c r="AE146">
        <v>621</v>
      </c>
      <c r="AF146">
        <v>31.149700598802411</v>
      </c>
      <c r="AG146">
        <v>31.863748328515811</v>
      </c>
      <c r="AH146">
        <f>16.8965582289141*1</f>
        <v>16.896558228914099</v>
      </c>
      <c r="AI146">
        <f>1.83551497206659*1</f>
        <v>1.83551497206659</v>
      </c>
      <c r="AJ146">
        <v>1</v>
      </c>
      <c r="AK146">
        <v>0</v>
      </c>
      <c r="AL146">
        <v>0</v>
      </c>
    </row>
    <row r="147" spans="1:38" hidden="1" x14ac:dyDescent="0.2">
      <c r="A147" t="s">
        <v>349</v>
      </c>
      <c r="B147" t="s">
        <v>350</v>
      </c>
      <c r="C147" t="s">
        <v>350</v>
      </c>
      <c r="D147" t="s">
        <v>6</v>
      </c>
      <c r="E147">
        <v>0</v>
      </c>
      <c r="F147">
        <v>0</v>
      </c>
      <c r="G147">
        <v>0</v>
      </c>
      <c r="H147">
        <v>1</v>
      </c>
      <c r="I147" t="s">
        <v>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4.9000000000000004</v>
      </c>
      <c r="AE147">
        <v>622</v>
      </c>
      <c r="AF147">
        <v>19.125</v>
      </c>
      <c r="AG147">
        <v>24.60115647624712</v>
      </c>
      <c r="AH147">
        <f>10.392752230194*1</f>
        <v>10.392752230194001</v>
      </c>
      <c r="AI147">
        <f>1.10410023532174*1</f>
        <v>1.10410023532174</v>
      </c>
      <c r="AJ147">
        <v>1</v>
      </c>
      <c r="AK147">
        <v>0</v>
      </c>
      <c r="AL147">
        <v>0</v>
      </c>
    </row>
    <row r="148" spans="1:38" hidden="1" x14ac:dyDescent="0.2">
      <c r="A148" t="s">
        <v>351</v>
      </c>
      <c r="B148" t="s">
        <v>352</v>
      </c>
      <c r="C148" t="s">
        <v>352</v>
      </c>
      <c r="D148" t="s">
        <v>4</v>
      </c>
      <c r="E148">
        <v>0</v>
      </c>
      <c r="F148">
        <v>1</v>
      </c>
      <c r="G148">
        <v>0</v>
      </c>
      <c r="H148">
        <v>0</v>
      </c>
      <c r="I148" t="s">
        <v>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4</v>
      </c>
      <c r="AE148">
        <v>629</v>
      </c>
      <c r="AF148">
        <v>18.867047969567</v>
      </c>
      <c r="AG148">
        <v>22.19397578257858</v>
      </c>
      <c r="AH148">
        <f>8.9314092533709*1</f>
        <v>8.9314092533708997</v>
      </c>
      <c r="AI148">
        <f>0.931741636084204*1</f>
        <v>0.93174163608420402</v>
      </c>
      <c r="AJ148">
        <v>1</v>
      </c>
      <c r="AK148">
        <v>0</v>
      </c>
      <c r="AL148">
        <v>0</v>
      </c>
    </row>
    <row r="149" spans="1:38" hidden="1" x14ac:dyDescent="0.2">
      <c r="A149" t="s">
        <v>353</v>
      </c>
      <c r="B149" t="s">
        <v>354</v>
      </c>
      <c r="C149" t="s">
        <v>354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4.8</v>
      </c>
      <c r="AE149">
        <v>667</v>
      </c>
      <c r="AF149">
        <v>16.699999999999989</v>
      </c>
      <c r="AG149">
        <v>17.112170578913059</v>
      </c>
      <c r="AH149">
        <f>10.7272985766121*1</f>
        <v>10.7272985766121</v>
      </c>
      <c r="AI149">
        <f>1.19214852874874*1</f>
        <v>1.1921485287487401</v>
      </c>
      <c r="AJ149">
        <v>1</v>
      </c>
      <c r="AK149">
        <v>0</v>
      </c>
      <c r="AL149">
        <v>0</v>
      </c>
    </row>
    <row r="150" spans="1:38" hidden="1" x14ac:dyDescent="0.2">
      <c r="A150" t="s">
        <v>355</v>
      </c>
      <c r="B150" t="s">
        <v>356</v>
      </c>
      <c r="C150" t="s">
        <v>356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6.2</v>
      </c>
      <c r="AE150">
        <v>676</v>
      </c>
      <c r="AF150">
        <v>32.625</v>
      </c>
      <c r="AG150">
        <v>35.19322946082228</v>
      </c>
      <c r="AH150">
        <f>32.7123976908781*1</f>
        <v>32.712397690878099</v>
      </c>
      <c r="AI150">
        <f>3.659396836481*1</f>
        <v>3.6593968364810001</v>
      </c>
      <c r="AJ150">
        <v>1</v>
      </c>
      <c r="AK150">
        <v>0</v>
      </c>
      <c r="AL150">
        <v>0</v>
      </c>
    </row>
    <row r="151" spans="1:38" hidden="1" x14ac:dyDescent="0.2">
      <c r="A151" t="s">
        <v>357</v>
      </c>
      <c r="B151" t="s">
        <v>358</v>
      </c>
      <c r="C151" t="s">
        <v>358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6.2</v>
      </c>
      <c r="AE151">
        <v>677</v>
      </c>
      <c r="AF151">
        <v>35.31428571428571</v>
      </c>
      <c r="AG151">
        <v>34.726441659715903</v>
      </c>
      <c r="AH151">
        <f>19.8245628335896*1</f>
        <v>19.824562833589599</v>
      </c>
      <c r="AI151">
        <f>2.23484967434243*1</f>
        <v>2.23484967434243</v>
      </c>
      <c r="AJ151">
        <v>1</v>
      </c>
      <c r="AK151">
        <v>0</v>
      </c>
      <c r="AL151">
        <v>0</v>
      </c>
    </row>
    <row r="152" spans="1:38" hidden="1" x14ac:dyDescent="0.2">
      <c r="A152" t="s">
        <v>203</v>
      </c>
      <c r="B152" t="s">
        <v>359</v>
      </c>
      <c r="C152" t="s">
        <v>359</v>
      </c>
      <c r="D152" t="s">
        <v>5</v>
      </c>
      <c r="E152">
        <v>0</v>
      </c>
      <c r="F152">
        <v>0</v>
      </c>
      <c r="G152">
        <v>1</v>
      </c>
      <c r="H152">
        <v>0</v>
      </c>
      <c r="I152" t="s">
        <v>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7.4</v>
      </c>
      <c r="AE152">
        <v>679</v>
      </c>
      <c r="AF152">
        <v>35.906401243972297</v>
      </c>
      <c r="AG152">
        <v>40.561212880086458</v>
      </c>
      <c r="AH152">
        <f>23.5902351405573*1</f>
        <v>23.590235140557301</v>
      </c>
      <c r="AI152">
        <f>3.00350655684308*1</f>
        <v>3.0035065568430799</v>
      </c>
      <c r="AJ152">
        <v>1</v>
      </c>
      <c r="AK152">
        <v>0</v>
      </c>
      <c r="AL152">
        <v>0</v>
      </c>
    </row>
    <row r="153" spans="1:38" hidden="1" x14ac:dyDescent="0.2">
      <c r="A153" t="s">
        <v>165</v>
      </c>
      <c r="B153" t="s">
        <v>360</v>
      </c>
      <c r="C153" t="s">
        <v>361</v>
      </c>
      <c r="D153" t="s">
        <v>4</v>
      </c>
      <c r="E153">
        <v>0</v>
      </c>
      <c r="F153">
        <v>1</v>
      </c>
      <c r="G153">
        <v>0</v>
      </c>
      <c r="H153">
        <v>0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5.3</v>
      </c>
      <c r="AE153">
        <v>680</v>
      </c>
      <c r="AF153">
        <v>36.051746134720247</v>
      </c>
      <c r="AG153">
        <v>42.345577749763841</v>
      </c>
      <c r="AH153">
        <f>19.7594575115583*1</f>
        <v>19.759457511558299</v>
      </c>
      <c r="AI153">
        <f>2.56162120989703*1</f>
        <v>2.5616212098970301</v>
      </c>
      <c r="AJ153">
        <v>1</v>
      </c>
      <c r="AK153">
        <v>0</v>
      </c>
      <c r="AL153">
        <v>0</v>
      </c>
    </row>
    <row r="154" spans="1:38" hidden="1" x14ac:dyDescent="0.2">
      <c r="A154" t="s">
        <v>362</v>
      </c>
      <c r="B154" t="s">
        <v>185</v>
      </c>
      <c r="C154" t="s">
        <v>363</v>
      </c>
      <c r="D154" t="s">
        <v>5</v>
      </c>
      <c r="E154">
        <v>0</v>
      </c>
      <c r="F154">
        <v>0</v>
      </c>
      <c r="G154">
        <v>1</v>
      </c>
      <c r="H154">
        <v>0</v>
      </c>
      <c r="I154" t="s">
        <v>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4.7</v>
      </c>
      <c r="AE154">
        <v>684</v>
      </c>
      <c r="AF154">
        <v>20.314285714285699</v>
      </c>
      <c r="AG154">
        <v>19.038168804365331</v>
      </c>
      <c r="AH154">
        <f>9.03366609242932*1</f>
        <v>9.0336660924293195</v>
      </c>
      <c r="AI154">
        <f>1.01368841591694*1</f>
        <v>1.0136884159169399</v>
      </c>
      <c r="AJ154">
        <v>1</v>
      </c>
      <c r="AK154">
        <v>0</v>
      </c>
      <c r="AL154">
        <v>0</v>
      </c>
    </row>
    <row r="155" spans="1:38" hidden="1" x14ac:dyDescent="0.2">
      <c r="A155" t="s">
        <v>364</v>
      </c>
      <c r="B155" t="s">
        <v>365</v>
      </c>
      <c r="C155" t="s">
        <v>364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9.6999999999999993</v>
      </c>
      <c r="AE155">
        <v>687</v>
      </c>
      <c r="AF155">
        <v>46.366994765985901</v>
      </c>
      <c r="AG155">
        <v>54.186609434279433</v>
      </c>
      <c r="AH155">
        <f>32.4345177596343*1</f>
        <v>32.434517759634304</v>
      </c>
      <c r="AI155">
        <f>4.01074894255881*1</f>
        <v>4.0107489425588101</v>
      </c>
      <c r="AJ155">
        <v>1</v>
      </c>
      <c r="AK155">
        <v>0</v>
      </c>
      <c r="AL155">
        <v>0</v>
      </c>
    </row>
    <row r="156" spans="1:38" hidden="1" x14ac:dyDescent="0.2">
      <c r="A156" t="s">
        <v>366</v>
      </c>
      <c r="B156" t="s">
        <v>367</v>
      </c>
      <c r="C156" t="s">
        <v>367</v>
      </c>
      <c r="D156" t="s">
        <v>4</v>
      </c>
      <c r="E156">
        <v>0</v>
      </c>
      <c r="F156">
        <v>1</v>
      </c>
      <c r="G156">
        <v>0</v>
      </c>
      <c r="H156">
        <v>0</v>
      </c>
      <c r="I156" t="s">
        <v>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4.8</v>
      </c>
      <c r="AE156">
        <v>689</v>
      </c>
      <c r="AF156">
        <v>0</v>
      </c>
      <c r="AG156">
        <v>0</v>
      </c>
      <c r="AH156">
        <f>0*1</f>
        <v>0</v>
      </c>
      <c r="AI156">
        <f>0*1</f>
        <v>0</v>
      </c>
      <c r="AJ156">
        <v>1</v>
      </c>
      <c r="AK156">
        <v>0</v>
      </c>
      <c r="AL156">
        <v>0</v>
      </c>
    </row>
    <row r="157" spans="1:38" hidden="1" x14ac:dyDescent="0.2">
      <c r="A157" t="s">
        <v>347</v>
      </c>
      <c r="B157" t="s">
        <v>368</v>
      </c>
      <c r="C157" t="s">
        <v>368</v>
      </c>
      <c r="D157" t="s">
        <v>4</v>
      </c>
      <c r="E157">
        <v>0</v>
      </c>
      <c r="F157">
        <v>1</v>
      </c>
      <c r="G157">
        <v>0</v>
      </c>
      <c r="H157">
        <v>0</v>
      </c>
      <c r="I157" t="s">
        <v>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4.5</v>
      </c>
      <c r="AE157">
        <v>711</v>
      </c>
      <c r="AF157">
        <v>31.812716040119039</v>
      </c>
      <c r="AG157">
        <v>28.165419853061021</v>
      </c>
      <c r="AH157">
        <f>19.2208292300515*1</f>
        <v>19.2208292300515</v>
      </c>
      <c r="AI157">
        <f>2.31248255106165*1</f>
        <v>2.3124825510616498</v>
      </c>
      <c r="AJ157">
        <v>1</v>
      </c>
      <c r="AK157">
        <v>0</v>
      </c>
      <c r="AL157">
        <v>0</v>
      </c>
    </row>
    <row r="158" spans="1:38" hidden="1" x14ac:dyDescent="0.2">
      <c r="A158" t="s">
        <v>369</v>
      </c>
      <c r="B158" t="s">
        <v>370</v>
      </c>
      <c r="C158" t="s">
        <v>371</v>
      </c>
      <c r="D158" t="s">
        <v>5</v>
      </c>
      <c r="E158">
        <v>0</v>
      </c>
      <c r="F158">
        <v>0</v>
      </c>
      <c r="G158">
        <v>1</v>
      </c>
      <c r="H158">
        <v>0</v>
      </c>
      <c r="I158" t="s">
        <v>30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5</v>
      </c>
      <c r="AE158">
        <v>712</v>
      </c>
      <c r="AF158">
        <v>0</v>
      </c>
      <c r="AG158">
        <v>0</v>
      </c>
      <c r="AH158">
        <f>0*1</f>
        <v>0</v>
      </c>
      <c r="AI158">
        <f>0*1</f>
        <v>0</v>
      </c>
      <c r="AJ158">
        <v>1</v>
      </c>
      <c r="AK158">
        <v>0</v>
      </c>
      <c r="AL158">
        <v>0</v>
      </c>
    </row>
    <row r="159" spans="1:38" hidden="1" x14ac:dyDescent="0.2">
      <c r="A159" t="s">
        <v>372</v>
      </c>
      <c r="B159" t="s">
        <v>373</v>
      </c>
      <c r="C159" t="s">
        <v>373</v>
      </c>
      <c r="D159" t="s">
        <v>5</v>
      </c>
      <c r="E159">
        <v>0</v>
      </c>
      <c r="F159">
        <v>0</v>
      </c>
      <c r="G159">
        <v>1</v>
      </c>
      <c r="H159">
        <v>0</v>
      </c>
      <c r="I159" t="s">
        <v>30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7.6</v>
      </c>
      <c r="AE159">
        <v>715</v>
      </c>
      <c r="AF159">
        <v>41.754720855377983</v>
      </c>
      <c r="AG159">
        <v>40.16290355412994</v>
      </c>
      <c r="AH159">
        <f>30.6947897192023*1</f>
        <v>30.694789719202301</v>
      </c>
      <c r="AI159">
        <f>3.28077776587963*1</f>
        <v>3.28077776587963</v>
      </c>
      <c r="AJ159">
        <v>1</v>
      </c>
      <c r="AK159">
        <v>0</v>
      </c>
      <c r="AL159">
        <v>0</v>
      </c>
    </row>
    <row r="160" spans="1:38" hidden="1" x14ac:dyDescent="0.2">
      <c r="A160" t="s">
        <v>374</v>
      </c>
      <c r="B160" t="s">
        <v>375</v>
      </c>
      <c r="C160" t="s">
        <v>374</v>
      </c>
      <c r="D160" t="s">
        <v>4</v>
      </c>
      <c r="E160">
        <v>0</v>
      </c>
      <c r="F160">
        <v>1</v>
      </c>
      <c r="G160">
        <v>0</v>
      </c>
      <c r="H160">
        <v>0</v>
      </c>
      <c r="I160" t="s">
        <v>30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4.4000000000000004</v>
      </c>
      <c r="AE160">
        <v>719</v>
      </c>
      <c r="AF160">
        <v>18.589048609924369</v>
      </c>
      <c r="AG160">
        <v>17.80946149690671</v>
      </c>
      <c r="AH160">
        <f>13.7296205093687*1</f>
        <v>13.729620509368701</v>
      </c>
      <c r="AI160">
        <f>1.6508141213435*1</f>
        <v>1.6508141213434999</v>
      </c>
      <c r="AJ160">
        <v>1</v>
      </c>
      <c r="AK160">
        <v>0</v>
      </c>
      <c r="AL160">
        <v>0</v>
      </c>
    </row>
    <row r="161" spans="1:38" hidden="1" x14ac:dyDescent="0.2">
      <c r="A161" t="s">
        <v>376</v>
      </c>
      <c r="B161" t="s">
        <v>377</v>
      </c>
      <c r="C161" t="s">
        <v>377</v>
      </c>
      <c r="D161" t="s">
        <v>4</v>
      </c>
      <c r="E161">
        <v>0</v>
      </c>
      <c r="F161">
        <v>1</v>
      </c>
      <c r="G161">
        <v>0</v>
      </c>
      <c r="H161">
        <v>0</v>
      </c>
      <c r="I161" t="s">
        <v>30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4.3</v>
      </c>
      <c r="AE161">
        <v>723</v>
      </c>
      <c r="AF161">
        <v>24.88235294117645</v>
      </c>
      <c r="AG161">
        <v>26.19139488718541</v>
      </c>
      <c r="AH161">
        <f>11.8618722206207*1</f>
        <v>11.8618722206207</v>
      </c>
      <c r="AI161">
        <f>1.24120660763425*1</f>
        <v>1.2412066076342501</v>
      </c>
      <c r="AJ161">
        <v>1</v>
      </c>
      <c r="AK161">
        <v>0</v>
      </c>
      <c r="AL161">
        <v>0</v>
      </c>
    </row>
    <row r="162" spans="1:38" hidden="1" x14ac:dyDescent="0.2">
      <c r="A162" t="s">
        <v>378</v>
      </c>
      <c r="B162" t="s">
        <v>379</v>
      </c>
      <c r="C162" t="s">
        <v>379</v>
      </c>
      <c r="D162" t="s">
        <v>5</v>
      </c>
      <c r="E162">
        <v>0</v>
      </c>
      <c r="F162">
        <v>0</v>
      </c>
      <c r="G162">
        <v>1</v>
      </c>
      <c r="H162">
        <v>0</v>
      </c>
      <c r="I162" t="s">
        <v>30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6.2</v>
      </c>
      <c r="AE162">
        <v>724</v>
      </c>
      <c r="AF162">
        <v>0</v>
      </c>
      <c r="AG162">
        <v>0</v>
      </c>
      <c r="AH162">
        <f>0*1</f>
        <v>0</v>
      </c>
      <c r="AI162">
        <f>0*1</f>
        <v>0</v>
      </c>
      <c r="AJ162">
        <v>1</v>
      </c>
      <c r="AK162">
        <v>0</v>
      </c>
      <c r="AL162">
        <v>0</v>
      </c>
    </row>
    <row r="163" spans="1:38" hidden="1" x14ac:dyDescent="0.2">
      <c r="A163" t="s">
        <v>66</v>
      </c>
      <c r="B163" t="s">
        <v>380</v>
      </c>
      <c r="C163" t="s">
        <v>381</v>
      </c>
      <c r="D163" t="s">
        <v>5</v>
      </c>
      <c r="E163">
        <v>0</v>
      </c>
      <c r="F163">
        <v>0</v>
      </c>
      <c r="G163">
        <v>1</v>
      </c>
      <c r="H163">
        <v>0</v>
      </c>
      <c r="I163" t="s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5.7</v>
      </c>
      <c r="AE163">
        <v>726</v>
      </c>
      <c r="AF163">
        <v>26.665547748973879</v>
      </c>
      <c r="AG163">
        <v>34.350645224563721</v>
      </c>
      <c r="AH163">
        <f>11.4681405429078*1</f>
        <v>11.4681405429078</v>
      </c>
      <c r="AI163">
        <f>1.48291405599645*1</f>
        <v>1.48291405599645</v>
      </c>
      <c r="AJ163">
        <v>1</v>
      </c>
      <c r="AK163">
        <v>0</v>
      </c>
      <c r="AL163">
        <v>0</v>
      </c>
    </row>
    <row r="164" spans="1:38" hidden="1" x14ac:dyDescent="0.2">
      <c r="A164" t="s">
        <v>382</v>
      </c>
      <c r="B164" t="s">
        <v>383</v>
      </c>
      <c r="C164" t="s">
        <v>383</v>
      </c>
      <c r="D164" t="s">
        <v>5</v>
      </c>
      <c r="E164">
        <v>0</v>
      </c>
      <c r="F164">
        <v>0</v>
      </c>
      <c r="G164">
        <v>1</v>
      </c>
      <c r="H164">
        <v>0</v>
      </c>
      <c r="I164" t="s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4.9000000000000004</v>
      </c>
      <c r="AE164">
        <v>729</v>
      </c>
      <c r="AF164">
        <v>26.26315548307813</v>
      </c>
      <c r="AG164">
        <v>28.60816753821149</v>
      </c>
      <c r="AH164">
        <f>24.5144142983284*1</f>
        <v>24.514414298328401</v>
      </c>
      <c r="AI164">
        <f>2.04632833475919*1</f>
        <v>2.0463283347591901</v>
      </c>
      <c r="AJ164">
        <v>1</v>
      </c>
      <c r="AK164">
        <v>0</v>
      </c>
      <c r="AL164">
        <v>0</v>
      </c>
    </row>
    <row r="165" spans="1:38" hidden="1" x14ac:dyDescent="0.2">
      <c r="A165" t="s">
        <v>384</v>
      </c>
      <c r="B165" t="s">
        <v>385</v>
      </c>
      <c r="C165" t="s">
        <v>385</v>
      </c>
      <c r="D165" t="s">
        <v>4</v>
      </c>
      <c r="E165">
        <v>0</v>
      </c>
      <c r="F165">
        <v>1</v>
      </c>
      <c r="G165">
        <v>0</v>
      </c>
      <c r="H165">
        <v>0</v>
      </c>
      <c r="I165" t="s">
        <v>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4.8</v>
      </c>
      <c r="AE165">
        <v>744</v>
      </c>
      <c r="AF165">
        <v>0</v>
      </c>
      <c r="AG165">
        <v>0</v>
      </c>
      <c r="AH165">
        <f>0*1</f>
        <v>0</v>
      </c>
      <c r="AI165">
        <f>0*1</f>
        <v>0</v>
      </c>
      <c r="AJ165">
        <v>1</v>
      </c>
      <c r="AK165">
        <v>0</v>
      </c>
      <c r="AL165">
        <v>0</v>
      </c>
    </row>
    <row r="166" spans="1:38" hidden="1" x14ac:dyDescent="0.2">
      <c r="A166" t="s">
        <v>386</v>
      </c>
      <c r="B166" t="s">
        <v>387</v>
      </c>
      <c r="C166" t="s">
        <v>387</v>
      </c>
      <c r="D166" t="s">
        <v>5</v>
      </c>
      <c r="E166">
        <v>0</v>
      </c>
      <c r="F166">
        <v>0</v>
      </c>
      <c r="G166">
        <v>1</v>
      </c>
      <c r="H166">
        <v>0</v>
      </c>
      <c r="I166" t="s">
        <v>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4.9000000000000004</v>
      </c>
      <c r="AE166">
        <v>746</v>
      </c>
      <c r="AF166">
        <v>0</v>
      </c>
      <c r="AG166">
        <v>0</v>
      </c>
      <c r="AH166">
        <f>0*1</f>
        <v>0</v>
      </c>
      <c r="AI166">
        <f>0*1</f>
        <v>0</v>
      </c>
      <c r="AJ166">
        <v>1</v>
      </c>
      <c r="AK166">
        <v>0</v>
      </c>
      <c r="AL166">
        <v>0</v>
      </c>
    </row>
    <row r="167" spans="1:38" hidden="1" x14ac:dyDescent="0.2">
      <c r="A167" t="s">
        <v>388</v>
      </c>
      <c r="B167" t="s">
        <v>389</v>
      </c>
      <c r="C167" t="s">
        <v>390</v>
      </c>
      <c r="D167" t="s">
        <v>6</v>
      </c>
      <c r="E167">
        <v>0</v>
      </c>
      <c r="F167">
        <v>0</v>
      </c>
      <c r="G167">
        <v>0</v>
      </c>
      <c r="H167">
        <v>1</v>
      </c>
      <c r="I167" t="s">
        <v>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6.9</v>
      </c>
      <c r="AE167">
        <v>752</v>
      </c>
      <c r="AF167">
        <v>48.027128115981853</v>
      </c>
      <c r="AG167">
        <v>36.236322592672678</v>
      </c>
      <c r="AH167">
        <f>33.3629851573299*0.777777777777777</f>
        <v>25.948988455701009</v>
      </c>
      <c r="AI167">
        <f>3.73774902317083*0.777777777777777</f>
        <v>2.9071381291328651</v>
      </c>
      <c r="AJ167">
        <v>0.77777777777777779</v>
      </c>
      <c r="AK167">
        <v>1</v>
      </c>
      <c r="AL167">
        <v>0</v>
      </c>
    </row>
    <row r="168" spans="1:38" hidden="1" x14ac:dyDescent="0.2">
      <c r="A168" t="s">
        <v>391</v>
      </c>
      <c r="B168" t="s">
        <v>392</v>
      </c>
      <c r="C168" t="s">
        <v>392</v>
      </c>
      <c r="D168" t="s">
        <v>4</v>
      </c>
      <c r="E168">
        <v>0</v>
      </c>
      <c r="F168">
        <v>1</v>
      </c>
      <c r="G168">
        <v>0</v>
      </c>
      <c r="H168">
        <v>0</v>
      </c>
      <c r="I168" t="s">
        <v>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4.3</v>
      </c>
      <c r="AE168">
        <v>754</v>
      </c>
      <c r="AF168">
        <v>21.456707318378282</v>
      </c>
      <c r="AG168">
        <v>29.451222106847101</v>
      </c>
      <c r="AH168">
        <f>6.80408498715373*1</f>
        <v>6.8040849871537299</v>
      </c>
      <c r="AI168">
        <f>0.648422975604549*1</f>
        <v>0.64842297560454898</v>
      </c>
      <c r="AJ168">
        <v>1</v>
      </c>
      <c r="AK168">
        <v>0</v>
      </c>
      <c r="AL168">
        <v>0</v>
      </c>
    </row>
    <row r="169" spans="1:38" hidden="1" x14ac:dyDescent="0.2">
      <c r="A169" t="s">
        <v>393</v>
      </c>
      <c r="B169" t="s">
        <v>394</v>
      </c>
      <c r="C169" t="s">
        <v>395</v>
      </c>
      <c r="D169" t="s">
        <v>5</v>
      </c>
      <c r="E169">
        <v>0</v>
      </c>
      <c r="F169">
        <v>0</v>
      </c>
      <c r="G169">
        <v>1</v>
      </c>
      <c r="H169">
        <v>0</v>
      </c>
      <c r="I169" t="s">
        <v>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5.3</v>
      </c>
      <c r="AE169">
        <v>759</v>
      </c>
      <c r="AF169">
        <v>0</v>
      </c>
      <c r="AG169">
        <v>0</v>
      </c>
      <c r="AH169">
        <f>0*1</f>
        <v>0</v>
      </c>
      <c r="AI169">
        <f>0*1</f>
        <v>0</v>
      </c>
      <c r="AJ169">
        <v>1</v>
      </c>
      <c r="AK169">
        <v>0</v>
      </c>
      <c r="AL169">
        <v>0</v>
      </c>
    </row>
    <row r="170" spans="1:38" hidden="1" x14ac:dyDescent="0.2">
      <c r="A170" t="s">
        <v>396</v>
      </c>
      <c r="B170" t="s">
        <v>397</v>
      </c>
      <c r="C170" t="s">
        <v>398</v>
      </c>
      <c r="D170" t="s">
        <v>5</v>
      </c>
      <c r="E170">
        <v>0</v>
      </c>
      <c r="F170">
        <v>0</v>
      </c>
      <c r="G170">
        <v>1</v>
      </c>
      <c r="H170">
        <v>0</v>
      </c>
      <c r="I170" t="s">
        <v>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4.9000000000000004</v>
      </c>
      <c r="AE170">
        <v>764</v>
      </c>
      <c r="AF170">
        <v>20.666694443838161</v>
      </c>
      <c r="AG170">
        <v>22.205229866606661</v>
      </c>
      <c r="AH170">
        <f>14.8018623194208*1</f>
        <v>14.801862319420801</v>
      </c>
      <c r="AI170">
        <f>1.78898686115611*1</f>
        <v>1.7889868611561099</v>
      </c>
      <c r="AJ170">
        <v>1</v>
      </c>
      <c r="AK170">
        <v>0</v>
      </c>
      <c r="AL170">
        <v>0</v>
      </c>
    </row>
    <row r="171" spans="1:38" hidden="1" x14ac:dyDescent="0.2">
      <c r="A171" t="s">
        <v>399</v>
      </c>
      <c r="B171" t="s">
        <v>400</v>
      </c>
      <c r="C171" t="s">
        <v>401</v>
      </c>
      <c r="D171" t="s">
        <v>3</v>
      </c>
      <c r="E171">
        <v>1</v>
      </c>
      <c r="F171">
        <v>0</v>
      </c>
      <c r="G171">
        <v>0</v>
      </c>
      <c r="H171">
        <v>0</v>
      </c>
      <c r="I171" t="s">
        <v>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4.3</v>
      </c>
      <c r="AE171">
        <v>765</v>
      </c>
      <c r="AF171">
        <v>29.79732255605462</v>
      </c>
      <c r="AG171">
        <v>34.461350623660728</v>
      </c>
      <c r="AH171">
        <f>16.5780681596068*1</f>
        <v>16.578068159606801</v>
      </c>
      <c r="AI171">
        <f>2.02352468659814*1</f>
        <v>2.0235246865981402</v>
      </c>
      <c r="AJ171">
        <v>1</v>
      </c>
      <c r="AK171">
        <v>0</v>
      </c>
      <c r="AL171">
        <v>0</v>
      </c>
    </row>
    <row r="172" spans="1:38" hidden="1" x14ac:dyDescent="0.2">
      <c r="A172" t="s">
        <v>402</v>
      </c>
      <c r="B172" t="s">
        <v>403</v>
      </c>
      <c r="C172" t="s">
        <v>404</v>
      </c>
      <c r="D172" t="s">
        <v>4</v>
      </c>
      <c r="E172">
        <v>0</v>
      </c>
      <c r="F172">
        <v>1</v>
      </c>
      <c r="G172">
        <v>0</v>
      </c>
      <c r="H172">
        <v>0</v>
      </c>
      <c r="I172" t="s">
        <v>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4.5</v>
      </c>
      <c r="AE172">
        <v>770</v>
      </c>
      <c r="AF172">
        <v>28.00701522633188</v>
      </c>
      <c r="AG172">
        <v>24.221527532254061</v>
      </c>
      <c r="AH172">
        <f>13.4716372938689*1</f>
        <v>13.4716372938689</v>
      </c>
      <c r="AI172">
        <f>1.56112442176041*1</f>
        <v>1.5611244217604101</v>
      </c>
      <c r="AJ172">
        <v>1</v>
      </c>
      <c r="AK172">
        <v>0</v>
      </c>
      <c r="AL172">
        <v>0</v>
      </c>
    </row>
    <row r="173" spans="1:38" hidden="1" x14ac:dyDescent="0.2">
      <c r="A173" t="s">
        <v>405</v>
      </c>
      <c r="B173" t="s">
        <v>406</v>
      </c>
      <c r="C173" t="s">
        <v>407</v>
      </c>
      <c r="D173" t="s">
        <v>4</v>
      </c>
      <c r="E173">
        <v>0</v>
      </c>
      <c r="F173">
        <v>1</v>
      </c>
      <c r="G173">
        <v>0</v>
      </c>
      <c r="H173">
        <v>0</v>
      </c>
      <c r="I173" t="s">
        <v>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4.3</v>
      </c>
      <c r="AE173">
        <v>774</v>
      </c>
      <c r="AF173">
        <v>0</v>
      </c>
      <c r="AG173">
        <v>0</v>
      </c>
      <c r="AH173">
        <f>0*1</f>
        <v>0</v>
      </c>
      <c r="AI173">
        <f>0*1</f>
        <v>0</v>
      </c>
      <c r="AJ173">
        <v>1</v>
      </c>
      <c r="AK173">
        <v>0</v>
      </c>
      <c r="AL173">
        <v>0</v>
      </c>
    </row>
    <row r="174" spans="1:38" hidden="1" x14ac:dyDescent="0.2">
      <c r="A174" t="s">
        <v>408</v>
      </c>
      <c r="B174" t="s">
        <v>409</v>
      </c>
      <c r="C174" t="s">
        <v>410</v>
      </c>
      <c r="D174" t="s">
        <v>4</v>
      </c>
      <c r="E174">
        <v>0</v>
      </c>
      <c r="F174">
        <v>1</v>
      </c>
      <c r="G174">
        <v>0</v>
      </c>
      <c r="H174">
        <v>0</v>
      </c>
      <c r="I174" t="s">
        <v>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4.3</v>
      </c>
      <c r="AE174">
        <v>777</v>
      </c>
      <c r="AF174">
        <v>21.506493506493499</v>
      </c>
      <c r="AG174">
        <v>16.89807520555928</v>
      </c>
      <c r="AH174">
        <f>14.4784892989572*1</f>
        <v>14.4784892989572</v>
      </c>
      <c r="AI174">
        <f>1.51085884835654*1</f>
        <v>1.5108588483565399</v>
      </c>
      <c r="AJ174">
        <v>1</v>
      </c>
      <c r="AK174">
        <v>0</v>
      </c>
      <c r="AL174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2025-03-31T17:26:12Z</dcterms:created>
  <dcterms:modified xsi:type="dcterms:W3CDTF">2025-03-31T17:47:06Z</dcterms:modified>
</cp:coreProperties>
</file>