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GitHub/FPL-Predictor/Calibrations/2023-24/"/>
    </mc:Choice>
  </mc:AlternateContent>
  <xr:revisionPtr revIDLastSave="0" documentId="13_ncr:1_{B61EA443-5C84-F349-ADEC-9C7EEEE183CA}" xr6:coauthVersionLast="47" xr6:coauthVersionMax="47" xr10:uidLastSave="{00000000-0000-0000-0000-000000000000}"/>
  <bookViews>
    <workbookView xWindow="0" yWindow="780" windowWidth="34560" windowHeight="21580" activeTab="19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BUR" sheetId="6" r:id="rId6"/>
    <sheet name="CHE" sheetId="7" r:id="rId7"/>
    <sheet name="CRY" sheetId="8" r:id="rId8"/>
    <sheet name="EVE" sheetId="9" r:id="rId9"/>
    <sheet name="FUL" sheetId="10" r:id="rId10"/>
    <sheet name="LIV" sheetId="11" r:id="rId11"/>
    <sheet name="LUT" sheetId="12" r:id="rId12"/>
    <sheet name="MCI" sheetId="13" r:id="rId13"/>
    <sheet name="MUN" sheetId="14" r:id="rId14"/>
    <sheet name="NEW" sheetId="15" r:id="rId15"/>
    <sheet name="NFO" sheetId="16" r:id="rId16"/>
    <sheet name="SHU" sheetId="17" r:id="rId17"/>
    <sheet name="TOT" sheetId="18" r:id="rId18"/>
    <sheet name="WHU" sheetId="19" r:id="rId19"/>
    <sheet name="WOL" sheetId="20" r:id="rId20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BUR!$I$2:$I$3</definedName>
    <definedName name="solver_adj" localSheetId="6" hidden="1">CHE!$I$2:$I$3</definedName>
    <definedName name="solver_adj" localSheetId="7" hidden="1">CRY!$I$2:$I$3</definedName>
    <definedName name="solver_adj" localSheetId="8" hidden="1">EVE!$I$2:$I$3</definedName>
    <definedName name="solver_adj" localSheetId="9" hidden="1">FUL!$I$2:$I$3</definedName>
    <definedName name="solver_adj" localSheetId="10" hidden="1">LIV!$I$2:$I$3</definedName>
    <definedName name="solver_adj" localSheetId="11" hidden="1">LUT!$I$2:$I$3</definedName>
    <definedName name="solver_adj" localSheetId="12" hidden="1">MCI!$I$2:$I$3</definedName>
    <definedName name="solver_adj" localSheetId="13" hidden="1">MUN!$I$2:$I$3</definedName>
    <definedName name="solver_adj" localSheetId="14" hidden="1">NEW!$I$2:$I$3</definedName>
    <definedName name="solver_adj" localSheetId="15" hidden="1">NFO!$I$2:$I$3</definedName>
    <definedName name="solver_adj" localSheetId="16" hidden="1">SHU!$I$2:$I$3</definedName>
    <definedName name="solver_adj" localSheetId="17" hidden="1">TOT!$I$2:$I$3</definedName>
    <definedName name="solver_adj" localSheetId="18" hidden="1">WHU!$I$2:$I$3</definedName>
    <definedName name="solver_adj" localSheetId="19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lin" localSheetId="0" hidden="1">2</definedName>
    <definedName name="solver_lin" localSheetId="1" hidden="1">2</definedName>
    <definedName name="solver_lin" localSheetId="4" hidden="1">2</definedName>
    <definedName name="solver_lin" localSheetId="2" hidden="1">2</definedName>
    <definedName name="solver_lin" localSheetId="3" hidden="1">2</definedName>
    <definedName name="solver_lin" localSheetId="5" hidden="1">2</definedName>
    <definedName name="solver_lin" localSheetId="6" hidden="1">2</definedName>
    <definedName name="solver_lin" localSheetId="7" hidden="1">2</definedName>
    <definedName name="solver_lin" localSheetId="8" hidden="1">2</definedName>
    <definedName name="solver_lin" localSheetId="9" hidden="1">2</definedName>
    <definedName name="solver_lin" localSheetId="10" hidden="1">2</definedName>
    <definedName name="solver_lin" localSheetId="11" hidden="1">2</definedName>
    <definedName name="solver_lin" localSheetId="12" hidden="1">2</definedName>
    <definedName name="solver_lin" localSheetId="13" hidden="1">2</definedName>
    <definedName name="solver_lin" localSheetId="14" hidden="1">2</definedName>
    <definedName name="solver_lin" localSheetId="15" hidden="1">2</definedName>
    <definedName name="solver_lin" localSheetId="16" hidden="1">2</definedName>
    <definedName name="solver_lin" localSheetId="17" hidden="1">2</definedName>
    <definedName name="solver_lin" localSheetId="18" hidden="1">2</definedName>
    <definedName name="solver_lin" localSheetId="19" hidden="1">2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num" localSheetId="19" hidden="1">0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BUR!$I$5</definedName>
    <definedName name="solver_opt" localSheetId="6" hidden="1">CHE!$I$5</definedName>
    <definedName name="solver_opt" localSheetId="7" hidden="1">CRY!$I$5</definedName>
    <definedName name="solver_opt" localSheetId="8" hidden="1">EVE!$I$5</definedName>
    <definedName name="solver_opt" localSheetId="9" hidden="1">FUL!$I$5</definedName>
    <definedName name="solver_opt" localSheetId="10" hidden="1">LIV!$I$5</definedName>
    <definedName name="solver_opt" localSheetId="11" hidden="1">LUT!$I$5</definedName>
    <definedName name="solver_opt" localSheetId="12" hidden="1">MCI!$I$5</definedName>
    <definedName name="solver_opt" localSheetId="13" hidden="1">MUN!$I$5</definedName>
    <definedName name="solver_opt" localSheetId="14" hidden="1">NEW!$I$5</definedName>
    <definedName name="solver_opt" localSheetId="15" hidden="1">NFO!$I$5</definedName>
    <definedName name="solver_opt" localSheetId="16" hidden="1">SHU!$I$5</definedName>
    <definedName name="solver_opt" localSheetId="17" hidden="1">TOT!$I$5</definedName>
    <definedName name="solver_opt" localSheetId="18" hidden="1">WHU!$I$5</definedName>
    <definedName name="solver_opt" localSheetId="19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er" localSheetId="0" hidden="1">2</definedName>
    <definedName name="solver_ver" localSheetId="1" hidden="1">2</definedName>
    <definedName name="solver_ver" localSheetId="4" hidden="1">2</definedName>
    <definedName name="solver_ver" localSheetId="2" hidden="1">2</definedName>
    <definedName name="solver_ver" localSheetId="3" hidden="1">2</definedName>
    <definedName name="solver_ver" localSheetId="5" hidden="1">2</definedName>
    <definedName name="solver_ver" localSheetId="6" hidden="1">2</definedName>
    <definedName name="solver_ver" localSheetId="7" hidden="1">2</definedName>
    <definedName name="solver_ver" localSheetId="8" hidden="1">2</definedName>
    <definedName name="solver_ver" localSheetId="9" hidden="1">2</definedName>
    <definedName name="solver_ver" localSheetId="10" hidden="1">2</definedName>
    <definedName name="solver_ver" localSheetId="11" hidden="1">2</definedName>
    <definedName name="solver_ver" localSheetId="12" hidden="1">2</definedName>
    <definedName name="solver_ver" localSheetId="13" hidden="1">2</definedName>
    <definedName name="solver_ver" localSheetId="14" hidden="1">2</definedName>
    <definedName name="solver_ver" localSheetId="15" hidden="1">2</definedName>
    <definedName name="solver_ver" localSheetId="16" hidden="1">2</definedName>
    <definedName name="solver_ver" localSheetId="17" hidden="1">2</definedName>
    <definedName name="solver_ver" localSheetId="18" hidden="1">2</definedName>
    <definedName name="solver_ver" localSheetId="19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0" l="1"/>
  <c r="F6" i="20" s="1"/>
  <c r="D5" i="20"/>
  <c r="F5" i="20" s="1"/>
  <c r="D4" i="20"/>
  <c r="F4" i="20" s="1"/>
  <c r="D3" i="20"/>
  <c r="F3" i="20" s="1"/>
  <c r="D2" i="20"/>
  <c r="F2" i="20" s="1"/>
  <c r="D8" i="19"/>
  <c r="F8" i="19" s="1"/>
  <c r="D7" i="19"/>
  <c r="F7" i="19" s="1"/>
  <c r="D6" i="19"/>
  <c r="F6" i="19" s="1"/>
  <c r="D5" i="19"/>
  <c r="F5" i="19" s="1"/>
  <c r="D4" i="19"/>
  <c r="F4" i="19" s="1"/>
  <c r="D3" i="19"/>
  <c r="F3" i="19" s="1"/>
  <c r="D2" i="19"/>
  <c r="F2" i="19" s="1"/>
  <c r="D10" i="18"/>
  <c r="F10" i="18" s="1"/>
  <c r="D9" i="18"/>
  <c r="F9" i="18" s="1"/>
  <c r="D8" i="18"/>
  <c r="F8" i="18" s="1"/>
  <c r="D7" i="18"/>
  <c r="F7" i="18" s="1"/>
  <c r="D6" i="18"/>
  <c r="F6" i="18" s="1"/>
  <c r="D5" i="18"/>
  <c r="F5" i="18" s="1"/>
  <c r="D4" i="18"/>
  <c r="F4" i="18" s="1"/>
  <c r="D3" i="18"/>
  <c r="F3" i="18" s="1"/>
  <c r="D2" i="18"/>
  <c r="F2" i="18" s="1"/>
  <c r="D6" i="17"/>
  <c r="F6" i="17" s="1"/>
  <c r="D5" i="17"/>
  <c r="F5" i="17" s="1"/>
  <c r="D4" i="17"/>
  <c r="F4" i="17" s="1"/>
  <c r="D3" i="17"/>
  <c r="F3" i="17" s="1"/>
  <c r="D2" i="17"/>
  <c r="F2" i="17" s="1"/>
  <c r="D8" i="16"/>
  <c r="F8" i="16" s="1"/>
  <c r="D7" i="16"/>
  <c r="F7" i="16" s="1"/>
  <c r="D6" i="16"/>
  <c r="F6" i="16" s="1"/>
  <c r="D5" i="16"/>
  <c r="F5" i="16" s="1"/>
  <c r="D4" i="16"/>
  <c r="F4" i="16" s="1"/>
  <c r="D3" i="16"/>
  <c r="F3" i="16" s="1"/>
  <c r="D2" i="16"/>
  <c r="F2" i="16" s="1"/>
  <c r="D13" i="15"/>
  <c r="F13" i="15" s="1"/>
  <c r="D12" i="15"/>
  <c r="F12" i="15" s="1"/>
  <c r="D11" i="15"/>
  <c r="F11" i="15" s="1"/>
  <c r="D10" i="15"/>
  <c r="F10" i="15" s="1"/>
  <c r="D9" i="15"/>
  <c r="F9" i="15" s="1"/>
  <c r="D8" i="15"/>
  <c r="F8" i="15" s="1"/>
  <c r="D7" i="15"/>
  <c r="F7" i="15" s="1"/>
  <c r="D6" i="15"/>
  <c r="F6" i="15" s="1"/>
  <c r="D5" i="15"/>
  <c r="F5" i="15" s="1"/>
  <c r="D4" i="15"/>
  <c r="F4" i="15" s="1"/>
  <c r="D3" i="15"/>
  <c r="F3" i="15" s="1"/>
  <c r="D2" i="15"/>
  <c r="F2" i="15" s="1"/>
  <c r="D11" i="14"/>
  <c r="F11" i="14" s="1"/>
  <c r="D10" i="14"/>
  <c r="F10" i="14" s="1"/>
  <c r="D9" i="14"/>
  <c r="F9" i="14" s="1"/>
  <c r="D8" i="14"/>
  <c r="F8" i="14" s="1"/>
  <c r="D7" i="14"/>
  <c r="F7" i="14" s="1"/>
  <c r="D6" i="14"/>
  <c r="F6" i="14" s="1"/>
  <c r="D5" i="14"/>
  <c r="D4" i="14"/>
  <c r="F4" i="14" s="1"/>
  <c r="D3" i="14"/>
  <c r="F3" i="14" s="1"/>
  <c r="D2" i="14"/>
  <c r="D11" i="13"/>
  <c r="F11" i="13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F5" i="13" s="1"/>
  <c r="D4" i="13"/>
  <c r="F4" i="13" s="1"/>
  <c r="D3" i="13"/>
  <c r="F3" i="13" s="1"/>
  <c r="D2" i="13"/>
  <c r="F2" i="13" s="1"/>
  <c r="D5" i="12"/>
  <c r="F5" i="12" s="1"/>
  <c r="D4" i="12"/>
  <c r="F4" i="12" s="1"/>
  <c r="D3" i="12"/>
  <c r="F3" i="12" s="1"/>
  <c r="D2" i="12"/>
  <c r="F2" i="12" s="1"/>
  <c r="D13" i="11"/>
  <c r="F13" i="11" s="1"/>
  <c r="D12" i="11"/>
  <c r="F12" i="11" s="1"/>
  <c r="D11" i="11"/>
  <c r="F11" i="11" s="1"/>
  <c r="D10" i="11"/>
  <c r="F10" i="11" s="1"/>
  <c r="D9" i="11"/>
  <c r="F9" i="11" s="1"/>
  <c r="D8" i="11"/>
  <c r="F8" i="11" s="1"/>
  <c r="D7" i="11"/>
  <c r="F7" i="11" s="1"/>
  <c r="D6" i="11"/>
  <c r="F6" i="11" s="1"/>
  <c r="D5" i="11"/>
  <c r="F5" i="11" s="1"/>
  <c r="D4" i="11"/>
  <c r="F4" i="11" s="1"/>
  <c r="D3" i="11"/>
  <c r="F3" i="11" s="1"/>
  <c r="D2" i="11"/>
  <c r="D13" i="10"/>
  <c r="F13" i="10" s="1"/>
  <c r="D12" i="10"/>
  <c r="F12" i="10" s="1"/>
  <c r="D11" i="10"/>
  <c r="F11" i="10" s="1"/>
  <c r="D10" i="10"/>
  <c r="F10" i="10" s="1"/>
  <c r="D9" i="10"/>
  <c r="F9" i="10" s="1"/>
  <c r="D8" i="10"/>
  <c r="F8" i="10" s="1"/>
  <c r="D7" i="10"/>
  <c r="F7" i="10" s="1"/>
  <c r="D6" i="10"/>
  <c r="F6" i="10" s="1"/>
  <c r="D5" i="10"/>
  <c r="F5" i="10" s="1"/>
  <c r="D4" i="10"/>
  <c r="F4" i="10" s="1"/>
  <c r="D3" i="10"/>
  <c r="F3" i="10" s="1"/>
  <c r="D2" i="10"/>
  <c r="F2" i="10" s="1"/>
  <c r="D11" i="9"/>
  <c r="F11" i="9" s="1"/>
  <c r="D10" i="9"/>
  <c r="F10" i="9" s="1"/>
  <c r="D9" i="9"/>
  <c r="F9" i="9" s="1"/>
  <c r="D8" i="9"/>
  <c r="F8" i="9" s="1"/>
  <c r="D7" i="9"/>
  <c r="F7" i="9" s="1"/>
  <c r="D6" i="9"/>
  <c r="F6" i="9" s="1"/>
  <c r="D5" i="9"/>
  <c r="D4" i="9"/>
  <c r="F4" i="9" s="1"/>
  <c r="D3" i="9"/>
  <c r="F3" i="9" s="1"/>
  <c r="D2" i="9"/>
  <c r="D12" i="8"/>
  <c r="F12" i="8" s="1"/>
  <c r="D11" i="8"/>
  <c r="F11" i="8" s="1"/>
  <c r="D10" i="8"/>
  <c r="F10" i="8" s="1"/>
  <c r="D9" i="8"/>
  <c r="F9" i="8" s="1"/>
  <c r="D8" i="8"/>
  <c r="F8" i="8" s="1"/>
  <c r="D7" i="8"/>
  <c r="F7" i="8" s="1"/>
  <c r="D6" i="8"/>
  <c r="F6" i="8" s="1"/>
  <c r="D5" i="8"/>
  <c r="F5" i="8" s="1"/>
  <c r="D4" i="8"/>
  <c r="F4" i="8" s="1"/>
  <c r="D3" i="8"/>
  <c r="F3" i="8" s="1"/>
  <c r="D2" i="8"/>
  <c r="F2" i="8" s="1"/>
  <c r="D11" i="7"/>
  <c r="F11" i="7" s="1"/>
  <c r="D10" i="7"/>
  <c r="F10" i="7" s="1"/>
  <c r="D9" i="7"/>
  <c r="F9" i="7" s="1"/>
  <c r="D8" i="7"/>
  <c r="F8" i="7" s="1"/>
  <c r="D7" i="7"/>
  <c r="F7" i="7" s="1"/>
  <c r="D6" i="7"/>
  <c r="F6" i="7" s="1"/>
  <c r="D5" i="7"/>
  <c r="F5" i="7" s="1"/>
  <c r="D4" i="7"/>
  <c r="F4" i="7" s="1"/>
  <c r="D3" i="7"/>
  <c r="F3" i="7" s="1"/>
  <c r="D2" i="7"/>
  <c r="F2" i="7" s="1"/>
  <c r="D6" i="6"/>
  <c r="F6" i="6" s="1"/>
  <c r="D5" i="6"/>
  <c r="F5" i="6" s="1"/>
  <c r="D4" i="6"/>
  <c r="F4" i="6" s="1"/>
  <c r="D3" i="6"/>
  <c r="F3" i="6" s="1"/>
  <c r="D2" i="6"/>
  <c r="F2" i="6" s="1"/>
  <c r="D8" i="5"/>
  <c r="F8" i="5" s="1"/>
  <c r="D7" i="5"/>
  <c r="F7" i="5" s="1"/>
  <c r="D6" i="5"/>
  <c r="F6" i="5" s="1"/>
  <c r="D5" i="5"/>
  <c r="F5" i="5" s="1"/>
  <c r="D4" i="5"/>
  <c r="F4" i="5" s="1"/>
  <c r="D3" i="5"/>
  <c r="F3" i="5" s="1"/>
  <c r="D2" i="5"/>
  <c r="F2" i="5" s="1"/>
  <c r="D11" i="4"/>
  <c r="F11" i="4" s="1"/>
  <c r="D10" i="4"/>
  <c r="F10" i="4" s="1"/>
  <c r="D9" i="4"/>
  <c r="F9" i="4" s="1"/>
  <c r="D8" i="4"/>
  <c r="F8" i="4" s="1"/>
  <c r="D7" i="4"/>
  <c r="F7" i="4" s="1"/>
  <c r="D6" i="4"/>
  <c r="F6" i="4" s="1"/>
  <c r="D5" i="4"/>
  <c r="F5" i="4" s="1"/>
  <c r="D4" i="4"/>
  <c r="F4" i="4" s="1"/>
  <c r="D3" i="4"/>
  <c r="F3" i="4" s="1"/>
  <c r="D2" i="4"/>
  <c r="F2" i="4" s="1"/>
  <c r="D12" i="3"/>
  <c r="F12" i="3" s="1"/>
  <c r="D11" i="3"/>
  <c r="F11" i="3" s="1"/>
  <c r="D10" i="3"/>
  <c r="F10" i="3" s="1"/>
  <c r="D9" i="3"/>
  <c r="F9" i="3" s="1"/>
  <c r="D8" i="3"/>
  <c r="F8" i="3" s="1"/>
  <c r="D7" i="3"/>
  <c r="F7" i="3" s="1"/>
  <c r="D6" i="3"/>
  <c r="F6" i="3" s="1"/>
  <c r="D5" i="3"/>
  <c r="D4" i="3"/>
  <c r="F4" i="3" s="1"/>
  <c r="D3" i="3"/>
  <c r="F3" i="3" s="1"/>
  <c r="D2" i="3"/>
  <c r="F12" i="2"/>
  <c r="D12" i="2"/>
  <c r="D11" i="2"/>
  <c r="F11" i="2" s="1"/>
  <c r="D10" i="2"/>
  <c r="F10" i="2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F2" i="2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I7" i="20" l="1"/>
  <c r="I5" i="20" a="1"/>
  <c r="I5" i="20" s="1"/>
  <c r="I7" i="19"/>
  <c r="I5" i="19" a="1"/>
  <c r="I5" i="19" s="1"/>
  <c r="I5" i="18" a="1"/>
  <c r="I5" i="18" s="1"/>
  <c r="I7" i="17"/>
  <c r="I5" i="17" a="1"/>
  <c r="I5" i="17" s="1"/>
  <c r="I5" i="16" a="1"/>
  <c r="I5" i="16" s="1"/>
  <c r="I5" i="15" a="1"/>
  <c r="I5" i="15" s="1"/>
  <c r="I5" i="14" a="1"/>
  <c r="I5" i="14" s="1"/>
  <c r="F2" i="14"/>
  <c r="I5" i="13" a="1"/>
  <c r="I5" i="13" s="1"/>
  <c r="I7" i="12"/>
  <c r="I5" i="12" a="1"/>
  <c r="I5" i="12" s="1"/>
  <c r="I5" i="11" a="1"/>
  <c r="I5" i="11" s="1"/>
  <c r="F2" i="11"/>
  <c r="I7" i="11" s="1"/>
  <c r="I5" i="10" a="1"/>
  <c r="I5" i="10" s="1"/>
  <c r="I5" i="9" a="1"/>
  <c r="I5" i="9" s="1"/>
  <c r="F2" i="9"/>
  <c r="I5" i="8" a="1"/>
  <c r="I5" i="8" s="1"/>
  <c r="I7" i="7"/>
  <c r="I5" i="7" a="1"/>
  <c r="I5" i="7" s="1"/>
  <c r="I5" i="6" a="1"/>
  <c r="I5" i="6" s="1"/>
  <c r="I5" i="5" a="1"/>
  <c r="I5" i="5" s="1"/>
  <c r="I5" i="4" a="1"/>
  <c r="I5" i="4" s="1"/>
  <c r="I5" i="3" a="1"/>
  <c r="I5" i="3" s="1"/>
  <c r="F2" i="3"/>
  <c r="I7" i="2"/>
  <c r="I5" i="2" a="1"/>
  <c r="I5" i="2" s="1"/>
  <c r="I5" i="1" a="1"/>
  <c r="I5" i="1" s="1"/>
  <c r="I7" i="10"/>
  <c r="I7" i="6"/>
  <c r="I7" i="16"/>
  <c r="I7" i="13"/>
  <c r="I7" i="15"/>
  <c r="I7" i="5"/>
  <c r="I7" i="1"/>
  <c r="I7" i="4"/>
  <c r="I7" i="8"/>
  <c r="I7" i="18"/>
  <c r="F5" i="14"/>
  <c r="F5" i="3"/>
  <c r="F5" i="9"/>
  <c r="I7" i="9" s="1"/>
  <c r="I7" i="14" l="1"/>
  <c r="I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<sst xmlns="http://schemas.openxmlformats.org/spreadsheetml/2006/main" count="382" uniqueCount="191">
  <si>
    <t>ARIMA</t>
  </si>
  <si>
    <t>LSTM</t>
  </si>
  <si>
    <t>OFF</t>
  </si>
  <si>
    <t>AVG</t>
  </si>
  <si>
    <t>Name</t>
  </si>
  <si>
    <t>ARIMAPP</t>
  </si>
  <si>
    <t>LSTMPP</t>
  </si>
  <si>
    <t>PP</t>
  </si>
  <si>
    <t>AP</t>
  </si>
  <si>
    <t>DIFF</t>
  </si>
  <si>
    <t>Rice</t>
  </si>
  <si>
    <t>G.Jesus</t>
  </si>
  <si>
    <t>Zinchenko</t>
  </si>
  <si>
    <t>Saka</t>
  </si>
  <si>
    <t>Trossard</t>
  </si>
  <si>
    <t>Havertz</t>
  </si>
  <si>
    <t>Ødegaard</t>
  </si>
  <si>
    <t>Raya</t>
  </si>
  <si>
    <t>Tomiyasu</t>
  </si>
  <si>
    <t>Saliba</t>
  </si>
  <si>
    <t>White</t>
  </si>
  <si>
    <t>Martinelli</t>
  </si>
  <si>
    <t>Nketiah</t>
  </si>
  <si>
    <t>Gabriel</t>
  </si>
  <si>
    <t>Digne</t>
  </si>
  <si>
    <t>Tielemans</t>
  </si>
  <si>
    <t>Douglas Luiz</t>
  </si>
  <si>
    <t>McGinn</t>
  </si>
  <si>
    <t>Konsa</t>
  </si>
  <si>
    <t>Watkins</t>
  </si>
  <si>
    <t>Bailey</t>
  </si>
  <si>
    <t>Cash</t>
  </si>
  <si>
    <t>Martinez</t>
  </si>
  <si>
    <t>Diaby</t>
  </si>
  <si>
    <t>Pau</t>
  </si>
  <si>
    <t>Billing</t>
  </si>
  <si>
    <t>L.Cook</t>
  </si>
  <si>
    <t>Solanke</t>
  </si>
  <si>
    <t>Kelly</t>
  </si>
  <si>
    <t>Christie</t>
  </si>
  <si>
    <t>Tavernier</t>
  </si>
  <si>
    <t>Senesi</t>
  </si>
  <si>
    <t>Neto</t>
  </si>
  <si>
    <t>Semenyo</t>
  </si>
  <si>
    <t>Zabarnyi</t>
  </si>
  <si>
    <t>Kerkez</t>
  </si>
  <si>
    <t>Maupay</t>
  </si>
  <si>
    <t>Nørgaard</t>
  </si>
  <si>
    <t>Pinnock</t>
  </si>
  <si>
    <t>Janelt</t>
  </si>
  <si>
    <t>Mbeumo</t>
  </si>
  <si>
    <t>Wissa</t>
  </si>
  <si>
    <t>Jensen</t>
  </si>
  <si>
    <t>Collins</t>
  </si>
  <si>
    <t>Hickey</t>
  </si>
  <si>
    <t>Flekken</t>
  </si>
  <si>
    <t>Gross</t>
  </si>
  <si>
    <t>Gilmour</t>
  </si>
  <si>
    <t>João Pedro</t>
  </si>
  <si>
    <t>Steele</t>
  </si>
  <si>
    <t>Ferguson</t>
  </si>
  <si>
    <t>Mitoma</t>
  </si>
  <si>
    <t>Adingra</t>
  </si>
  <si>
    <t>Taylor</t>
  </si>
  <si>
    <t>Brownhill</t>
  </si>
  <si>
    <t>Koleosho</t>
  </si>
  <si>
    <t>Trafford</t>
  </si>
  <si>
    <t>Amdouni</t>
  </si>
  <si>
    <t>Sterling</t>
  </si>
  <si>
    <t>Gallagher</t>
  </si>
  <si>
    <t>Sanchez</t>
  </si>
  <si>
    <t>Palmer</t>
  </si>
  <si>
    <t>T.Silva</t>
  </si>
  <si>
    <t>Colwill</t>
  </si>
  <si>
    <t>Mudryk</t>
  </si>
  <si>
    <t>Enzo</t>
  </si>
  <si>
    <t>N.Jackson</t>
  </si>
  <si>
    <t>Disasi</t>
  </si>
  <si>
    <t>Schlupp</t>
  </si>
  <si>
    <t>Hughes</t>
  </si>
  <si>
    <t>Ward</t>
  </si>
  <si>
    <t>J.Ayew</t>
  </si>
  <si>
    <t>Mitchell</t>
  </si>
  <si>
    <t>Eze</t>
  </si>
  <si>
    <t>Johnstone</t>
  </si>
  <si>
    <t>Andersen</t>
  </si>
  <si>
    <t>Guéhi</t>
  </si>
  <si>
    <t>Edouard</t>
  </si>
  <si>
    <t>Lerma</t>
  </si>
  <si>
    <t>A.Doucoure</t>
  </si>
  <si>
    <t>Gana</t>
  </si>
  <si>
    <t>Tarkowski</t>
  </si>
  <si>
    <t>Pickford</t>
  </si>
  <si>
    <t>Calvert-Lewin</t>
  </si>
  <si>
    <t>McNeil</t>
  </si>
  <si>
    <t>Garner</t>
  </si>
  <si>
    <t>Branthwaite</t>
  </si>
  <si>
    <t>Harrison</t>
  </si>
  <si>
    <t>Mykolenko</t>
  </si>
  <si>
    <t>Raúl</t>
  </si>
  <si>
    <t>Cairney</t>
  </si>
  <si>
    <t>Iwobi</t>
  </si>
  <si>
    <t>Leno</t>
  </si>
  <si>
    <t>Ream</t>
  </si>
  <si>
    <t>Wilson</t>
  </si>
  <si>
    <t>Castagne</t>
  </si>
  <si>
    <t>Robinson</t>
  </si>
  <si>
    <t>J.Palhinha</t>
  </si>
  <si>
    <t>Andreas</t>
  </si>
  <si>
    <t>De Cordova-Reid</t>
  </si>
  <si>
    <t>Willian</t>
  </si>
  <si>
    <t>A.Becker</t>
  </si>
  <si>
    <t>Salah</t>
  </si>
  <si>
    <t>Alexander-Arnold</t>
  </si>
  <si>
    <t>Virgil</t>
  </si>
  <si>
    <t>Mac Allister</t>
  </si>
  <si>
    <t>Konaté</t>
  </si>
  <si>
    <t>Luis Díaz</t>
  </si>
  <si>
    <t>Darwin</t>
  </si>
  <si>
    <t>Diogo J.</t>
  </si>
  <si>
    <t>Gakpo</t>
  </si>
  <si>
    <t>Szoboszlai</t>
  </si>
  <si>
    <t>Gomez</t>
  </si>
  <si>
    <t>Kaminski</t>
  </si>
  <si>
    <t>Adebayo</t>
  </si>
  <si>
    <t>Morris</t>
  </si>
  <si>
    <t>Brown</t>
  </si>
  <si>
    <t>Ederson M.</t>
  </si>
  <si>
    <t>Walker</t>
  </si>
  <si>
    <t>Aké</t>
  </si>
  <si>
    <t>Foden</t>
  </si>
  <si>
    <t>Rodrigo</t>
  </si>
  <si>
    <t>Haaland</t>
  </si>
  <si>
    <t>Bernardo</t>
  </si>
  <si>
    <t>J.Alvarez</t>
  </si>
  <si>
    <t>Rúben</t>
  </si>
  <si>
    <t>Akanji</t>
  </si>
  <si>
    <t>Eriksen</t>
  </si>
  <si>
    <t>Maguire</t>
  </si>
  <si>
    <t>Rashford</t>
  </si>
  <si>
    <t>McTominay</t>
  </si>
  <si>
    <t>Lindelof</t>
  </si>
  <si>
    <t>Martial</t>
  </si>
  <si>
    <t>B.Fernandes</t>
  </si>
  <si>
    <t>Dalot</t>
  </si>
  <si>
    <t>Garnacho</t>
  </si>
  <si>
    <t>Onana</t>
  </si>
  <si>
    <t>Trippier</t>
  </si>
  <si>
    <t>Schär</t>
  </si>
  <si>
    <t>Longstaff</t>
  </si>
  <si>
    <t>Burn</t>
  </si>
  <si>
    <t>Joelinton</t>
  </si>
  <si>
    <t>Pope</t>
  </si>
  <si>
    <t>Gordon</t>
  </si>
  <si>
    <t>Anderson</t>
  </si>
  <si>
    <t>Bruno G.</t>
  </si>
  <si>
    <t>Almirón</t>
  </si>
  <si>
    <t>Isak</t>
  </si>
  <si>
    <t>Wood</t>
  </si>
  <si>
    <t>Gibbs-White</t>
  </si>
  <si>
    <t>Boly</t>
  </si>
  <si>
    <t>Elanga</t>
  </si>
  <si>
    <t>Mangala</t>
  </si>
  <si>
    <t>Awoniyi</t>
  </si>
  <si>
    <t>Toffolo</t>
  </si>
  <si>
    <t>Norwood</t>
  </si>
  <si>
    <t>Archer</t>
  </si>
  <si>
    <t>McAtee</t>
  </si>
  <si>
    <t>Foderingham</t>
  </si>
  <si>
    <t>Hamer</t>
  </si>
  <si>
    <t>Maddison</t>
  </si>
  <si>
    <t>Richarlison</t>
  </si>
  <si>
    <t>Romero</t>
  </si>
  <si>
    <t>Kulusevski</t>
  </si>
  <si>
    <t>Johnson</t>
  </si>
  <si>
    <t>Son</t>
  </si>
  <si>
    <t>Sarr</t>
  </si>
  <si>
    <t>Pedro Porro</t>
  </si>
  <si>
    <t>Vicario</t>
  </si>
  <si>
    <t>Antonio</t>
  </si>
  <si>
    <t>Ward-Prowse</t>
  </si>
  <si>
    <t>Bowen</t>
  </si>
  <si>
    <t>Areola</t>
  </si>
  <si>
    <t>L.Paquetá</t>
  </si>
  <si>
    <t>Coufal</t>
  </si>
  <si>
    <t>Souček</t>
  </si>
  <si>
    <t>Lemina</t>
  </si>
  <si>
    <t>José Sá</t>
  </si>
  <si>
    <t>Toti</t>
  </si>
  <si>
    <t>Hee Chan</t>
  </si>
  <si>
    <t>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</si>
</sst>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5" totalsRowShown="0">
  <autoFilter ref="A1:F15" xr:uid="{00000000-0009-0000-0100-000001000000}"/>
  <tableColumns count="6">
    <tableColumn id="1" xr3:uid="{00000000-0010-0000-0000-000001000000}" name="Name"/>
    <tableColumn id="2" xr3:uid="{00000000-0010-0000-0000-000002000000}" name="ARIMAPP"/>
    <tableColumn id="3" xr3:uid="{00000000-0010-0000-0000-000003000000}" name="LSTMPP"/>
    <tableColumn id="4" xr3:uid="{00000000-0010-0000-0000-000004000000}" name="PP">
      <calculatedColumnFormula>TableARS[[#This Row],[ARIMAPP]]*$I$2+TableARS[[#This Row],[LSTMPP]]*$I$3</calculatedColumnFormula>
    </tableColumn>
    <tableColumn id="5" xr3:uid="{00000000-0010-0000-0000-000005000000}" name="AP"/>
    <tableColumn id="6" xr3:uid="{00000000-0010-0000-0000-000006000000}" name="DIFF">
      <calculatedColumnFormula>ABS(TableARS[[#This Row],[PP]]-TableARS[[#This Row],[AP]])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12" totalsRowShown="0">
  <autoFilter ref="A1:F12" xr:uid="{00000000-0009-0000-0100-000002000000}"/>
  <tableColumns count="6">
    <tableColumn id="1" xr3:uid="{00000000-0010-0000-0100-000001000000}" name="Name"/>
    <tableColumn id="2" xr3:uid="{00000000-0010-0000-0100-000002000000}" name="ARIMAPP"/>
    <tableColumn id="3" xr3:uid="{00000000-0010-0000-0100-000003000000}" name="LSTMPP"/>
    <tableColumn id="4" xr3:uid="{00000000-0010-0000-0100-000004000000}" name="PP">
      <calculatedColumnFormula>TableAVL[[#This Row],[ARIMAPP]]*$I$2+TableAVL[[#This Row],[LSTMPP]]*$I$3</calculatedColumnFormula>
    </tableColumn>
    <tableColumn id="5" xr3:uid="{00000000-0010-0000-0100-000005000000}" name="AP"/>
    <tableColumn id="6" xr3:uid="{00000000-0010-0000-0100-000006000000}" name="DIFF">
      <calculatedColumnFormula>ABS(TableAVL[[#This Row],[PP]]-TableAVL[[#This Row],[AP]])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12" totalsRowShown="0">
  <autoFilter ref="A1:F12" xr:uid="{00000000-0009-0000-0100-000003000000}"/>
  <tableColumns count="6">
    <tableColumn id="1" xr3:uid="{00000000-0010-0000-0200-000001000000}" name="Name"/>
    <tableColumn id="2" xr3:uid="{00000000-0010-0000-0200-000002000000}" name="ARIMAPP"/>
    <tableColumn id="3" xr3:uid="{00000000-0010-0000-0200-000003000000}" name="LSTMPP"/>
    <tableColumn id="4" xr3:uid="{00000000-0010-0000-0200-000004000000}" name="PP">
      <calculatedColumnFormula>TableBOU[[#This Row],[ARIMAPP]]*$I$2+TableBOU[[#This Row],[LSTMPP]]*$I$3</calculatedColumnFormula>
    </tableColumn>
    <tableColumn id="5" xr3:uid="{00000000-0010-0000-0200-000005000000}" name="AP"/>
    <tableColumn id="6" xr3:uid="{00000000-0010-0000-0200-000006000000}" name="DIFF">
      <calculatedColumnFormula>ABS(TableBOU[[#This Row],[PP]]-TableBOU[[#This Row],[AP]])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11" totalsRowShown="0">
  <autoFilter ref="A1:F11" xr:uid="{00000000-0009-0000-0100-000004000000}"/>
  <tableColumns count="6">
    <tableColumn id="1" xr3:uid="{00000000-0010-0000-0300-000001000000}" name="Name"/>
    <tableColumn id="2" xr3:uid="{00000000-0010-0000-0300-000002000000}" name="ARIMAPP"/>
    <tableColumn id="3" xr3:uid="{00000000-0010-0000-0300-000003000000}" name="LSTMPP"/>
    <tableColumn id="4" xr3:uid="{00000000-0010-0000-0300-000004000000}" name="PP">
      <calculatedColumnFormula>TableBRE[[#This Row],[ARIMAPP]]*$I$2+TableBRE[[#This Row],[LSTMPP]]*$I$3</calculatedColumnFormula>
    </tableColumn>
    <tableColumn id="5" xr3:uid="{00000000-0010-0000-0300-000005000000}" name="AP"/>
    <tableColumn id="6" xr3:uid="{00000000-0010-0000-0300-000006000000}" name="DIFF">
      <calculatedColumnFormula>ABS(TableBRE[[#This Row],[PP]]-TableBRE[[#This Row],[AP]])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8" totalsRowShown="0">
  <autoFilter ref="A1:F8" xr:uid="{00000000-0009-0000-0100-000005000000}"/>
  <tableColumns count="6">
    <tableColumn id="1" xr3:uid="{00000000-0010-0000-0400-000001000000}" name="Name"/>
    <tableColumn id="2" xr3:uid="{00000000-0010-0000-0400-000002000000}" name="ARIMAPP"/>
    <tableColumn id="3" xr3:uid="{00000000-0010-0000-0400-000003000000}" name="LSTMPP"/>
    <tableColumn id="4" xr3:uid="{00000000-0010-0000-0400-000004000000}" name="PP">
      <calculatedColumnFormula>TableBHA[[#This Row],[ARIMAPP]]*$I$2+TableBHA[[#This Row],[LSTMPP]]*$I$3</calculatedColumnFormula>
    </tableColumn>
    <tableColumn id="5" xr3:uid="{00000000-0010-0000-0400-000005000000}" name="AP"/>
    <tableColumn id="6" xr3:uid="{00000000-0010-0000-0400-000006000000}" name="DIFF">
      <calculatedColumnFormula>ABS(TableBHA[[#This Row],[PP]]-TableBHA[[#This Row],[AP]])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BUR" displayName="TableBUR" ref="A1:F6" totalsRowShown="0">
  <autoFilter ref="A1:F6" xr:uid="{00000000-0009-0000-0100-000006000000}"/>
  <tableColumns count="6">
    <tableColumn id="1" xr3:uid="{00000000-0010-0000-0500-000001000000}" name="Name"/>
    <tableColumn id="2" xr3:uid="{00000000-0010-0000-0500-000002000000}" name="ARIMAPP"/>
    <tableColumn id="3" xr3:uid="{00000000-0010-0000-0500-000003000000}" name="LSTMPP"/>
    <tableColumn id="4" xr3:uid="{00000000-0010-0000-0500-000004000000}" name="PP">
      <calculatedColumnFormula>TableBUR[[#This Row],[ARIMAPP]]*$I$2+TableBUR[[#This Row],[LSTMPP]]*$I$3</calculatedColumnFormula>
    </tableColumn>
    <tableColumn id="5" xr3:uid="{00000000-0010-0000-0500-000005000000}" name="AP"/>
    <tableColumn id="6" xr3:uid="{00000000-0010-0000-0500-000006000000}" name="DIFF">
      <calculatedColumnFormula>ABS(TableBUR[[#This Row],[PP]]-TableBUR[[#This Row],[AP]])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HE" displayName="TableCHE" ref="A1:F11" totalsRowShown="0">
  <autoFilter ref="A1:F11" xr:uid="{00000000-0009-0000-0100-000007000000}"/>
  <tableColumns count="6">
    <tableColumn id="1" xr3:uid="{00000000-0010-0000-0600-000001000000}" name="Name"/>
    <tableColumn id="2" xr3:uid="{00000000-0010-0000-0600-000002000000}" name="ARIMAPP"/>
    <tableColumn id="3" xr3:uid="{00000000-0010-0000-0600-000003000000}" name="LSTMPP"/>
    <tableColumn id="4" xr3:uid="{00000000-0010-0000-0600-000004000000}" name="PP">
      <calculatedColumnFormula>TableCHE[[#This Row],[ARIMAPP]]*$I$2+TableCHE[[#This Row],[LSTMPP]]*$I$3</calculatedColumnFormula>
    </tableColumn>
    <tableColumn id="5" xr3:uid="{00000000-0010-0000-0600-000005000000}" name="AP"/>
    <tableColumn id="6" xr3:uid="{00000000-0010-0000-0600-000006000000}" name="DIFF">
      <calculatedColumnFormula>ABS(TableCHE[[#This Row],[PP]]-TableCHE[[#This Row],[AP]])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CRY" displayName="TableCRY" ref="A1:F12" totalsRowShown="0">
  <autoFilter ref="A1:F12" xr:uid="{00000000-0009-0000-0100-000008000000}"/>
  <tableColumns count="6">
    <tableColumn id="1" xr3:uid="{00000000-0010-0000-0700-000001000000}" name="Name"/>
    <tableColumn id="2" xr3:uid="{00000000-0010-0000-0700-000002000000}" name="ARIMAPP"/>
    <tableColumn id="3" xr3:uid="{00000000-0010-0000-0700-000003000000}" name="LSTMPP"/>
    <tableColumn id="4" xr3:uid="{00000000-0010-0000-0700-000004000000}" name="PP">
      <calculatedColumnFormula>TableCRY[[#This Row],[ARIMAPP]]*$I$2+TableCRY[[#This Row],[LSTMPP]]*$I$3</calculatedColumnFormula>
    </tableColumn>
    <tableColumn id="5" xr3:uid="{00000000-0010-0000-0700-000005000000}" name="AP"/>
    <tableColumn id="6" xr3:uid="{00000000-0010-0000-0700-000006000000}" name="DIFF">
      <calculatedColumnFormula>ABS(TableCRY[[#This Row],[PP]]-TableCRY[[#This Row],[AP]])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EVE" displayName="TableEVE" ref="A1:F11" totalsRowShown="0">
  <autoFilter ref="A1:F11" xr:uid="{00000000-0009-0000-0100-000009000000}"/>
  <tableColumns count="6">
    <tableColumn id="1" xr3:uid="{00000000-0010-0000-0800-000001000000}" name="Name"/>
    <tableColumn id="2" xr3:uid="{00000000-0010-0000-0800-000002000000}" name="ARIMAPP"/>
    <tableColumn id="3" xr3:uid="{00000000-0010-0000-0800-000003000000}" name="LSTMPP"/>
    <tableColumn id="4" xr3:uid="{00000000-0010-0000-0800-000004000000}" name="PP">
      <calculatedColumnFormula>TableEVE[[#This Row],[ARIMAPP]]*$I$2+TableEVE[[#This Row],[LSTMPP]]*$I$3</calculatedColumnFormula>
    </tableColumn>
    <tableColumn id="5" xr3:uid="{00000000-0010-0000-0800-000005000000}" name="AP"/>
    <tableColumn id="6" xr3:uid="{00000000-0010-0000-0800-000006000000}" name="DIFF">
      <calculatedColumnFormula>ABS(TableEVE[[#This Row],[PP]]-TableEVE[[#This Row],[AP]])</calculatedColumnFormula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FUL" displayName="TableFUL" ref="A1:F13" totalsRowShown="0">
  <autoFilter ref="A1:F13" xr:uid="{00000000-0009-0000-0100-00000A000000}"/>
  <tableColumns count="6">
    <tableColumn id="1" xr3:uid="{00000000-0010-0000-0900-000001000000}" name="Name"/>
    <tableColumn id="2" xr3:uid="{00000000-0010-0000-0900-000002000000}" name="ARIMAPP"/>
    <tableColumn id="3" xr3:uid="{00000000-0010-0000-0900-000003000000}" name="LSTMPP"/>
    <tableColumn id="4" xr3:uid="{00000000-0010-0000-0900-000004000000}" name="PP">
      <calculatedColumnFormula>TableFUL[[#This Row],[ARIMAPP]]*$I$2+TableFUL[[#This Row],[LSTMPP]]*$I$3</calculatedColumnFormula>
    </tableColumn>
    <tableColumn id="5" xr3:uid="{00000000-0010-0000-0900-000005000000}" name="AP"/>
    <tableColumn id="6" xr3:uid="{00000000-0010-0000-0900-000006000000}" name="DIFF">
      <calculatedColumnFormula>ABS(TableFUL[[#This Row],[PP]]-TableFUL[[#This Row],[AP]])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IV" displayName="TableLIV" ref="A1:F13" totalsRowShown="0">
  <autoFilter ref="A1:F13" xr:uid="{00000000-0009-0000-0100-00000B000000}"/>
  <tableColumns count="6">
    <tableColumn id="1" xr3:uid="{00000000-0010-0000-0A00-000001000000}" name="Name"/>
    <tableColumn id="2" xr3:uid="{00000000-0010-0000-0A00-000002000000}" name="ARIMAPP"/>
    <tableColumn id="3" xr3:uid="{00000000-0010-0000-0A00-000003000000}" name="LSTMPP"/>
    <tableColumn id="4" xr3:uid="{00000000-0010-0000-0A00-000004000000}" name="PP">
      <calculatedColumnFormula>TableLIV[[#This Row],[ARIMAPP]]*$I$2+TableLIV[[#This Row],[LSTMPP]]*$I$3</calculatedColumnFormula>
    </tableColumn>
    <tableColumn id="5" xr3:uid="{00000000-0010-0000-0A00-000005000000}" name="AP"/>
    <tableColumn id="6" xr3:uid="{00000000-0010-0000-0A00-000006000000}" name="DIFF">
      <calculatedColumnFormula>ABS(TableLIV[[#This Row],[PP]]-TableLIV[[#This Row],[AP]])</calculatedColumnFormula>
    </tableColumn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UT" displayName="TableLUT" ref="A1:F5" totalsRowShown="0">
  <autoFilter ref="A1:F5" xr:uid="{00000000-0009-0000-0100-00000C000000}"/>
  <tableColumns count="6">
    <tableColumn id="1" xr3:uid="{00000000-0010-0000-0B00-000001000000}" name="Name"/>
    <tableColumn id="2" xr3:uid="{00000000-0010-0000-0B00-000002000000}" name="ARIMAPP"/>
    <tableColumn id="3" xr3:uid="{00000000-0010-0000-0B00-000003000000}" name="LSTMPP"/>
    <tableColumn id="4" xr3:uid="{00000000-0010-0000-0B00-000004000000}" name="PP">
      <calculatedColumnFormula>TableLUT[[#This Row],[ARIMAPP]]*$I$2+TableLUT[[#This Row],[LSTMPP]]*$I$3</calculatedColumnFormula>
    </tableColumn>
    <tableColumn id="5" xr3:uid="{00000000-0010-0000-0B00-000005000000}" name="AP"/>
    <tableColumn id="6" xr3:uid="{00000000-0010-0000-0B00-000006000000}" name="DIFF">
      <calculatedColumnFormula>ABS(TableLUT[[#This Row],[PP]]-TableLUT[[#This Row],[AP]])</calculatedColumnFormula>
    </tableColumn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CI" displayName="TableMCI" ref="A1:F11" totalsRowShown="0">
  <autoFilter ref="A1:F11" xr:uid="{00000000-0009-0000-0100-00000D000000}"/>
  <tableColumns count="6">
    <tableColumn id="1" xr3:uid="{00000000-0010-0000-0C00-000001000000}" name="Name"/>
    <tableColumn id="2" xr3:uid="{00000000-0010-0000-0C00-000002000000}" name="ARIMAPP"/>
    <tableColumn id="3" xr3:uid="{00000000-0010-0000-0C00-000003000000}" name="LSTMPP"/>
    <tableColumn id="4" xr3:uid="{00000000-0010-0000-0C00-000004000000}" name="PP">
      <calculatedColumnFormula>TableMCI[[#This Row],[ARIMAPP]]*$I$2+TableMCI[[#This Row],[LSTMPP]]*$I$3</calculatedColumnFormula>
    </tableColumn>
    <tableColumn id="5" xr3:uid="{00000000-0010-0000-0C00-000005000000}" name="AP"/>
    <tableColumn id="6" xr3:uid="{00000000-0010-0000-0C00-000006000000}" name="DIFF">
      <calculatedColumnFormula>ABS(TableMCI[[#This Row],[PP]]-TableMCI[[#This Row],[AP]])</calculatedColumnFormula>
    </tableColumn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UN" displayName="TableMUN" ref="A1:F11" totalsRowShown="0">
  <autoFilter ref="A1:F11" xr:uid="{00000000-0009-0000-0100-00000E000000}"/>
  <tableColumns count="6">
    <tableColumn id="1" xr3:uid="{00000000-0010-0000-0D00-000001000000}" name="Name"/>
    <tableColumn id="2" xr3:uid="{00000000-0010-0000-0D00-000002000000}" name="ARIMAPP"/>
    <tableColumn id="3" xr3:uid="{00000000-0010-0000-0D00-000003000000}" name="LSTMPP"/>
    <tableColumn id="4" xr3:uid="{00000000-0010-0000-0D00-000004000000}" name="PP">
      <calculatedColumnFormula>TableMUN[[#This Row],[ARIMAPP]]*$I$2+TableMUN[[#This Row],[LSTMPP]]*$I$3</calculatedColumnFormula>
    </tableColumn>
    <tableColumn id="5" xr3:uid="{00000000-0010-0000-0D00-000005000000}" name="AP"/>
    <tableColumn id="6" xr3:uid="{00000000-0010-0000-0D00-000006000000}" name="DIFF">
      <calculatedColumnFormula>ABS(TableMUN[[#This Row],[PP]]-TableMUN[[#This Row],[AP]])</calculatedColumnFormula>
    </tableColumn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EW" displayName="TableNEW" ref="A1:F13" totalsRowShown="0">
  <autoFilter ref="A1:F13" xr:uid="{00000000-0009-0000-0100-00000F000000}"/>
  <tableColumns count="6">
    <tableColumn id="1" xr3:uid="{00000000-0010-0000-0E00-000001000000}" name="Name"/>
    <tableColumn id="2" xr3:uid="{00000000-0010-0000-0E00-000002000000}" name="ARIMAPP"/>
    <tableColumn id="3" xr3:uid="{00000000-0010-0000-0E00-000003000000}" name="LSTMPP"/>
    <tableColumn id="4" xr3:uid="{00000000-0010-0000-0E00-000004000000}" name="PP">
      <calculatedColumnFormula>TableNEW[[#This Row],[ARIMAPP]]*$I$2+TableNEW[[#This Row],[LSTMPP]]*$I$3</calculatedColumnFormula>
    </tableColumn>
    <tableColumn id="5" xr3:uid="{00000000-0010-0000-0E00-000005000000}" name="AP"/>
    <tableColumn id="6" xr3:uid="{00000000-0010-0000-0E00-000006000000}" name="DIFF">
      <calculatedColumnFormula>ABS(TableNEW[[#This Row],[PP]]-TableNEW[[#This Row],[AP]])</calculatedColumnFormula>
    </tableColumn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FO" displayName="TableNFO" ref="A1:F8" totalsRowShown="0">
  <autoFilter ref="A1:F8" xr:uid="{00000000-0009-0000-0100-000010000000}"/>
  <tableColumns count="6">
    <tableColumn id="1" xr3:uid="{00000000-0010-0000-0F00-000001000000}" name="Name"/>
    <tableColumn id="2" xr3:uid="{00000000-0010-0000-0F00-000002000000}" name="ARIMAPP"/>
    <tableColumn id="3" xr3:uid="{00000000-0010-0000-0F00-000003000000}" name="LSTMPP"/>
    <tableColumn id="4" xr3:uid="{00000000-0010-0000-0F00-000004000000}" name="PP">
      <calculatedColumnFormula>TableNFO[[#This Row],[ARIMAPP]]*$I$2+TableNFO[[#This Row],[LSTMPP]]*$I$3</calculatedColumnFormula>
    </tableColumn>
    <tableColumn id="5" xr3:uid="{00000000-0010-0000-0F00-000005000000}" name="AP"/>
    <tableColumn id="6" xr3:uid="{00000000-0010-0000-0F00-000006000000}" name="DIFF">
      <calculatedColumnFormula>ABS(TableNFO[[#This Row],[PP]]-TableNFO[[#This Row],[AP]])</calculatedColumnFormula>
    </tableColumn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SHU" displayName="TableSHU" ref="A1:F6" totalsRowShown="0">
  <autoFilter ref="A1:F6" xr:uid="{00000000-0009-0000-0100-000011000000}"/>
  <tableColumns count="6">
    <tableColumn id="1" xr3:uid="{00000000-0010-0000-1000-000001000000}" name="Name"/>
    <tableColumn id="2" xr3:uid="{00000000-0010-0000-1000-000002000000}" name="ARIMAPP"/>
    <tableColumn id="3" xr3:uid="{00000000-0010-0000-1000-000003000000}" name="LSTMPP"/>
    <tableColumn id="4" xr3:uid="{00000000-0010-0000-1000-000004000000}" name="PP">
      <calculatedColumnFormula>TableSHU[[#This Row],[ARIMAPP]]*$I$2+TableSHU[[#This Row],[LSTMPP]]*$I$3</calculatedColumnFormula>
    </tableColumn>
    <tableColumn id="5" xr3:uid="{00000000-0010-0000-1000-000005000000}" name="AP"/>
    <tableColumn id="6" xr3:uid="{00000000-0010-0000-1000-000006000000}" name="DIFF">
      <calculatedColumnFormula>ABS(TableSHU[[#This Row],[PP]]-TableSHU[[#This Row],[AP]])</calculatedColumnFormula>
    </tableColumn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TOT" displayName="TableTOT" ref="A1:F10" totalsRowShown="0">
  <autoFilter ref="A1:F10" xr:uid="{00000000-0009-0000-0100-000012000000}"/>
  <tableColumns count="6">
    <tableColumn id="1" xr3:uid="{00000000-0010-0000-1100-000001000000}" name="Name"/>
    <tableColumn id="2" xr3:uid="{00000000-0010-0000-1100-000002000000}" name="ARIMAPP"/>
    <tableColumn id="3" xr3:uid="{00000000-0010-0000-1100-000003000000}" name="LSTMPP"/>
    <tableColumn id="4" xr3:uid="{00000000-0010-0000-1100-000004000000}" name="PP">
      <calculatedColumnFormula>TableTOT[[#This Row],[ARIMAPP]]*$I$2+TableTOT[[#This Row],[LSTMPP]]*$I$3</calculatedColumnFormula>
    </tableColumn>
    <tableColumn id="5" xr3:uid="{00000000-0010-0000-1100-000005000000}" name="AP"/>
    <tableColumn id="6" xr3:uid="{00000000-0010-0000-1100-000006000000}" name="DIFF">
      <calculatedColumnFormula>ABS(TableTOT[[#This Row],[PP]]-TableTOT[[#This Row],[AP]])</calculatedColumnFormula>
    </tableColumn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HU" displayName="TableWHU" ref="A1:F8" totalsRowShown="0">
  <autoFilter ref="A1:F8" xr:uid="{00000000-0009-0000-0100-000013000000}"/>
  <tableColumns count="6">
    <tableColumn id="1" xr3:uid="{00000000-0010-0000-1200-000001000000}" name="Name"/>
    <tableColumn id="2" xr3:uid="{00000000-0010-0000-1200-000002000000}" name="ARIMAPP"/>
    <tableColumn id="3" xr3:uid="{00000000-0010-0000-1200-000003000000}" name="LSTMPP"/>
    <tableColumn id="4" xr3:uid="{00000000-0010-0000-1200-000004000000}" name="PP">
      <calculatedColumnFormula>TableWHU[[#This Row],[ARIMAPP]]*$I$2+TableWHU[[#This Row],[LSTMPP]]*$I$3</calculatedColumnFormula>
    </tableColumn>
    <tableColumn id="5" xr3:uid="{00000000-0010-0000-1200-000005000000}" name="AP"/>
    <tableColumn id="6" xr3:uid="{00000000-0010-0000-1200-000006000000}" name="DIFF">
      <calculatedColumnFormula>ABS(TableWHU[[#This Row],[PP]]-TableWHU[[#This Row],[AP]])</calculatedColumnFormula>
    </tableColumn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WOL" displayName="TableWOL" ref="A1:F6" totalsRowShown="0">
  <autoFilter ref="A1:F6" xr:uid="{00000000-0009-0000-0100-000014000000}"/>
  <tableColumns count="6">
    <tableColumn id="1" xr3:uid="{00000000-0010-0000-1300-000001000000}" name="Name"/>
    <tableColumn id="2" xr3:uid="{00000000-0010-0000-1300-000002000000}" name="ARIMAPP"/>
    <tableColumn id="3" xr3:uid="{00000000-0010-0000-1300-000003000000}" name="LSTMPP"/>
    <tableColumn id="4" xr3:uid="{00000000-0010-0000-1300-000004000000}" name="PP">
      <calculatedColumnFormula>TableWOL[[#This Row],[ARIMAPP]]*$I$2+TableWOL[[#This Row],[LSTMPP]]*$I$3</calculatedColumnFormula>
    </tableColumn>
    <tableColumn id="5" xr3:uid="{00000000-0010-0000-1300-000005000000}" name="AP"/>
    <tableColumn id="6" xr3:uid="{00000000-0010-0000-1300-000006000000}" name="DIFF">
      <calculatedColumnFormula>ABS(TableWOL[[#This Row],[PP]]-TableWOL[[#This Row],[AP]])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10</v>
      </c>
      <c r="B2">
        <v>28.328958465872841</v>
      </c>
      <c r="C2">
        <v>28.04195804195804</v>
      </c>
      <c r="D2">
        <f>TableARS[[#This Row],[ARIMAPP]]*$I$2+TableARS[[#This Row],[LSTMPP]]*$I$3</f>
        <v>30.687607850166174</v>
      </c>
      <c r="E2">
        <v>40</v>
      </c>
      <c r="F2">
        <f>ABS(TableARS[[#This Row],[PP]]-TableARS[[#This Row],[AP]])</f>
        <v>9.3123921498338262</v>
      </c>
      <c r="H2" t="s">
        <v>0</v>
      </c>
      <c r="I2">
        <v>0.571549002646625</v>
      </c>
    </row>
    <row r="3" spans="1:9" x14ac:dyDescent="0.2">
      <c r="A3" t="s">
        <v>11</v>
      </c>
      <c r="B3">
        <v>40.921985815602817</v>
      </c>
      <c r="C3">
        <v>34.464285714285722</v>
      </c>
      <c r="D3">
        <f>TableARS[[#This Row],[ARIMAPP]]*$I$2+TableARS[[#This Row],[LSTMPP]]*$I$3</f>
        <v>41.205146258062378</v>
      </c>
      <c r="E3">
        <v>34</v>
      </c>
      <c r="F3">
        <f>ABS(TableARS[[#This Row],[PP]]-TableARS[[#This Row],[AP]])</f>
        <v>7.2051462580623777</v>
      </c>
      <c r="H3" t="s">
        <v>1</v>
      </c>
      <c r="I3">
        <v>0.51694749244288807</v>
      </c>
    </row>
    <row r="4" spans="1:9" x14ac:dyDescent="0.2">
      <c r="A4" t="s">
        <v>12</v>
      </c>
      <c r="B4">
        <v>32.150537634408593</v>
      </c>
      <c r="C4">
        <v>30.945945945945951</v>
      </c>
      <c r="D4">
        <f>TableARS[[#This Row],[ARIMAPP]]*$I$2+TableARS[[#This Row],[LSTMPP]]*$I$3</f>
        <v>34.373036877528932</v>
      </c>
      <c r="E4">
        <v>48</v>
      </c>
      <c r="F4">
        <f>ABS(TableARS[[#This Row],[PP]]-TableARS[[#This Row],[AP]])</f>
        <v>13.626963122471068</v>
      </c>
    </row>
    <row r="5" spans="1:9" x14ac:dyDescent="0.2">
      <c r="A5" t="s">
        <v>13</v>
      </c>
      <c r="B5">
        <v>52.325089818320457</v>
      </c>
      <c r="C5">
        <v>34.142857142857139</v>
      </c>
      <c r="D5">
        <f>TableARS[[#This Row],[ARIMAPP]]*$I$2+TableARS[[#This Row],[LSTMPP]]*$I$3</f>
        <v>47.556417283891875</v>
      </c>
      <c r="E5">
        <v>63</v>
      </c>
      <c r="F5">
        <f>ABS(TableARS[[#This Row],[PP]]-TableARS[[#This Row],[AP]])</f>
        <v>15.443582716108125</v>
      </c>
      <c r="H5" t="s">
        <v>2</v>
      </c>
      <c r="I5" cm="1">
        <f t="array" ref="I5">(SUM(TableARS[PP]-TableARS[AP]))^2</f>
        <v>1.4590771302967834E-26</v>
      </c>
    </row>
    <row r="6" spans="1:9" x14ac:dyDescent="0.2">
      <c r="A6" t="s">
        <v>14</v>
      </c>
      <c r="B6">
        <v>38.174238436104893</v>
      </c>
      <c r="C6">
        <v>40.071614812097238</v>
      </c>
      <c r="D6">
        <f>TableARS[[#This Row],[ARIMAPP]]*$I$2+TableARS[[#This Row],[LSTMPP]]*$I$3</f>
        <v>42.533368700201166</v>
      </c>
      <c r="E6">
        <v>40</v>
      </c>
      <c r="F6">
        <f>ABS(TableARS[[#This Row],[PP]]-TableARS[[#This Row],[AP]])</f>
        <v>2.5333687002011658</v>
      </c>
    </row>
    <row r="7" spans="1:9" x14ac:dyDescent="0.2">
      <c r="A7" t="s">
        <v>15</v>
      </c>
      <c r="B7">
        <v>31.630434782608731</v>
      </c>
      <c r="C7">
        <v>34.175999812477848</v>
      </c>
      <c r="D7">
        <f>TableARS[[#This Row],[ARIMAPP]]*$I$2+TableARS[[#This Row],[LSTMPP]]*$I$3</f>
        <v>35.745540858068168</v>
      </c>
      <c r="E7">
        <v>33</v>
      </c>
      <c r="F7">
        <f>ABS(TableARS[[#This Row],[PP]]-TableARS[[#This Row],[AP]])</f>
        <v>2.7455408580681677</v>
      </c>
      <c r="H7" t="s">
        <v>3</v>
      </c>
      <c r="I7">
        <f>AVERAGE(TableARS[DIFF])/10</f>
        <v>0.81767551660176829</v>
      </c>
    </row>
    <row r="8" spans="1:9" x14ac:dyDescent="0.2">
      <c r="A8" t="s">
        <v>16</v>
      </c>
      <c r="B8">
        <v>54.457487493545003</v>
      </c>
      <c r="C8">
        <v>36.044776119402982</v>
      </c>
      <c r="D8">
        <f>TableARS[[#This Row],[ARIMAPP]]*$I$2+TableARS[[#This Row],[LSTMPP]]*$I$3</f>
        <v>49.758379294167369</v>
      </c>
      <c r="E8">
        <v>53</v>
      </c>
      <c r="F8">
        <f>ABS(TableARS[[#This Row],[PP]]-TableARS[[#This Row],[AP]])</f>
        <v>3.2416207058326307</v>
      </c>
    </row>
    <row r="9" spans="1:9" x14ac:dyDescent="0.2">
      <c r="A9" t="s">
        <v>17</v>
      </c>
      <c r="B9">
        <v>42.622950819672127</v>
      </c>
      <c r="C9">
        <v>34.895833333333329</v>
      </c>
      <c r="D9">
        <f>TableARS[[#This Row],[ARIMAPP]]*$I$2+TableARS[[#This Row],[LSTMPP]]*$I$3</f>
        <v>42.400418569211368</v>
      </c>
      <c r="E9">
        <v>32</v>
      </c>
      <c r="F9">
        <f>ABS(TableARS[[#This Row],[PP]]-TableARS[[#This Row],[AP]])</f>
        <v>10.400418569211368</v>
      </c>
    </row>
    <row r="10" spans="1:9" x14ac:dyDescent="0.2">
      <c r="A10" t="s">
        <v>18</v>
      </c>
      <c r="B10">
        <v>15.8265845102394</v>
      </c>
      <c r="C10">
        <v>28.382352941176482</v>
      </c>
      <c r="D10">
        <f>TableARS[[#This Row],[ARIMAPP]]*$I$2+TableARS[[#This Row],[LSTMPP]]*$I$3</f>
        <v>23.717854774700065</v>
      </c>
      <c r="E10">
        <v>34</v>
      </c>
      <c r="F10">
        <f>ABS(TableARS[[#This Row],[PP]]-TableARS[[#This Row],[AP]])</f>
        <v>10.282145225299935</v>
      </c>
    </row>
    <row r="11" spans="1:9" x14ac:dyDescent="0.2">
      <c r="A11" t="s">
        <v>19</v>
      </c>
      <c r="B11">
        <v>43.718857323095548</v>
      </c>
      <c r="C11">
        <v>36.895896966458203</v>
      </c>
      <c r="D11">
        <f>TableARS[[#This Row],[ARIMAPP]]*$I$2+TableARS[[#This Row],[LSTMPP]]*$I$3</f>
        <v>44.060710718107089</v>
      </c>
      <c r="E11">
        <v>42</v>
      </c>
      <c r="F11">
        <f>ABS(TableARS[[#This Row],[PP]]-TableARS[[#This Row],[AP]])</f>
        <v>2.0607107181070887</v>
      </c>
    </row>
    <row r="12" spans="1:9" x14ac:dyDescent="0.2">
      <c r="A12" t="s">
        <v>20</v>
      </c>
      <c r="B12">
        <v>39.510761497287099</v>
      </c>
      <c r="C12">
        <v>36.294675381903012</v>
      </c>
      <c r="D12">
        <f>TableARS[[#This Row],[ARIMAPP]]*$I$2+TableARS[[#This Row],[LSTMPP]]*$I$3</f>
        <v>41.344777755286501</v>
      </c>
      <c r="E12">
        <v>43</v>
      </c>
      <c r="F12">
        <f>ABS(TableARS[[#This Row],[PP]]-TableARS[[#This Row],[AP]])</f>
        <v>1.6552222447134994</v>
      </c>
    </row>
    <row r="13" spans="1:9" x14ac:dyDescent="0.2">
      <c r="A13" t="s">
        <v>21</v>
      </c>
      <c r="B13">
        <v>52.631578947368418</v>
      </c>
      <c r="C13">
        <v>49.661660589568797</v>
      </c>
      <c r="D13">
        <f>TableARS[[#This Row],[ARIMAPP]]*$I$2+TableARS[[#This Row],[LSTMPP]]*$I$3</f>
        <v>55.753997367412907</v>
      </c>
      <c r="E13">
        <v>30</v>
      </c>
      <c r="F13">
        <f>ABS(TableARS[[#This Row],[PP]]-TableARS[[#This Row],[AP]])</f>
        <v>25.753997367412907</v>
      </c>
    </row>
    <row r="14" spans="1:9" x14ac:dyDescent="0.2">
      <c r="A14" t="s">
        <v>22</v>
      </c>
      <c r="B14">
        <v>24.848484848484841</v>
      </c>
      <c r="C14">
        <v>25.38461538461539</v>
      </c>
      <c r="D14">
        <f>TableARS[[#This Row],[ARIMAPP]]*$I$2+TableARS[[#This Row],[LSTMPP]]*$I$3</f>
        <v>27.324640002135368</v>
      </c>
      <c r="E14">
        <v>31</v>
      </c>
      <c r="F14">
        <f>ABS(TableARS[[#This Row],[PP]]-TableARS[[#This Row],[AP]])</f>
        <v>3.6753599978646321</v>
      </c>
    </row>
    <row r="15" spans="1:9" x14ac:dyDescent="0.2">
      <c r="A15" t="s">
        <v>23</v>
      </c>
      <c r="B15">
        <v>35.999999999999993</v>
      </c>
      <c r="C15">
        <v>32.8125</v>
      </c>
      <c r="D15">
        <f>TableARS[[#This Row],[ARIMAPP]]*$I$2+TableARS[[#This Row],[LSTMPP]]*$I$3</f>
        <v>37.538103691060762</v>
      </c>
      <c r="E15">
        <v>31</v>
      </c>
      <c r="F15">
        <f>ABS(TableARS[[#This Row],[PP]]-TableARS[[#This Row],[AP]])</f>
        <v>6.5381036910607619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24</v>
      </c>
      <c r="B2">
        <v>27.68925587951037</v>
      </c>
      <c r="C2">
        <v>34.115893061205433</v>
      </c>
      <c r="D2">
        <f>TableAVL[[#This Row],[ARIMAPP]]*$I$2+TableAVL[[#This Row],[LSTMPP]]*$I$3</f>
        <v>35.192640309887828</v>
      </c>
      <c r="E2">
        <v>24</v>
      </c>
      <c r="F2">
        <f>ABS(TableAVL[[#This Row],[PP]]-TableAVL[[#This Row],[AP]])</f>
        <v>11.192640309887828</v>
      </c>
      <c r="H2" t="s">
        <v>0</v>
      </c>
      <c r="I2">
        <v>0.59408685776837233</v>
      </c>
    </row>
    <row r="3" spans="1:9" x14ac:dyDescent="0.2">
      <c r="A3" t="s">
        <v>25</v>
      </c>
      <c r="B3">
        <v>32.894736842105253</v>
      </c>
      <c r="C3">
        <v>35.539824533911784</v>
      </c>
      <c r="D3">
        <f>TableAVL[[#This Row],[ARIMAPP]]*$I$2+TableAVL[[#This Row],[LSTMPP]]*$I$3</f>
        <v>39.067437125236069</v>
      </c>
      <c r="E3">
        <v>23</v>
      </c>
      <c r="F3">
        <f>ABS(TableAVL[[#This Row],[PP]]-TableAVL[[#This Row],[AP]])</f>
        <v>16.067437125236069</v>
      </c>
      <c r="H3" t="s">
        <v>1</v>
      </c>
      <c r="I3">
        <v>0.5493866819449702</v>
      </c>
    </row>
    <row r="4" spans="1:9" x14ac:dyDescent="0.2">
      <c r="A4" t="s">
        <v>26</v>
      </c>
      <c r="B4">
        <v>42.366257171507513</v>
      </c>
      <c r="C4">
        <v>26.891891891891891</v>
      </c>
      <c r="D4">
        <f>TableAVL[[#This Row],[ARIMAPP]]*$I$2+TableAVL[[#This Row],[LSTMPP]]*$I$3</f>
        <v>39.943283856137</v>
      </c>
      <c r="E4">
        <v>50</v>
      </c>
      <c r="F4">
        <f>ABS(TableAVL[[#This Row],[PP]]-TableAVL[[#This Row],[AP]])</f>
        <v>10.056716143863</v>
      </c>
    </row>
    <row r="5" spans="1:9" x14ac:dyDescent="0.2">
      <c r="A5" t="s">
        <v>27</v>
      </c>
      <c r="B5">
        <v>29.473684210526368</v>
      </c>
      <c r="C5">
        <v>29.575471698113208</v>
      </c>
      <c r="D5">
        <f>TableAVL[[#This Row],[ARIMAPP]]*$I$2+TableAVL[[#This Row],[LSTMPP]]*$I$3</f>
        <v>33.75829870267269</v>
      </c>
      <c r="E5">
        <v>46</v>
      </c>
      <c r="F5">
        <f>ABS(TableAVL[[#This Row],[PP]]-TableAVL[[#This Row],[AP]])</f>
        <v>12.24170129732731</v>
      </c>
      <c r="H5" t="s">
        <v>2</v>
      </c>
      <c r="I5" cm="1">
        <f t="array" ref="I5">(SUM(TableAVL[PP]-TableAVL[AP]))^2</f>
        <v>4.543838814073028E-28</v>
      </c>
    </row>
    <row r="6" spans="1:9" x14ac:dyDescent="0.2">
      <c r="A6" t="s">
        <v>28</v>
      </c>
      <c r="B6">
        <v>28.671875</v>
      </c>
      <c r="C6">
        <v>28.725490196078429</v>
      </c>
      <c r="D6">
        <f>TableAVL[[#This Row],[ARIMAPP]]*$I$2+TableAVL[[#This Row],[LSTMPP]]*$I$3</f>
        <v>32.814985871143847</v>
      </c>
      <c r="E6">
        <v>30</v>
      </c>
      <c r="F6">
        <f>ABS(TableAVL[[#This Row],[PP]]-TableAVL[[#This Row],[AP]])</f>
        <v>2.8149858711438469</v>
      </c>
    </row>
    <row r="7" spans="1:9" x14ac:dyDescent="0.2">
      <c r="A7" t="s">
        <v>29</v>
      </c>
      <c r="B7">
        <v>43.302752293577953</v>
      </c>
      <c r="C7">
        <v>41.047571078249199</v>
      </c>
      <c r="D7">
        <f>TableAVL[[#This Row],[ARIMAPP]]*$I$2+TableAVL[[#This Row],[LSTMPP]]*$I$3</f>
        <v>48.276584919393557</v>
      </c>
      <c r="E7">
        <v>68</v>
      </c>
      <c r="F7">
        <f>ABS(TableAVL[[#This Row],[PP]]-TableAVL[[#This Row],[AP]])</f>
        <v>19.723415080606443</v>
      </c>
      <c r="H7" t="s">
        <v>3</v>
      </c>
      <c r="I7">
        <f>AVERAGE(TableAVL[DIFF])/10</f>
        <v>0.99078217257255763</v>
      </c>
    </row>
    <row r="8" spans="1:9" x14ac:dyDescent="0.2">
      <c r="A8" t="s">
        <v>30</v>
      </c>
      <c r="B8">
        <v>29.07407407407408</v>
      </c>
      <c r="C8">
        <v>28.02325581395348</v>
      </c>
      <c r="D8">
        <f>TableAVL[[#This Row],[ARIMAPP]]*$I$2+TableAVL[[#This Row],[LSTMPP]]*$I$3</f>
        <v>32.668128838114569</v>
      </c>
      <c r="E8">
        <v>38</v>
      </c>
      <c r="F8">
        <f>ABS(TableAVL[[#This Row],[PP]]-TableAVL[[#This Row],[AP]])</f>
        <v>5.3318711618854309</v>
      </c>
    </row>
    <row r="9" spans="1:9" x14ac:dyDescent="0.2">
      <c r="A9" t="s">
        <v>31</v>
      </c>
      <c r="B9">
        <v>25.483870967741929</v>
      </c>
      <c r="C9">
        <v>26.041666666666671</v>
      </c>
      <c r="D9">
        <f>TableAVL[[#This Row],[ARIMAPP]]*$I$2+TableAVL[[#This Row],[LSTMPP]]*$I$3</f>
        <v>29.446577669317385</v>
      </c>
      <c r="E9">
        <v>25</v>
      </c>
      <c r="F9">
        <f>ABS(TableAVL[[#This Row],[PP]]-TableAVL[[#This Row],[AP]])</f>
        <v>4.4465776693173851</v>
      </c>
    </row>
    <row r="10" spans="1:9" x14ac:dyDescent="0.2">
      <c r="A10" t="s">
        <v>32</v>
      </c>
      <c r="B10">
        <v>35.824235693526497</v>
      </c>
      <c r="C10">
        <v>32.03125</v>
      </c>
      <c r="D10">
        <f>TableAVL[[#This Row],[ARIMAPP]]*$I$2+TableAVL[[#This Row],[LSTMPP]]*$I$3</f>
        <v>38.880249771170554</v>
      </c>
      <c r="E10">
        <v>37</v>
      </c>
      <c r="F10">
        <f>ABS(TableAVL[[#This Row],[PP]]-TableAVL[[#This Row],[AP]])</f>
        <v>1.8802497711705541</v>
      </c>
    </row>
    <row r="11" spans="1:9" x14ac:dyDescent="0.2">
      <c r="A11" t="s">
        <v>33</v>
      </c>
      <c r="B11">
        <v>54.630552888050737</v>
      </c>
      <c r="C11">
        <v>46.66264415177772</v>
      </c>
      <c r="D11">
        <f>TableAVL[[#This Row],[ARIMAPP]]*$I$2+TableAVL[[#This Row],[LSTMPP]]*$I$3</f>
        <v>58.091128744734974</v>
      </c>
      <c r="E11">
        <v>40</v>
      </c>
      <c r="F11">
        <f>ABS(TableAVL[[#This Row],[PP]]-TableAVL[[#This Row],[AP]])</f>
        <v>18.091128744734974</v>
      </c>
    </row>
    <row r="12" spans="1:9" x14ac:dyDescent="0.2">
      <c r="A12" t="s">
        <v>34</v>
      </c>
      <c r="B12">
        <v>31.666666666666679</v>
      </c>
      <c r="C12">
        <v>23.75</v>
      </c>
      <c r="D12">
        <f>TableAVL[[#This Row],[ARIMAPP]]*$I$2+TableAVL[[#This Row],[LSTMPP]]*$I$3</f>
        <v>31.860684192191506</v>
      </c>
      <c r="E12">
        <v>39</v>
      </c>
      <c r="F12">
        <f>ABS(TableAVL[[#This Row],[PP]]-TableAVL[[#This Row],[AP]])</f>
        <v>7.1393158078084937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35</v>
      </c>
      <c r="B2">
        <v>26.45015244114623</v>
      </c>
      <c r="C2">
        <v>26.875</v>
      </c>
      <c r="D2">
        <f>TableBOU[[#This Row],[ARIMAPP]]*$I$2+TableBOU[[#This Row],[LSTMPP]]*$I$3</f>
        <v>31.21397123198879</v>
      </c>
      <c r="E2">
        <v>32</v>
      </c>
      <c r="F2">
        <f>ABS(TableBOU[[#This Row],[PP]]-TableBOU[[#This Row],[AP]])</f>
        <v>0.78602876801121013</v>
      </c>
      <c r="H2" t="s">
        <v>0</v>
      </c>
      <c r="I2">
        <v>0.58532474061750828</v>
      </c>
    </row>
    <row r="3" spans="1:9" x14ac:dyDescent="0.2">
      <c r="A3" t="s">
        <v>36</v>
      </c>
      <c r="B3">
        <v>16.693006479535889</v>
      </c>
      <c r="C3">
        <v>23.660714285714281</v>
      </c>
      <c r="D3">
        <f>TableBOU[[#This Row],[ARIMAPP]]*$I$2+TableBOU[[#This Row],[LSTMPP]]*$I$3</f>
        <v>23.621299099709397</v>
      </c>
      <c r="E3">
        <v>24</v>
      </c>
      <c r="F3">
        <f>ABS(TableBOU[[#This Row],[PP]]-TableBOU[[#This Row],[AP]])</f>
        <v>0.37870090029060322</v>
      </c>
      <c r="H3" t="s">
        <v>1</v>
      </c>
      <c r="I3">
        <v>0.58537832986349092</v>
      </c>
    </row>
    <row r="4" spans="1:9" x14ac:dyDescent="0.2">
      <c r="A4" t="s">
        <v>37</v>
      </c>
      <c r="B4">
        <v>41.106100203432632</v>
      </c>
      <c r="C4">
        <v>27.1875</v>
      </c>
      <c r="D4">
        <f>TableBOU[[#This Row],[ARIMAPP]]*$I$2+TableBOU[[#This Row],[LSTMPP]]*$I$3</f>
        <v>39.975390782535172</v>
      </c>
      <c r="E4">
        <v>44</v>
      </c>
      <c r="F4">
        <f>ABS(TableBOU[[#This Row],[PP]]-TableBOU[[#This Row],[AP]])</f>
        <v>4.0246092174648282</v>
      </c>
    </row>
    <row r="5" spans="1:9" x14ac:dyDescent="0.2">
      <c r="A5" t="s">
        <v>38</v>
      </c>
      <c r="B5">
        <v>23.103448275862061</v>
      </c>
      <c r="C5">
        <v>26.739130434782609</v>
      </c>
      <c r="D5">
        <f>TableBOU[[#This Row],[ARIMAPP]]*$I$2+TableBOU[[#This Row],[LSTMPP]]*$I$3</f>
        <v>29.175527385354062</v>
      </c>
      <c r="E5">
        <v>22</v>
      </c>
      <c r="F5">
        <f>ABS(TableBOU[[#This Row],[PP]]-TableBOU[[#This Row],[AP]])</f>
        <v>7.1755273853540622</v>
      </c>
      <c r="H5" t="s">
        <v>2</v>
      </c>
      <c r="I5" cm="1">
        <f t="array" ref="I5">(SUM(TableBOU[PP]-TableBOU[AP]))^2</f>
        <v>6.1846694969327326E-28</v>
      </c>
    </row>
    <row r="6" spans="1:9" x14ac:dyDescent="0.2">
      <c r="A6" t="s">
        <v>39</v>
      </c>
      <c r="B6">
        <v>20.270270270270281</v>
      </c>
      <c r="C6">
        <v>24.482758620689651</v>
      </c>
      <c r="D6">
        <f>TableBOU[[#This Row],[ARIMAPP]]*$I$2+TableBOU[[#This Row],[LSTMPP]]*$I$3</f>
        <v>26.196367040023034</v>
      </c>
      <c r="E6">
        <v>26</v>
      </c>
      <c r="F6">
        <f>ABS(TableBOU[[#This Row],[PP]]-TableBOU[[#This Row],[AP]])</f>
        <v>0.19636704002303418</v>
      </c>
    </row>
    <row r="7" spans="1:9" x14ac:dyDescent="0.2">
      <c r="A7" t="s">
        <v>40</v>
      </c>
      <c r="B7">
        <v>37.544681837677082</v>
      </c>
      <c r="C7">
        <v>36.517357521139829</v>
      </c>
      <c r="D7">
        <f>TableBOU[[#This Row],[ARIMAPP]]*$I$2+TableBOU[[#This Row],[LSTMPP]]*$I$3</f>
        <v>43.352300914958036</v>
      </c>
      <c r="E7">
        <v>40</v>
      </c>
      <c r="F7">
        <f>ABS(TableBOU[[#This Row],[PP]]-TableBOU[[#This Row],[AP]])</f>
        <v>3.3523009149580361</v>
      </c>
      <c r="H7" t="s">
        <v>3</v>
      </c>
      <c r="I7">
        <f>AVERAGE(TableBOU[DIFF])/10</f>
        <v>0.32500095302516085</v>
      </c>
    </row>
    <row r="8" spans="1:9" x14ac:dyDescent="0.2">
      <c r="A8" t="s">
        <v>41</v>
      </c>
      <c r="B8">
        <v>21.764705882352938</v>
      </c>
      <c r="C8">
        <v>27.037037037037031</v>
      </c>
      <c r="D8">
        <f>TableBOU[[#This Row],[ARIMAPP]]*$I$2+TableBOU[[#This Row],[LSTMPP]]*$I$3</f>
        <v>28.566316410402674</v>
      </c>
      <c r="E8">
        <v>38</v>
      </c>
      <c r="F8">
        <f>ABS(TableBOU[[#This Row],[PP]]-TableBOU[[#This Row],[AP]])</f>
        <v>9.4336835895973259</v>
      </c>
    </row>
    <row r="9" spans="1:9" x14ac:dyDescent="0.2">
      <c r="A9" t="s">
        <v>42</v>
      </c>
      <c r="B9">
        <v>35.333333333333321</v>
      </c>
      <c r="C9">
        <v>32.083333333333329</v>
      </c>
      <c r="D9">
        <f>TableBOU[[#This Row],[ARIMAPP]]*$I$2+TableBOU[[#This Row],[LSTMPP]]*$I$3</f>
        <v>39.462362251605612</v>
      </c>
      <c r="E9">
        <v>42</v>
      </c>
      <c r="F9">
        <f>ABS(TableBOU[[#This Row],[PP]]-TableBOU[[#This Row],[AP]])</f>
        <v>2.5376377483943884</v>
      </c>
    </row>
    <row r="10" spans="1:9" x14ac:dyDescent="0.2">
      <c r="A10" t="s">
        <v>43</v>
      </c>
      <c r="B10">
        <v>30.926998576454789</v>
      </c>
      <c r="C10">
        <v>22.5</v>
      </c>
      <c r="D10">
        <f>TableBOU[[#This Row],[ARIMAPP]]*$I$2+TableBOU[[#This Row],[LSTMPP]]*$I$3</f>
        <v>31.273349841769992</v>
      </c>
      <c r="E10">
        <v>28</v>
      </c>
      <c r="F10">
        <f>ABS(TableBOU[[#This Row],[PP]]-TableBOU[[#This Row],[AP]])</f>
        <v>3.273349841769992</v>
      </c>
    </row>
    <row r="11" spans="1:9" x14ac:dyDescent="0.2">
      <c r="A11" t="s">
        <v>44</v>
      </c>
      <c r="B11">
        <v>16.36363636363636</v>
      </c>
      <c r="C11">
        <v>20</v>
      </c>
      <c r="D11">
        <f>TableBOU[[#This Row],[ARIMAPP]]*$I$2+TableBOU[[#This Row],[LSTMPP]]*$I$3</f>
        <v>21.285607807374497</v>
      </c>
      <c r="E11">
        <v>22</v>
      </c>
      <c r="F11">
        <f>ABS(TableBOU[[#This Row],[PP]]-TableBOU[[#This Row],[AP]])</f>
        <v>0.71439219262550324</v>
      </c>
    </row>
    <row r="12" spans="1:9" x14ac:dyDescent="0.2">
      <c r="A12" t="s">
        <v>45</v>
      </c>
      <c r="B12">
        <v>20</v>
      </c>
      <c r="C12">
        <v>22.5</v>
      </c>
      <c r="D12">
        <f>TableBOU[[#This Row],[ARIMAPP]]*$I$2+TableBOU[[#This Row],[LSTMPP]]*$I$3</f>
        <v>24.87750723427871</v>
      </c>
      <c r="E12">
        <v>21</v>
      </c>
      <c r="F12">
        <f>ABS(TableBOU[[#This Row],[PP]]-TableBOU[[#This Row],[AP]])</f>
        <v>3.8775072342787098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46</v>
      </c>
      <c r="B2">
        <v>15.15578733518233</v>
      </c>
      <c r="C2">
        <v>30.882352941176482</v>
      </c>
      <c r="D2">
        <f>TableBRE[[#This Row],[ARIMAPP]]*$I$2+TableBRE[[#This Row],[LSTMPP]]*$I$3</f>
        <v>26.416160513730475</v>
      </c>
      <c r="E2">
        <v>31</v>
      </c>
      <c r="F2">
        <f>ABS(TableBRE[[#This Row],[PP]]-TableBRE[[#This Row],[AP]])</f>
        <v>4.5838394862695253</v>
      </c>
      <c r="H2" t="s">
        <v>0</v>
      </c>
      <c r="I2">
        <v>0.57036454496519873</v>
      </c>
    </row>
    <row r="3" spans="1:9" x14ac:dyDescent="0.2">
      <c r="A3" t="s">
        <v>47</v>
      </c>
      <c r="B3">
        <v>30.68965517241379</v>
      </c>
      <c r="C3">
        <v>31.048745792661979</v>
      </c>
      <c r="D3">
        <f>TableBRE[[#This Row],[ARIMAPP]]*$I$2+TableBRE[[#This Row],[LSTMPP]]*$I$3</f>
        <v>35.371881902124841</v>
      </c>
      <c r="E3">
        <v>25</v>
      </c>
      <c r="F3">
        <f>ABS(TableBRE[[#This Row],[PP]]-TableBRE[[#This Row],[AP]])</f>
        <v>10.371881902124841</v>
      </c>
      <c r="H3" t="s">
        <v>1</v>
      </c>
      <c r="I3">
        <v>0.57546900006489132</v>
      </c>
    </row>
    <row r="4" spans="1:9" x14ac:dyDescent="0.2">
      <c r="A4" t="s">
        <v>48</v>
      </c>
      <c r="B4">
        <v>31.875</v>
      </c>
      <c r="C4">
        <v>29.117647058823518</v>
      </c>
      <c r="D4">
        <f>TableBRE[[#This Row],[ARIMAPP]]*$I$2+TableBRE[[#This Row],[LSTMPP]]*$I$3</f>
        <v>34.936673107949304</v>
      </c>
      <c r="E4">
        <v>34</v>
      </c>
      <c r="F4">
        <f>ABS(TableBRE[[#This Row],[PP]]-TableBRE[[#This Row],[AP]])</f>
        <v>0.93667310794930358</v>
      </c>
    </row>
    <row r="5" spans="1:9" x14ac:dyDescent="0.2">
      <c r="A5" t="s">
        <v>49</v>
      </c>
      <c r="B5">
        <v>26.95652173913043</v>
      </c>
      <c r="C5">
        <v>27.18181818181818</v>
      </c>
      <c r="D5">
        <f>TableBRE[[#This Row],[ARIMAPP]]*$I$2+TableBRE[[#This Row],[LSTMPP]]*$I$3</f>
        <v>31.017337984620205</v>
      </c>
      <c r="E5">
        <v>24</v>
      </c>
      <c r="F5">
        <f>ABS(TableBRE[[#This Row],[PP]]-TableBRE[[#This Row],[AP]])</f>
        <v>7.0173379846202053</v>
      </c>
      <c r="H5" t="s">
        <v>2</v>
      </c>
      <c r="I5" cm="1">
        <f t="array" ref="I5">(SUM(TableBRE[PP]-TableBRE[AP]))^2</f>
        <v>5.0487097934144756E-27</v>
      </c>
    </row>
    <row r="6" spans="1:9" x14ac:dyDescent="0.2">
      <c r="A6" t="s">
        <v>50</v>
      </c>
      <c r="B6">
        <v>38.799999999999983</v>
      </c>
      <c r="C6">
        <v>34.038315555043837</v>
      </c>
      <c r="D6">
        <f>TableBRE[[#This Row],[ARIMAPP]]*$I$2+TableBRE[[#This Row],[LSTMPP]]*$I$3</f>
        <v>41.718139761004011</v>
      </c>
      <c r="E6">
        <v>52</v>
      </c>
      <c r="F6">
        <f>ABS(TableBRE[[#This Row],[PP]]-TableBRE[[#This Row],[AP]])</f>
        <v>10.281860238995989</v>
      </c>
    </row>
    <row r="7" spans="1:9" x14ac:dyDescent="0.2">
      <c r="A7" t="s">
        <v>51</v>
      </c>
      <c r="B7">
        <v>31.05237441621912</v>
      </c>
      <c r="C7">
        <v>28.482142857142851</v>
      </c>
      <c r="D7">
        <f>TableBRE[[#This Row],[ARIMAPP]]*$I$2+TableBRE[[#This Row],[LSTMPP]]*$I$3</f>
        <v>34.101763673701186</v>
      </c>
      <c r="E7">
        <v>27</v>
      </c>
      <c r="F7">
        <f>ABS(TableBRE[[#This Row],[PP]]-TableBRE[[#This Row],[AP]])</f>
        <v>7.1017636737011856</v>
      </c>
      <c r="H7" t="s">
        <v>3</v>
      </c>
      <c r="I7">
        <f>AVERAGE(TableBRE[DIFF])/10</f>
        <v>0.70697965366155502</v>
      </c>
    </row>
    <row r="8" spans="1:9" x14ac:dyDescent="0.2">
      <c r="A8" t="s">
        <v>52</v>
      </c>
      <c r="B8">
        <v>33.622288381029179</v>
      </c>
      <c r="C8">
        <v>26.53846153846154</v>
      </c>
      <c r="D8">
        <f>TableBRE[[#This Row],[ARIMAPP]]*$I$2+TableBRE[[#This Row],[LSTMPP]]*$I$3</f>
        <v>34.449023137933438</v>
      </c>
      <c r="E8">
        <v>51</v>
      </c>
      <c r="F8">
        <f>ABS(TableBRE[[#This Row],[PP]]-TableBRE[[#This Row],[AP]])</f>
        <v>16.550976862066562</v>
      </c>
    </row>
    <row r="9" spans="1:9" x14ac:dyDescent="0.2">
      <c r="A9" t="s">
        <v>53</v>
      </c>
      <c r="B9">
        <v>23.777777777777771</v>
      </c>
      <c r="C9">
        <v>26.944444444444439</v>
      </c>
      <c r="D9">
        <f>TableBRE[[#This Row],[ARIMAPP]]*$I$2+TableBRE[[#This Row],[LSTMPP]]*$I$3</f>
        <v>29.067693904254291</v>
      </c>
      <c r="E9">
        <v>33</v>
      </c>
      <c r="F9">
        <f>ABS(TableBRE[[#This Row],[PP]]-TableBRE[[#This Row],[AP]])</f>
        <v>3.9323060957457088</v>
      </c>
    </row>
    <row r="10" spans="1:9" x14ac:dyDescent="0.2">
      <c r="A10" t="s">
        <v>54</v>
      </c>
      <c r="B10">
        <v>23.91304347826086</v>
      </c>
      <c r="C10">
        <v>24.166666666666671</v>
      </c>
      <c r="D10">
        <f>TableBRE[[#This Row],[ARIMAPP]]*$I$2+TableBRE[[#This Row],[LSTMPP]]*$I$3</f>
        <v>27.546319663779478</v>
      </c>
      <c r="E10">
        <v>23</v>
      </c>
      <c r="F10">
        <f>ABS(TableBRE[[#This Row],[PP]]-TableBRE[[#This Row],[AP]])</f>
        <v>4.546319663779478</v>
      </c>
    </row>
    <row r="11" spans="1:9" x14ac:dyDescent="0.2">
      <c r="A11" t="s">
        <v>55</v>
      </c>
      <c r="B11">
        <v>30</v>
      </c>
      <c r="C11">
        <v>30</v>
      </c>
      <c r="D11">
        <f>TableBRE[[#This Row],[ARIMAPP]]*$I$2+TableBRE[[#This Row],[LSTMPP]]*$I$3</f>
        <v>34.375006350902702</v>
      </c>
      <c r="E11">
        <v>29</v>
      </c>
      <c r="F11">
        <f>ABS(TableBRE[[#This Row],[PP]]-TableBRE[[#This Row],[AP]])</f>
        <v>5.3750063509027015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56</v>
      </c>
      <c r="B2">
        <v>34.093959731543627</v>
      </c>
      <c r="C2">
        <v>33.317239364914492</v>
      </c>
      <c r="D2">
        <f>TableBHA[[#This Row],[ARIMAPP]]*$I$2+TableBHA[[#This Row],[LSTMPP]]*$I$3</f>
        <v>32.795918811771358</v>
      </c>
      <c r="E2">
        <v>53</v>
      </c>
      <c r="F2">
        <f>ABS(TableBHA[[#This Row],[PP]]-TableBHA[[#This Row],[AP]])</f>
        <v>20.204081188228642</v>
      </c>
      <c r="H2" t="s">
        <v>0</v>
      </c>
      <c r="I2">
        <v>0.48414099544709771</v>
      </c>
    </row>
    <row r="3" spans="1:9" x14ac:dyDescent="0.2">
      <c r="A3" t="s">
        <v>57</v>
      </c>
      <c r="B3">
        <v>19.18367346938776</v>
      </c>
      <c r="C3">
        <v>23.589743589743591</v>
      </c>
      <c r="D3">
        <f>TableBHA[[#This Row],[ARIMAPP]]*$I$2+TableBHA[[#This Row],[LSTMPP]]*$I$3</f>
        <v>20.821220952651224</v>
      </c>
      <c r="E3">
        <v>20</v>
      </c>
      <c r="F3">
        <f>ABS(TableBHA[[#This Row],[PP]]-TableBHA[[#This Row],[AP]])</f>
        <v>0.82122095265122397</v>
      </c>
      <c r="H3" t="s">
        <v>1</v>
      </c>
      <c r="I3">
        <v>0.48892511862080484</v>
      </c>
    </row>
    <row r="4" spans="1:9" x14ac:dyDescent="0.2">
      <c r="A4" t="s">
        <v>58</v>
      </c>
      <c r="B4">
        <v>21.944444444444439</v>
      </c>
      <c r="C4">
        <v>24.107142857142851</v>
      </c>
      <c r="D4">
        <f>TableBHA[[#This Row],[ARIMAPP]]*$I$2+TableBHA[[#This Row],[LSTMPP]]*$I$3</f>
        <v>22.41079285890412</v>
      </c>
      <c r="E4">
        <v>32</v>
      </c>
      <c r="F4">
        <f>ABS(TableBHA[[#This Row],[PP]]-TableBHA[[#This Row],[AP]])</f>
        <v>9.5892071410958799</v>
      </c>
    </row>
    <row r="5" spans="1:9" x14ac:dyDescent="0.2">
      <c r="A5" t="s">
        <v>59</v>
      </c>
      <c r="B5">
        <v>46.000000000000007</v>
      </c>
      <c r="C5">
        <v>45.685830770358287</v>
      </c>
      <c r="D5">
        <f>TableBHA[[#This Row],[ARIMAPP]]*$I$2+TableBHA[[#This Row],[LSTMPP]]*$I$3</f>
        <v>44.607436019253939</v>
      </c>
      <c r="E5">
        <v>20</v>
      </c>
      <c r="F5">
        <f>ABS(TableBHA[[#This Row],[PP]]-TableBHA[[#This Row],[AP]])</f>
        <v>24.607436019253939</v>
      </c>
      <c r="H5" t="s">
        <v>2</v>
      </c>
      <c r="I5" cm="1">
        <f t="array" ref="I5">(SUM(TableBHA[PP]-TableBHA[AP]))^2</f>
        <v>2.0194839173657902E-28</v>
      </c>
    </row>
    <row r="6" spans="1:9" x14ac:dyDescent="0.2">
      <c r="A6" t="s">
        <v>60</v>
      </c>
      <c r="B6">
        <v>34.090909090909093</v>
      </c>
      <c r="C6">
        <v>28.52941176470588</v>
      </c>
      <c r="D6">
        <f>TableBHA[[#This Row],[ARIMAPP]]*$I$2+TableBHA[[#This Row],[LSTMPP]]*$I$3</f>
        <v>30.453552694209847</v>
      </c>
      <c r="E6">
        <v>25</v>
      </c>
      <c r="F6">
        <f>ABS(TableBHA[[#This Row],[PP]]-TableBHA[[#This Row],[AP]])</f>
        <v>5.4535526942098471</v>
      </c>
    </row>
    <row r="7" spans="1:9" x14ac:dyDescent="0.2">
      <c r="A7" t="s">
        <v>61</v>
      </c>
      <c r="B7">
        <v>42.727272727272712</v>
      </c>
      <c r="C7">
        <v>43.814305455206473</v>
      </c>
      <c r="D7">
        <f>TableBHA[[#This Row],[ARIMAPP]]*$I$2+TableBHA[[#This Row],[LSTMPP]]*$I$3</f>
        <v>42.107938842896445</v>
      </c>
      <c r="E7">
        <v>35</v>
      </c>
      <c r="F7">
        <f>ABS(TableBHA[[#This Row],[PP]]-TableBHA[[#This Row],[AP]])</f>
        <v>7.107938842896445</v>
      </c>
      <c r="H7" t="s">
        <v>3</v>
      </c>
      <c r="I7">
        <f>AVERAGE(TableBHA[DIFF])/10</f>
        <v>1.0854328145431842</v>
      </c>
    </row>
    <row r="8" spans="1:9" x14ac:dyDescent="0.2">
      <c r="A8" t="s">
        <v>62</v>
      </c>
      <c r="B8">
        <v>30</v>
      </c>
      <c r="C8">
        <v>31.25</v>
      </c>
      <c r="D8">
        <f>TableBHA[[#This Row],[ARIMAPP]]*$I$2+TableBHA[[#This Row],[LSTMPP]]*$I$3</f>
        <v>29.803139820313081</v>
      </c>
      <c r="E8">
        <v>38</v>
      </c>
      <c r="F8">
        <f>ABS(TableBHA[[#This Row],[PP]]-TableBHA[[#This Row],[AP]])</f>
        <v>8.1968601796869187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63</v>
      </c>
      <c r="B2">
        <v>27.310924369747909</v>
      </c>
      <c r="C2">
        <v>28.368421052631589</v>
      </c>
      <c r="D2">
        <f>TableBUR[[#This Row],[ARIMAPP]]*$I$2+TableBUR[[#This Row],[LSTMPP]]*$I$3</f>
        <v>29.157212778253722</v>
      </c>
      <c r="E2">
        <v>23</v>
      </c>
      <c r="F2">
        <f>ABS(TableBUR[[#This Row],[PP]]-TableBUR[[#This Row],[AP]])</f>
        <v>6.1572127782537223</v>
      </c>
      <c r="H2" t="s">
        <v>0</v>
      </c>
      <c r="I2">
        <v>0.5281279574559391</v>
      </c>
    </row>
    <row r="3" spans="1:9" x14ac:dyDescent="0.2">
      <c r="A3" t="s">
        <v>64</v>
      </c>
      <c r="B3">
        <v>23.599999999999991</v>
      </c>
      <c r="C3">
        <v>25.5</v>
      </c>
      <c r="D3">
        <f>TableBUR[[#This Row],[ARIMAPP]]*$I$2+TableBUR[[#This Row],[LSTMPP]]*$I$3</f>
        <v>25.707613879737284</v>
      </c>
      <c r="E3">
        <v>29</v>
      </c>
      <c r="F3">
        <f>ABS(TableBUR[[#This Row],[PP]]-TableBUR[[#This Row],[AP]])</f>
        <v>3.2923861202627158</v>
      </c>
      <c r="H3" t="s">
        <v>1</v>
      </c>
      <c r="I3">
        <v>0.51936447387361284</v>
      </c>
    </row>
    <row r="4" spans="1:9" x14ac:dyDescent="0.2">
      <c r="A4" t="s">
        <v>65</v>
      </c>
      <c r="B4">
        <v>27.5</v>
      </c>
      <c r="C4">
        <v>30.027188482216211</v>
      </c>
      <c r="D4">
        <f>TableBUR[[#This Row],[ARIMAPP]]*$I$2+TableBUR[[#This Row],[LSTMPP]]*$I$3</f>
        <v>30.118573778008354</v>
      </c>
      <c r="E4">
        <v>28</v>
      </c>
      <c r="F4">
        <f>ABS(TableBUR[[#This Row],[PP]]-TableBUR[[#This Row],[AP]])</f>
        <v>2.1185737780083542</v>
      </c>
    </row>
    <row r="5" spans="1:9" x14ac:dyDescent="0.2">
      <c r="A5" t="s">
        <v>66</v>
      </c>
      <c r="B5">
        <v>19.99999999727212</v>
      </c>
      <c r="C5">
        <v>22.5</v>
      </c>
      <c r="D5">
        <f>TableBUR[[#This Row],[ARIMAPP]]*$I$2+TableBUR[[#This Row],[LSTMPP]]*$I$3</f>
        <v>22.248259809834401</v>
      </c>
      <c r="E5">
        <v>28</v>
      </c>
      <c r="F5">
        <f>ABS(TableBUR[[#This Row],[PP]]-TableBUR[[#This Row],[AP]])</f>
        <v>5.7517401901655987</v>
      </c>
      <c r="H5" t="s">
        <v>2</v>
      </c>
      <c r="I5" cm="1">
        <f t="array" ref="I5">(SUM(TableBUR[PP]-TableBUR[AP]))^2</f>
        <v>1.2621774483536189E-29</v>
      </c>
    </row>
    <row r="6" spans="1:9" x14ac:dyDescent="0.2">
      <c r="A6" t="s">
        <v>67</v>
      </c>
      <c r="B6">
        <v>32.5</v>
      </c>
      <c r="C6">
        <v>22.34303985080059</v>
      </c>
      <c r="D6">
        <f>TableBUR[[#This Row],[ARIMAPP]]*$I$2+TableBUR[[#This Row],[LSTMPP]]*$I$3</f>
        <v>28.768339754166234</v>
      </c>
      <c r="E6">
        <v>28</v>
      </c>
      <c r="F6">
        <f>ABS(TableBUR[[#This Row],[PP]]-TableBUR[[#This Row],[AP]])</f>
        <v>0.76833975416623446</v>
      </c>
    </row>
    <row r="7" spans="1:9" x14ac:dyDescent="0.2">
      <c r="H7" t="s">
        <v>3</v>
      </c>
      <c r="I7">
        <f>AVERAGE(TableBUR[DIFF])/10</f>
        <v>0.36176505241713253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68</v>
      </c>
      <c r="B2">
        <v>43.908440498094031</v>
      </c>
      <c r="C2">
        <v>57.179123182044343</v>
      </c>
      <c r="D2">
        <f>TableCHE[[#This Row],[ARIMAPP]]*$I$2+TableCHE[[#This Row],[LSTMPP]]*$I$3</f>
        <v>59.605704840641714</v>
      </c>
      <c r="E2">
        <v>42</v>
      </c>
      <c r="F2">
        <f>ABS(TableCHE[[#This Row],[PP]]-TableCHE[[#This Row],[AP]])</f>
        <v>17.605704840641714</v>
      </c>
      <c r="H2" t="s">
        <v>0</v>
      </c>
      <c r="I2">
        <v>0.55363773487202328</v>
      </c>
    </row>
    <row r="3" spans="1:9" x14ac:dyDescent="0.2">
      <c r="A3" t="s">
        <v>69</v>
      </c>
      <c r="B3">
        <v>28.311030880189001</v>
      </c>
      <c r="C3">
        <v>28.860759493670891</v>
      </c>
      <c r="D3">
        <f>TableCHE[[#This Row],[ARIMAPP]]*$I$2+TableCHE[[#This Row],[LSTMPP]]*$I$3</f>
        <v>33.489631524005517</v>
      </c>
      <c r="E3">
        <v>36</v>
      </c>
      <c r="F3">
        <f>ABS(TableCHE[[#This Row],[PP]]-TableCHE[[#This Row],[AP]])</f>
        <v>2.5103684759944827</v>
      </c>
      <c r="H3" t="s">
        <v>1</v>
      </c>
      <c r="I3">
        <v>0.61729409856704209</v>
      </c>
    </row>
    <row r="4" spans="1:9" x14ac:dyDescent="0.2">
      <c r="A4" t="s">
        <v>70</v>
      </c>
      <c r="B4">
        <v>35.730337078651672</v>
      </c>
      <c r="C4">
        <v>32.253521126760567</v>
      </c>
      <c r="D4">
        <f>TableCHE[[#This Row],[ARIMAPP]]*$I$2+TableCHE[[#This Row],[LSTMPP]]*$I$3</f>
        <v>39.691571135995289</v>
      </c>
      <c r="E4">
        <v>33</v>
      </c>
      <c r="F4">
        <f>ABS(TableCHE[[#This Row],[PP]]-TableCHE[[#This Row],[AP]])</f>
        <v>6.6915711359952894</v>
      </c>
    </row>
    <row r="5" spans="1:9" x14ac:dyDescent="0.2">
      <c r="A5" t="s">
        <v>71</v>
      </c>
      <c r="B5">
        <v>11.59731426246144</v>
      </c>
      <c r="C5">
        <v>19.0625</v>
      </c>
      <c r="D5">
        <f>TableCHE[[#This Row],[ARIMAPP]]*$I$2+TableCHE[[#This Row],[LSTMPP]]*$I$3</f>
        <v>18.1878795528024</v>
      </c>
      <c r="E5">
        <v>55</v>
      </c>
      <c r="F5">
        <f>ABS(TableCHE[[#This Row],[PP]]-TableCHE[[#This Row],[AP]])</f>
        <v>36.8121204471976</v>
      </c>
      <c r="H5" t="s">
        <v>2</v>
      </c>
      <c r="I5" cm="1">
        <f t="array" ref="I5">(SUM(TableCHE[PP]-TableCHE[AP]))^2</f>
        <v>0</v>
      </c>
    </row>
    <row r="6" spans="1:9" x14ac:dyDescent="0.2">
      <c r="A6" t="s">
        <v>72</v>
      </c>
      <c r="B6">
        <v>35.000000000000007</v>
      </c>
      <c r="C6">
        <v>33.744803515154807</v>
      </c>
      <c r="D6">
        <f>TableCHE[[#This Row],[ARIMAPP]]*$I$2+TableCHE[[#This Row],[LSTMPP]]*$I$3</f>
        <v>40.207788787730259</v>
      </c>
      <c r="E6">
        <v>23</v>
      </c>
      <c r="F6">
        <f>ABS(TableCHE[[#This Row],[PP]]-TableCHE[[#This Row],[AP]])</f>
        <v>17.207788787730259</v>
      </c>
    </row>
    <row r="7" spans="1:9" x14ac:dyDescent="0.2">
      <c r="A7" t="s">
        <v>73</v>
      </c>
      <c r="B7">
        <v>27.142857142857139</v>
      </c>
      <c r="C7">
        <v>28.857132499258579</v>
      </c>
      <c r="D7">
        <f>TableCHE[[#This Row],[ARIMAPP]]*$I$2+TableCHE[[#This Row],[LSTMPP]]*$I$3</f>
        <v>32.840647539885865</v>
      </c>
      <c r="E7">
        <v>27</v>
      </c>
      <c r="F7">
        <f>ABS(TableCHE[[#This Row],[PP]]-TableCHE[[#This Row],[AP]])</f>
        <v>5.8406475398858646</v>
      </c>
      <c r="H7" t="s">
        <v>3</v>
      </c>
      <c r="I7">
        <f>AVERAGE(TableCHE[DIFF])/10</f>
        <v>1.4734289998399337</v>
      </c>
    </row>
    <row r="8" spans="1:9" x14ac:dyDescent="0.2">
      <c r="A8" t="s">
        <v>74</v>
      </c>
      <c r="B8">
        <v>16.47058823529413</v>
      </c>
      <c r="C8">
        <v>24.23076923076923</v>
      </c>
      <c r="D8">
        <f>TableCHE[[#This Row],[ARIMAPP]]*$I$2+TableCHE[[#This Row],[LSTMPP]]*$I$3</f>
        <v>24.076250012491748</v>
      </c>
      <c r="E8">
        <v>37</v>
      </c>
      <c r="F8">
        <f>ABS(TableCHE[[#This Row],[PP]]-TableCHE[[#This Row],[AP]])</f>
        <v>12.923749987508252</v>
      </c>
    </row>
    <row r="9" spans="1:9" x14ac:dyDescent="0.2">
      <c r="A9" t="s">
        <v>75</v>
      </c>
      <c r="B9">
        <v>19.780697586106388</v>
      </c>
      <c r="C9">
        <v>27.1875</v>
      </c>
      <c r="D9">
        <f>TableCHE[[#This Row],[ARIMAPP]]*$I$2+TableCHE[[#This Row],[LSTMPP]]*$I$3</f>
        <v>27.734023910551898</v>
      </c>
      <c r="E9">
        <v>35</v>
      </c>
      <c r="F9">
        <f>ABS(TableCHE[[#This Row],[PP]]-TableCHE[[#This Row],[AP]])</f>
        <v>7.2659760894481025</v>
      </c>
    </row>
    <row r="10" spans="1:9" x14ac:dyDescent="0.2">
      <c r="A10" t="s">
        <v>76</v>
      </c>
      <c r="B10">
        <v>21.999999999999989</v>
      </c>
      <c r="C10">
        <v>23.75</v>
      </c>
      <c r="D10">
        <f>TableCHE[[#This Row],[ARIMAPP]]*$I$2+TableCHE[[#This Row],[LSTMPP]]*$I$3</f>
        <v>26.840765008151756</v>
      </c>
      <c r="E10">
        <v>41</v>
      </c>
      <c r="F10">
        <f>ABS(TableCHE[[#This Row],[PP]]-TableCHE[[#This Row],[AP]])</f>
        <v>14.159234991848244</v>
      </c>
    </row>
    <row r="11" spans="1:9" x14ac:dyDescent="0.2">
      <c r="A11" t="s">
        <v>77</v>
      </c>
      <c r="B11">
        <v>42.688516797947329</v>
      </c>
      <c r="C11">
        <v>40</v>
      </c>
      <c r="D11">
        <f>TableCHE[[#This Row],[ARIMAPP]]*$I$2+TableCHE[[#This Row],[LSTMPP]]*$I$3</f>
        <v>48.325737687743555</v>
      </c>
      <c r="E11">
        <v>22</v>
      </c>
      <c r="F11">
        <f>ABS(TableCHE[[#This Row],[PP]]-TableCHE[[#This Row],[AP]])</f>
        <v>26.325737687743555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78</v>
      </c>
      <c r="B2">
        <v>26.76258992805754</v>
      </c>
      <c r="C2">
        <v>28.513513513513509</v>
      </c>
      <c r="D2">
        <f>TableCRY[[#This Row],[ARIMAPP]]*$I$2+TableCRY[[#This Row],[LSTMPP]]*$I$3</f>
        <v>27.520486554030654</v>
      </c>
      <c r="E2">
        <v>27</v>
      </c>
      <c r="F2">
        <f>ABS(TableCRY[[#This Row],[PP]]-TableCRY[[#This Row],[AP]])</f>
        <v>0.52048655403065425</v>
      </c>
      <c r="H2" t="s">
        <v>0</v>
      </c>
      <c r="I2">
        <v>0.4988814688759674</v>
      </c>
    </row>
    <row r="3" spans="1:9" x14ac:dyDescent="0.2">
      <c r="A3" t="s">
        <v>79</v>
      </c>
      <c r="B3">
        <v>21.42857142857142</v>
      </c>
      <c r="C3">
        <v>25.535714285714281</v>
      </c>
      <c r="D3">
        <f>TableCRY[[#This Row],[ARIMAPP]]*$I$2+TableCRY[[#This Row],[LSTMPP]]*$I$3</f>
        <v>23.379695605145365</v>
      </c>
      <c r="E3">
        <v>20</v>
      </c>
      <c r="F3">
        <f>ABS(TableCRY[[#This Row],[PP]]-TableCRY[[#This Row],[AP]])</f>
        <v>3.3796956051453648</v>
      </c>
      <c r="H3" t="s">
        <v>1</v>
      </c>
      <c r="I3">
        <v>0.49692670715872728</v>
      </c>
    </row>
    <row r="4" spans="1:9" x14ac:dyDescent="0.2">
      <c r="A4" t="s">
        <v>80</v>
      </c>
      <c r="B4">
        <v>25.28925619834709</v>
      </c>
      <c r="C4">
        <v>27.708333333333329</v>
      </c>
      <c r="D4">
        <f>TableCRY[[#This Row],[ARIMAPP]]*$I$2+TableCRY[[#This Row],[LSTMPP]]*$I$3</f>
        <v>26.385352123201791</v>
      </c>
      <c r="E4">
        <v>25</v>
      </c>
      <c r="F4">
        <f>ABS(TableCRY[[#This Row],[PP]]-TableCRY[[#This Row],[AP]])</f>
        <v>1.3853521232017911</v>
      </c>
    </row>
    <row r="5" spans="1:9" x14ac:dyDescent="0.2">
      <c r="A5" t="s">
        <v>81</v>
      </c>
      <c r="B5">
        <v>27.312499999999989</v>
      </c>
      <c r="C5">
        <v>28.6328125</v>
      </c>
      <c r="D5">
        <f>TableCRY[[#This Row],[ARIMAPP]]*$I$2+TableCRY[[#This Row],[LSTMPP]]*$I$3</f>
        <v>27.854109350993099</v>
      </c>
      <c r="E5">
        <v>25</v>
      </c>
      <c r="F5">
        <f>ABS(TableCRY[[#This Row],[PP]]-TableCRY[[#This Row],[AP]])</f>
        <v>2.8541093509930988</v>
      </c>
      <c r="H5" t="s">
        <v>2</v>
      </c>
      <c r="I5" cm="1">
        <f t="array" ref="I5">(SUM(TableCRY[PP]-TableCRY[AP]))^2</f>
        <v>0</v>
      </c>
    </row>
    <row r="6" spans="1:9" x14ac:dyDescent="0.2">
      <c r="A6" t="s">
        <v>82</v>
      </c>
      <c r="B6">
        <v>28.15713743964006</v>
      </c>
      <c r="C6">
        <v>28.815789473684209</v>
      </c>
      <c r="D6">
        <f>TableCRY[[#This Row],[ARIMAPP]]*$I$2+TableCRY[[#This Row],[LSTMPP]]*$I$3</f>
        <v>28.366409462567137</v>
      </c>
      <c r="E6">
        <v>37</v>
      </c>
      <c r="F6">
        <f>ABS(TableCRY[[#This Row],[PP]]-TableCRY[[#This Row],[AP]])</f>
        <v>8.6335905374328625</v>
      </c>
    </row>
    <row r="7" spans="1:9" x14ac:dyDescent="0.2">
      <c r="A7" t="s">
        <v>83</v>
      </c>
      <c r="B7">
        <v>36.749999999999979</v>
      </c>
      <c r="C7">
        <v>31.484375</v>
      </c>
      <c r="D7">
        <f>TableCRY[[#This Row],[ARIMAPP]]*$I$2+TableCRY[[#This Row],[LSTMPP]]*$I$3</f>
        <v>33.979320776892351</v>
      </c>
      <c r="E7">
        <v>36</v>
      </c>
      <c r="F7">
        <f>ABS(TableCRY[[#This Row],[PP]]-TableCRY[[#This Row],[AP]])</f>
        <v>2.0206792231076491</v>
      </c>
      <c r="H7" t="s">
        <v>3</v>
      </c>
      <c r="I7">
        <f>AVERAGE(TableCRY[DIFF])/10</f>
        <v>0.25645366787299917</v>
      </c>
    </row>
    <row r="8" spans="1:9" x14ac:dyDescent="0.2">
      <c r="A8" t="s">
        <v>84</v>
      </c>
      <c r="B8">
        <v>36.470588235294123</v>
      </c>
      <c r="C8">
        <v>33.625</v>
      </c>
      <c r="D8">
        <f>TableCRY[[#This Row],[ARIMAPP]]*$I$2+TableCRY[[#This Row],[LSTMPP]]*$I$3</f>
        <v>34.903661157806312</v>
      </c>
      <c r="E8">
        <v>36</v>
      </c>
      <c r="F8">
        <f>ABS(TableCRY[[#This Row],[PP]]-TableCRY[[#This Row],[AP]])</f>
        <v>1.0963388421936884</v>
      </c>
    </row>
    <row r="9" spans="1:9" x14ac:dyDescent="0.2">
      <c r="A9" t="s">
        <v>85</v>
      </c>
      <c r="B9">
        <v>31.752577319587619</v>
      </c>
      <c r="C9">
        <v>31.805262684094949</v>
      </c>
      <c r="D9">
        <f>TableCRY[[#This Row],[ARIMAPP]]*$I$2+TableCRY[[#This Row],[LSTMPP]]*$I$3</f>
        <v>31.645656869719247</v>
      </c>
      <c r="E9">
        <v>34</v>
      </c>
      <c r="F9">
        <f>ABS(TableCRY[[#This Row],[PP]]-TableCRY[[#This Row],[AP]])</f>
        <v>2.3543431302807534</v>
      </c>
    </row>
    <row r="10" spans="1:9" x14ac:dyDescent="0.2">
      <c r="A10" t="s">
        <v>86</v>
      </c>
      <c r="B10">
        <v>30.270270270270281</v>
      </c>
      <c r="C10">
        <v>28.728813559322042</v>
      </c>
      <c r="D10">
        <f>TableCRY[[#This Row],[ARIMAPP]]*$I$2+TableCRY[[#This Row],[LSTMPP]]*$I$3</f>
        <v>29.377391618315862</v>
      </c>
      <c r="E10">
        <v>28</v>
      </c>
      <c r="F10">
        <f>ABS(TableCRY[[#This Row],[PP]]-TableCRY[[#This Row],[AP]])</f>
        <v>1.3773916183158619</v>
      </c>
    </row>
    <row r="11" spans="1:9" x14ac:dyDescent="0.2">
      <c r="A11" t="s">
        <v>87</v>
      </c>
      <c r="B11">
        <v>30.151515151515159</v>
      </c>
      <c r="C11">
        <v>28.36538461538461</v>
      </c>
      <c r="D11">
        <f>TableCRY[[#This Row],[ARIMAPP]]*$I$2+TableCRY[[#This Row],[LSTMPP]]*$I$3</f>
        <v>29.137549341837765</v>
      </c>
      <c r="E11">
        <v>27</v>
      </c>
      <c r="F11">
        <f>ABS(TableCRY[[#This Row],[PP]]-TableCRY[[#This Row],[AP]])</f>
        <v>2.1375493418377651</v>
      </c>
    </row>
    <row r="12" spans="1:9" x14ac:dyDescent="0.2">
      <c r="A12" t="s">
        <v>88</v>
      </c>
      <c r="B12">
        <v>27.631578947368428</v>
      </c>
      <c r="C12">
        <v>27.5</v>
      </c>
      <c r="D12">
        <f>TableCRY[[#This Row],[ARIMAPP]]*$I$2+TableCRY[[#This Row],[LSTMPP]]*$I$3</f>
        <v>27.450367139490417</v>
      </c>
      <c r="E12">
        <v>25</v>
      </c>
      <c r="F12">
        <f>ABS(TableCRY[[#This Row],[PP]]-TableCRY[[#This Row],[AP]])</f>
        <v>2.4503671394904174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89</v>
      </c>
      <c r="B2">
        <v>32.583585174717619</v>
      </c>
      <c r="C2">
        <v>30.28688524590164</v>
      </c>
      <c r="D2">
        <f>TableEVE[[#This Row],[ARIMAPP]]*$I$2+TableEVE[[#This Row],[LSTMPP]]*$I$3</f>
        <v>44.221580838545606</v>
      </c>
      <c r="E2">
        <v>52</v>
      </c>
      <c r="F2">
        <f>ABS(TableEVE[[#This Row],[PP]]-TableEVE[[#This Row],[AP]])</f>
        <v>7.7784191614543943</v>
      </c>
      <c r="H2" t="s">
        <v>0</v>
      </c>
      <c r="I2">
        <v>0.67861419547082669</v>
      </c>
    </row>
    <row r="3" spans="1:9" x14ac:dyDescent="0.2">
      <c r="A3" t="s">
        <v>90</v>
      </c>
      <c r="B3">
        <v>20.652803936035589</v>
      </c>
      <c r="C3">
        <v>26.296296296296301</v>
      </c>
      <c r="D3">
        <f>TableEVE[[#This Row],[ARIMAPP]]*$I$2+TableEVE[[#This Row],[LSTMPP]]*$I$3</f>
        <v>33.211991312501169</v>
      </c>
      <c r="E3">
        <v>22</v>
      </c>
      <c r="F3">
        <f>ABS(TableEVE[[#This Row],[PP]]-TableEVE[[#This Row],[AP]])</f>
        <v>11.211991312501169</v>
      </c>
      <c r="H3" t="s">
        <v>1</v>
      </c>
      <c r="I3">
        <v>0.73001555690317543</v>
      </c>
    </row>
    <row r="4" spans="1:9" x14ac:dyDescent="0.2">
      <c r="A4" t="s">
        <v>91</v>
      </c>
      <c r="B4">
        <v>27.219646102965051</v>
      </c>
      <c r="C4">
        <v>29.6875</v>
      </c>
      <c r="D4">
        <f>TableEVE[[#This Row],[ARIMAPP]]*$I$2+TableEVE[[#This Row],[LSTMPP]]*$I$3</f>
        <v>40.143975086727266</v>
      </c>
      <c r="E4">
        <v>37</v>
      </c>
      <c r="F4">
        <f>ABS(TableEVE[[#This Row],[PP]]-TableEVE[[#This Row],[AP]])</f>
        <v>3.1439750867272664</v>
      </c>
    </row>
    <row r="5" spans="1:9" x14ac:dyDescent="0.2">
      <c r="A5" t="s">
        <v>92</v>
      </c>
      <c r="B5">
        <v>34.662921348314597</v>
      </c>
      <c r="C5">
        <v>36.698794437458197</v>
      </c>
      <c r="D5">
        <f>TableEVE[[#This Row],[ARIMAPP]]*$I$2+TableEVE[[#This Row],[LSTMPP]]*$I$3</f>
        <v>50.313441342391258</v>
      </c>
      <c r="E5">
        <v>46</v>
      </c>
      <c r="F5">
        <f>ABS(TableEVE[[#This Row],[PP]]-TableEVE[[#This Row],[AP]])</f>
        <v>4.3134413423912576</v>
      </c>
      <c r="H5" t="s">
        <v>2</v>
      </c>
      <c r="I5" cm="1">
        <f t="array" ref="I5">(SUM(TableEVE[PP]-TableEVE[AP]))^2</f>
        <v>0</v>
      </c>
    </row>
    <row r="6" spans="1:9" x14ac:dyDescent="0.2">
      <c r="A6" t="s">
        <v>93</v>
      </c>
      <c r="B6">
        <v>34.015551693380779</v>
      </c>
      <c r="C6">
        <v>33.055555555555557</v>
      </c>
      <c r="D6">
        <f>TableEVE[[#This Row],[ARIMAPP]]*$I$2+TableEVE[[#This Row],[LSTMPP]]*$I$3</f>
        <v>47.214506043532658</v>
      </c>
      <c r="E6">
        <v>36</v>
      </c>
      <c r="F6">
        <f>ABS(TableEVE[[#This Row],[PP]]-TableEVE[[#This Row],[AP]])</f>
        <v>11.214506043532658</v>
      </c>
    </row>
    <row r="7" spans="1:9" x14ac:dyDescent="0.2">
      <c r="A7" t="s">
        <v>94</v>
      </c>
      <c r="B7">
        <v>31.172839506172888</v>
      </c>
      <c r="C7">
        <v>29.379844961240309</v>
      </c>
      <c r="D7">
        <f>TableEVE[[#This Row],[ARIMAPP]]*$I$2+TableEVE[[#This Row],[LSTMPP]]*$I$3</f>
        <v>42.602075283131512</v>
      </c>
      <c r="E7">
        <v>40</v>
      </c>
      <c r="F7">
        <f>ABS(TableEVE[[#This Row],[PP]]-TableEVE[[#This Row],[AP]])</f>
        <v>2.6020752831315122</v>
      </c>
      <c r="H7" t="s">
        <v>3</v>
      </c>
      <c r="I7">
        <f>AVERAGE(TableEVE[DIFF])/10</f>
        <v>0.95892274090862117</v>
      </c>
    </row>
    <row r="8" spans="1:9" x14ac:dyDescent="0.2">
      <c r="A8" t="s">
        <v>95</v>
      </c>
      <c r="B8">
        <v>15.21739130434783</v>
      </c>
      <c r="C8">
        <v>21.666666666666671</v>
      </c>
      <c r="D8">
        <f>TableEVE[[#This Row],[ARIMAPP]]*$I$2+TableEVE[[#This Row],[LSTMPP]]*$I$3</f>
        <v>26.143741490066894</v>
      </c>
      <c r="E8">
        <v>33</v>
      </c>
      <c r="F8">
        <f>ABS(TableEVE[[#This Row],[PP]]-TableEVE[[#This Row],[AP]])</f>
        <v>6.8562585099331059</v>
      </c>
    </row>
    <row r="9" spans="1:9" x14ac:dyDescent="0.2">
      <c r="A9" t="s">
        <v>96</v>
      </c>
      <c r="B9">
        <v>15.71428571428571</v>
      </c>
      <c r="C9">
        <v>22.27272727272727</v>
      </c>
      <c r="D9">
        <f>TableEVE[[#This Row],[ARIMAPP]]*$I$2+TableEVE[[#This Row],[LSTMPP]]*$I$3</f>
        <v>26.923374761151244</v>
      </c>
      <c r="E9">
        <v>39</v>
      </c>
      <c r="F9">
        <f>ABS(TableEVE[[#This Row],[PP]]-TableEVE[[#This Row],[AP]])</f>
        <v>12.076625238848756</v>
      </c>
    </row>
    <row r="10" spans="1:9" x14ac:dyDescent="0.2">
      <c r="A10" t="s">
        <v>97</v>
      </c>
      <c r="B10">
        <v>39.603960396039632</v>
      </c>
      <c r="C10">
        <v>39.15579330499326</v>
      </c>
      <c r="D10">
        <f>TableEVE[[#This Row],[ARIMAPP]]*$I$2+TableEVE[[#This Row],[LSTMPP]]*$I$3</f>
        <v>55.460147977147201</v>
      </c>
      <c r="E10">
        <v>40</v>
      </c>
      <c r="F10">
        <f>ABS(TableEVE[[#This Row],[PP]]-TableEVE[[#This Row],[AP]])</f>
        <v>15.460147977147201</v>
      </c>
    </row>
    <row r="11" spans="1:9" x14ac:dyDescent="0.2">
      <c r="A11" t="s">
        <v>98</v>
      </c>
      <c r="B11">
        <v>24.444444444444439</v>
      </c>
      <c r="C11">
        <v>27.638888888888889</v>
      </c>
      <c r="D11">
        <f>TableEVE[[#This Row],[ARIMAPP]]*$I$2+TableEVE[[#This Row],[LSTMPP]]*$I$3</f>
        <v>36.765165864805191</v>
      </c>
      <c r="E11">
        <v>58</v>
      </c>
      <c r="F11">
        <f>ABS(TableEVE[[#This Row],[PP]]-TableEVE[[#This Row],[AP]])</f>
        <v>21.234834135194809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3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99</v>
      </c>
      <c r="B2">
        <v>19.244789970068819</v>
      </c>
      <c r="C2">
        <v>40.008064499958429</v>
      </c>
      <c r="D2">
        <f>TableFUL[[#This Row],[ARIMAPP]]*$I$2+TableFUL[[#This Row],[LSTMPP]]*$I$3</f>
        <v>33.119600086113387</v>
      </c>
      <c r="E2">
        <v>39</v>
      </c>
      <c r="F2">
        <f>ABS(TableFUL[[#This Row],[PP]]-TableFUL[[#This Row],[AP]])</f>
        <v>5.8803999138866132</v>
      </c>
      <c r="H2" t="s">
        <v>0</v>
      </c>
      <c r="I2">
        <v>0.53457229482006763</v>
      </c>
    </row>
    <row r="3" spans="1:9" x14ac:dyDescent="0.2">
      <c r="A3" t="s">
        <v>100</v>
      </c>
      <c r="B3">
        <v>20.266666666666652</v>
      </c>
      <c r="C3">
        <v>24.666666666666671</v>
      </c>
      <c r="D3">
        <f>TableFUL[[#This Row],[ARIMAPP]]*$I$2+TableFUL[[#This Row],[LSTMPP]]*$I$3</f>
        <v>24.910812718227916</v>
      </c>
      <c r="E3">
        <v>32</v>
      </c>
      <c r="F3">
        <f>ABS(TableFUL[[#This Row],[PP]]-TableFUL[[#This Row],[AP]])</f>
        <v>7.0891872817720838</v>
      </c>
      <c r="H3" t="s">
        <v>1</v>
      </c>
      <c r="I3">
        <v>0.57068165715707642</v>
      </c>
    </row>
    <row r="4" spans="1:9" x14ac:dyDescent="0.2">
      <c r="A4" t="s">
        <v>101</v>
      </c>
      <c r="B4">
        <v>26.75324675324671</v>
      </c>
      <c r="C4">
        <v>27.64227642276423</v>
      </c>
      <c r="D4">
        <f>TableFUL[[#This Row],[ARIMAPP]]*$I$2+TableFUL[[#This Row],[LSTMPP]]*$I$3</f>
        <v>30.076484627307689</v>
      </c>
      <c r="E4">
        <v>40</v>
      </c>
      <c r="F4">
        <f>ABS(TableFUL[[#This Row],[PP]]-TableFUL[[#This Row],[AP]])</f>
        <v>9.9235153726923109</v>
      </c>
    </row>
    <row r="5" spans="1:9" x14ac:dyDescent="0.2">
      <c r="A5" t="s">
        <v>102</v>
      </c>
      <c r="B5">
        <v>36.523816240112183</v>
      </c>
      <c r="C5">
        <v>32.772727272727273</v>
      </c>
      <c r="D5">
        <f>TableFUL[[#This Row],[ARIMAPP]]*$I$2+TableFUL[[#This Row],[LSTMPP]]*$I$3</f>
        <v>38.227414572620134</v>
      </c>
      <c r="E5">
        <v>31</v>
      </c>
      <c r="F5">
        <f>ABS(TableFUL[[#This Row],[PP]]-TableFUL[[#This Row],[AP]])</f>
        <v>7.227414572620134</v>
      </c>
      <c r="H5" t="s">
        <v>2</v>
      </c>
      <c r="I5" cm="1">
        <f t="array" ref="I5">(SUM(TableFUL[PP]-TableFUL[AP]))^2</f>
        <v>1.8175355256292112E-27</v>
      </c>
    </row>
    <row r="6" spans="1:9" x14ac:dyDescent="0.2">
      <c r="A6" t="s">
        <v>103</v>
      </c>
      <c r="B6">
        <v>23.67647058823529</v>
      </c>
      <c r="C6">
        <v>25.555555555555561</v>
      </c>
      <c r="D6">
        <f>TableFUL[[#This Row],[ARIMAPP]]*$I$2+TableFUL[[#This Row],[LSTMPP]]*$I$3</f>
        <v>27.240872009606953</v>
      </c>
      <c r="E6">
        <v>22</v>
      </c>
      <c r="F6">
        <f>ABS(TableFUL[[#This Row],[PP]]-TableFUL[[#This Row],[AP]])</f>
        <v>5.240872009606953</v>
      </c>
    </row>
    <row r="7" spans="1:9" x14ac:dyDescent="0.2">
      <c r="A7" t="s">
        <v>104</v>
      </c>
      <c r="B7">
        <v>25.9375</v>
      </c>
      <c r="C7">
        <v>26.078431372549019</v>
      </c>
      <c r="D7">
        <f>TableFUL[[#This Row],[ARIMAPP]]*$I$2+TableFUL[[#This Row],[LSTMPP]]*$I$3</f>
        <v>28.747951328638869</v>
      </c>
      <c r="E7">
        <v>33</v>
      </c>
      <c r="F7">
        <f>ABS(TableFUL[[#This Row],[PP]]-TableFUL[[#This Row],[AP]])</f>
        <v>4.2520486713611305</v>
      </c>
      <c r="H7" t="s">
        <v>3</v>
      </c>
      <c r="I7">
        <f>AVERAGE(TableFUL[DIFF])/10</f>
        <v>0.60798839174621733</v>
      </c>
    </row>
    <row r="8" spans="1:9" x14ac:dyDescent="0.2">
      <c r="A8" t="s">
        <v>105</v>
      </c>
      <c r="B8">
        <v>32.735564703341687</v>
      </c>
      <c r="C8">
        <v>31.357142857142861</v>
      </c>
      <c r="D8">
        <f>TableFUL[[#This Row],[ARIMAPP]]*$I$2+TableFUL[[#This Row],[LSTMPP]]*$I$3</f>
        <v>35.394472195121637</v>
      </c>
      <c r="E8">
        <v>22</v>
      </c>
      <c r="F8">
        <f>ABS(TableFUL[[#This Row],[PP]]-TableFUL[[#This Row],[AP]])</f>
        <v>13.394472195121637</v>
      </c>
    </row>
    <row r="9" spans="1:9" x14ac:dyDescent="0.2">
      <c r="A9" t="s">
        <v>106</v>
      </c>
      <c r="B9">
        <v>24.000000000000021</v>
      </c>
      <c r="C9">
        <v>26.63461538461539</v>
      </c>
      <c r="D9">
        <f>TableFUL[[#This Row],[ARIMAPP]]*$I$2+TableFUL[[#This Row],[LSTMPP]]*$I$3</f>
        <v>28.02962152111531</v>
      </c>
      <c r="E9">
        <v>26</v>
      </c>
      <c r="F9">
        <f>ABS(TableFUL[[#This Row],[PP]]-TableFUL[[#This Row],[AP]])</f>
        <v>2.0296215211153097</v>
      </c>
    </row>
    <row r="10" spans="1:9" x14ac:dyDescent="0.2">
      <c r="A10" t="s">
        <v>107</v>
      </c>
      <c r="B10">
        <v>25.555555555555561</v>
      </c>
      <c r="C10">
        <v>26.071428571428569</v>
      </c>
      <c r="D10">
        <f>TableFUL[[#This Row],[ARIMAPP]]*$I$2+TableFUL[[#This Row],[LSTMPP]]*$I$3</f>
        <v>28.539778040330269</v>
      </c>
      <c r="E10">
        <v>29</v>
      </c>
      <c r="F10">
        <f>ABS(TableFUL[[#This Row],[PP]]-TableFUL[[#This Row],[AP]])</f>
        <v>0.46022195966973101</v>
      </c>
    </row>
    <row r="11" spans="1:9" x14ac:dyDescent="0.2">
      <c r="A11" t="s">
        <v>108</v>
      </c>
      <c r="B11">
        <v>38.566632006189153</v>
      </c>
      <c r="C11">
        <v>39.662831553999943</v>
      </c>
      <c r="D11">
        <f>TableFUL[[#This Row],[ARIMAPP]]*$I$2+TableFUL[[#This Row],[LSTMPP]]*$I$3</f>
        <v>43.251503413808265</v>
      </c>
      <c r="E11">
        <v>38</v>
      </c>
      <c r="F11">
        <f>ABS(TableFUL[[#This Row],[PP]]-TableFUL[[#This Row],[AP]])</f>
        <v>5.2515034138082655</v>
      </c>
    </row>
    <row r="12" spans="1:9" x14ac:dyDescent="0.2">
      <c r="A12" t="s">
        <v>109</v>
      </c>
      <c r="B12">
        <v>26.05263157894737</v>
      </c>
      <c r="C12">
        <v>27</v>
      </c>
      <c r="D12">
        <f>TableFUL[[#This Row],[ARIMAPP]]*$I$2+TableFUL[[#This Row],[LSTMPP]]*$I$3</f>
        <v>29.335419792500719</v>
      </c>
      <c r="E12">
        <v>26</v>
      </c>
      <c r="F12">
        <f>ABS(TableFUL[[#This Row],[PP]]-TableFUL[[#This Row],[AP]])</f>
        <v>3.3354197925007192</v>
      </c>
    </row>
    <row r="13" spans="1:9" x14ac:dyDescent="0.2">
      <c r="A13" t="s">
        <v>110</v>
      </c>
      <c r="B13">
        <v>39.032258064516128</v>
      </c>
      <c r="C13">
        <v>33.75</v>
      </c>
      <c r="D13">
        <f>TableFUL[[#This Row],[ARIMAPP]]*$I$2+TableFUL[[#This Row],[LSTMPP]]*$I$3</f>
        <v>40.126069694608809</v>
      </c>
      <c r="E13">
        <v>49</v>
      </c>
      <c r="F13">
        <f>ABS(TableFUL[[#This Row],[PP]]-TableFUL[[#This Row],[AP]])</f>
        <v>8.8739303053911911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3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111</v>
      </c>
      <c r="B2">
        <v>45.09798507308745</v>
      </c>
      <c r="C2">
        <v>36.231343283582092</v>
      </c>
      <c r="D2">
        <f>TableLIV[[#This Row],[ARIMAPP]]*$I$2+TableLIV[[#This Row],[LSTMPP]]*$I$3</f>
        <v>40.501897304399847</v>
      </c>
      <c r="E2">
        <v>44</v>
      </c>
      <c r="F2">
        <f>ABS(TableLIV[[#This Row],[PP]]-TableLIV[[#This Row],[AP]])</f>
        <v>3.4981026956001529</v>
      </c>
      <c r="H2" t="s">
        <v>0</v>
      </c>
      <c r="I2">
        <v>0.51519634644620216</v>
      </c>
    </row>
    <row r="3" spans="1:9" x14ac:dyDescent="0.2">
      <c r="A3" t="s">
        <v>112</v>
      </c>
      <c r="B3">
        <v>68.483146067415746</v>
      </c>
      <c r="C3">
        <v>69.943086398090884</v>
      </c>
      <c r="D3">
        <f>TableLIV[[#This Row],[ARIMAPP]]*$I$2+TableLIV[[#This Row],[LSTMPP]]*$I$3</f>
        <v>68.616604867709725</v>
      </c>
      <c r="E3">
        <v>84</v>
      </c>
      <c r="F3">
        <f>ABS(TableLIV[[#This Row],[PP]]-TableLIV[[#This Row],[AP]])</f>
        <v>15.383395132290275</v>
      </c>
      <c r="H3" t="s">
        <v>1</v>
      </c>
      <c r="I3">
        <v>0.476592325807707</v>
      </c>
    </row>
    <row r="4" spans="1:9" x14ac:dyDescent="0.2">
      <c r="A4" t="s">
        <v>113</v>
      </c>
      <c r="B4">
        <v>54.049531614858843</v>
      </c>
      <c r="C4">
        <v>49.91085429067904</v>
      </c>
      <c r="D4">
        <f>TableLIV[[#This Row],[ARIMAPP]]*$I$2+TableLIV[[#This Row],[LSTMPP]]*$I$3</f>
        <v>51.633251344548071</v>
      </c>
      <c r="E4">
        <v>59</v>
      </c>
      <c r="F4">
        <f>ABS(TableLIV[[#This Row],[PP]]-TableLIV[[#This Row],[AP]])</f>
        <v>7.3667486554519286</v>
      </c>
    </row>
    <row r="5" spans="1:9" x14ac:dyDescent="0.2">
      <c r="A5" t="s">
        <v>114</v>
      </c>
      <c r="B5">
        <v>48.582813162232263</v>
      </c>
      <c r="C5">
        <v>43.411299726169382</v>
      </c>
      <c r="D5">
        <f>TableLIV[[#This Row],[ARIMAPP]]*$I$2+TableLIV[[#This Row],[LSTMPP]]*$I$3</f>
        <v>45.719180144091062</v>
      </c>
      <c r="E5">
        <v>46</v>
      </c>
      <c r="F5">
        <f>ABS(TableLIV[[#This Row],[PP]]-TableLIV[[#This Row],[AP]])</f>
        <v>0.28081985590893765</v>
      </c>
      <c r="H5" t="s">
        <v>2</v>
      </c>
      <c r="I5" cm="1">
        <f t="array" ref="I5">(SUM(TableLIV[PP]-TableLIV[AP]))^2</f>
        <v>4.543838814073028E-28</v>
      </c>
    </row>
    <row r="6" spans="1:9" x14ac:dyDescent="0.2">
      <c r="A6" t="s">
        <v>115</v>
      </c>
      <c r="B6">
        <v>28.707786528370772</v>
      </c>
      <c r="C6">
        <v>29.023074602845959</v>
      </c>
      <c r="D6">
        <f>TableLIV[[#This Row],[ARIMAPP]]*$I$2+TableLIV[[#This Row],[LSTMPP]]*$I$3</f>
        <v>28.62232136103507</v>
      </c>
      <c r="E6">
        <v>27</v>
      </c>
      <c r="F6">
        <f>ABS(TableLIV[[#This Row],[PP]]-TableLIV[[#This Row],[AP]])</f>
        <v>1.6223213610350697</v>
      </c>
    </row>
    <row r="7" spans="1:9" x14ac:dyDescent="0.2">
      <c r="A7" t="s">
        <v>116</v>
      </c>
      <c r="B7">
        <v>30</v>
      </c>
      <c r="C7">
        <v>30.225738934859809</v>
      </c>
      <c r="D7">
        <f>TableLIV[[#This Row],[ARIMAPP]]*$I$2+TableLIV[[#This Row],[LSTMPP]]*$I$3</f>
        <v>29.861245611607465</v>
      </c>
      <c r="E7">
        <v>25</v>
      </c>
      <c r="F7">
        <f>ABS(TableLIV[[#This Row],[PP]]-TableLIV[[#This Row],[AP]])</f>
        <v>4.8612456116074654</v>
      </c>
      <c r="H7" t="s">
        <v>3</v>
      </c>
      <c r="I7">
        <f>AVERAGE(TableLIV[DIFF])/10</f>
        <v>0.57256171328259908</v>
      </c>
    </row>
    <row r="8" spans="1:9" x14ac:dyDescent="0.2">
      <c r="A8" t="s">
        <v>117</v>
      </c>
      <c r="B8">
        <v>35.161290322580633</v>
      </c>
      <c r="C8">
        <v>31.666666666666671</v>
      </c>
      <c r="D8">
        <f>TableLIV[[#This Row],[ARIMAPP]]*$I$2+TableLIV[[#This Row],[LSTMPP]]*$I$3</f>
        <v>33.207058627771801</v>
      </c>
      <c r="E8">
        <v>26</v>
      </c>
      <c r="F8">
        <f>ABS(TableLIV[[#This Row],[PP]]-TableLIV[[#This Row],[AP]])</f>
        <v>7.2070586277718007</v>
      </c>
    </row>
    <row r="9" spans="1:9" x14ac:dyDescent="0.2">
      <c r="A9" t="s">
        <v>118</v>
      </c>
      <c r="B9">
        <v>37.500000000000007</v>
      </c>
      <c r="C9">
        <v>32</v>
      </c>
      <c r="D9">
        <f>TableLIV[[#This Row],[ARIMAPP]]*$I$2+TableLIV[[#This Row],[LSTMPP]]*$I$3</f>
        <v>34.570817417579207</v>
      </c>
      <c r="E9">
        <v>40</v>
      </c>
      <c r="F9">
        <f>ABS(TableLIV[[#This Row],[PP]]-TableLIV[[#This Row],[AP]])</f>
        <v>5.4291825824207933</v>
      </c>
    </row>
    <row r="10" spans="1:9" x14ac:dyDescent="0.2">
      <c r="A10" t="s">
        <v>119</v>
      </c>
      <c r="B10">
        <v>39.047619047619037</v>
      </c>
      <c r="C10">
        <v>31.875</v>
      </c>
      <c r="D10">
        <f>TableLIV[[#This Row],[ARIMAPP]]*$I$2+TableLIV[[#This Row],[LSTMPP]]*$I$3</f>
        <v>35.308571055877124</v>
      </c>
      <c r="E10">
        <v>31</v>
      </c>
      <c r="F10">
        <f>ABS(TableLIV[[#This Row],[PP]]-TableLIV[[#This Row],[AP]])</f>
        <v>4.308571055877124</v>
      </c>
    </row>
    <row r="11" spans="1:9" x14ac:dyDescent="0.2">
      <c r="A11" t="s">
        <v>120</v>
      </c>
      <c r="B11">
        <v>38.915947635221833</v>
      </c>
      <c r="C11">
        <v>35.34101289340424</v>
      </c>
      <c r="D11">
        <f>TableLIV[[#This Row],[ARIMAPP]]*$I$2+TableLIV[[#This Row],[LSTMPP]]*$I$3</f>
        <v>36.892609571425695</v>
      </c>
      <c r="E11">
        <v>23</v>
      </c>
      <c r="F11">
        <f>ABS(TableLIV[[#This Row],[PP]]-TableLIV[[#This Row],[AP]])</f>
        <v>13.892609571425695</v>
      </c>
    </row>
    <row r="12" spans="1:9" x14ac:dyDescent="0.2">
      <c r="A12" t="s">
        <v>121</v>
      </c>
      <c r="B12">
        <v>38.33333333333335</v>
      </c>
      <c r="C12">
        <v>41.661083842733817</v>
      </c>
      <c r="D12">
        <f>TableLIV[[#This Row],[ARIMAPP]]*$I$2+TableLIV[[#This Row],[LSTMPP]]*$I$3</f>
        <v>39.604546124716151</v>
      </c>
      <c r="E12">
        <v>42</v>
      </c>
      <c r="F12">
        <f>ABS(TableLIV[[#This Row],[PP]]-TableLIV[[#This Row],[AP]])</f>
        <v>2.3954538752838488</v>
      </c>
    </row>
    <row r="13" spans="1:9" x14ac:dyDescent="0.2">
      <c r="A13" t="s">
        <v>122</v>
      </c>
      <c r="B13">
        <v>26.666666666666671</v>
      </c>
      <c r="C13">
        <v>22.5</v>
      </c>
      <c r="D13">
        <f>TableLIV[[#This Row],[ARIMAPP]]*$I$2+TableLIV[[#This Row],[LSTMPP]]*$I$3</f>
        <v>24.461896569238803</v>
      </c>
      <c r="E13">
        <v>22</v>
      </c>
      <c r="F13">
        <f>ABS(TableLIV[[#This Row],[PP]]-TableLIV[[#This Row],[AP]])</f>
        <v>2.4618965692388031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123</v>
      </c>
      <c r="B2">
        <v>17.99999997694357</v>
      </c>
      <c r="C2">
        <v>20</v>
      </c>
      <c r="D2">
        <f>TableLUT[[#This Row],[ARIMAPP]]*$I$2+TableLUT[[#This Row],[LSTMPP]]*$I$3</f>
        <v>19.835768074680644</v>
      </c>
      <c r="E2">
        <v>22</v>
      </c>
      <c r="F2">
        <f>ABS(TableLUT[[#This Row],[PP]]-TableLUT[[#This Row],[AP]])</f>
        <v>2.1642319253193563</v>
      </c>
      <c r="H2" t="s">
        <v>0</v>
      </c>
      <c r="I2">
        <v>0.52502466628205124</v>
      </c>
    </row>
    <row r="3" spans="1:9" x14ac:dyDescent="0.2">
      <c r="A3" t="s">
        <v>124</v>
      </c>
      <c r="B3">
        <v>15.999999994981559</v>
      </c>
      <c r="C3">
        <v>20</v>
      </c>
      <c r="D3">
        <f>TableLUT[[#This Row],[ARIMAPP]]*$I$2+TableLUT[[#This Row],[LSTMPP]]*$I$3</f>
        <v>18.785718751586934</v>
      </c>
      <c r="E3">
        <v>31</v>
      </c>
      <c r="F3">
        <f>ABS(TableLUT[[#This Row],[PP]]-TableLUT[[#This Row],[AP]])</f>
        <v>12.214281248413066</v>
      </c>
      <c r="H3" t="s">
        <v>1</v>
      </c>
      <c r="I3">
        <v>0.51926620468544582</v>
      </c>
    </row>
    <row r="4" spans="1:9" x14ac:dyDescent="0.2">
      <c r="A4" t="s">
        <v>125</v>
      </c>
      <c r="B4">
        <v>42.858190666165093</v>
      </c>
      <c r="C4">
        <v>33.323274289752277</v>
      </c>
      <c r="D4">
        <f>TableLUT[[#This Row],[ARIMAPP]]*$I$2+TableLUT[[#This Row],[LSTMPP]]*$I$3</f>
        <v>39.805257420087614</v>
      </c>
      <c r="E4">
        <v>20</v>
      </c>
      <c r="F4">
        <f>ABS(TableLUT[[#This Row],[PP]]-TableLUT[[#This Row],[AP]])</f>
        <v>19.805257420087614</v>
      </c>
    </row>
    <row r="5" spans="1:9" x14ac:dyDescent="0.2">
      <c r="A5" t="s">
        <v>126</v>
      </c>
      <c r="B5">
        <v>17.5</v>
      </c>
      <c r="C5">
        <v>20</v>
      </c>
      <c r="D5">
        <f>TableLUT[[#This Row],[ARIMAPP]]*$I$2+TableLUT[[#This Row],[LSTMPP]]*$I$3</f>
        <v>19.573255753644816</v>
      </c>
      <c r="E5">
        <v>25</v>
      </c>
      <c r="F5">
        <f>ABS(TableLUT[[#This Row],[PP]]-TableLUT[[#This Row],[AP]])</f>
        <v>5.4267442463551845</v>
      </c>
      <c r="H5" t="s">
        <v>2</v>
      </c>
      <c r="I5" cm="1">
        <f t="array" ref="I5">(SUM(TableLUT[PP]-TableLUT[AP]))^2</f>
        <v>5.0487097934144756E-29</v>
      </c>
    </row>
    <row r="7" spans="1:9" x14ac:dyDescent="0.2">
      <c r="H7" t="s">
        <v>3</v>
      </c>
      <c r="I7">
        <f>AVERAGE(TableLUT[DIFF])/10</f>
        <v>0.99026287100438048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127</v>
      </c>
      <c r="B2">
        <v>39.846227021976809</v>
      </c>
      <c r="C2">
        <v>34.721435692568278</v>
      </c>
      <c r="D2">
        <f>TableMCI[[#This Row],[ARIMAPP]]*$I$2+TableMCI[[#This Row],[LSTMPP]]*$I$3</f>
        <v>34.207214757011471</v>
      </c>
      <c r="E2">
        <v>27</v>
      </c>
      <c r="F2">
        <f>ABS(TableMCI[[#This Row],[PP]]-TableMCI[[#This Row],[AP]])</f>
        <v>7.2072147570114709</v>
      </c>
      <c r="H2" t="s">
        <v>0</v>
      </c>
      <c r="I2">
        <v>0.4808530433333138</v>
      </c>
    </row>
    <row r="3" spans="1:9" x14ac:dyDescent="0.2">
      <c r="A3" t="s">
        <v>128</v>
      </c>
      <c r="B3">
        <v>39.14728682170545</v>
      </c>
      <c r="C3">
        <v>37.001232480259922</v>
      </c>
      <c r="D3">
        <f>TableMCI[[#This Row],[ARIMAPP]]*$I$2+TableMCI[[#This Row],[LSTMPP]]*$I$3</f>
        <v>34.859110072672898</v>
      </c>
      <c r="E3">
        <v>21</v>
      </c>
      <c r="F3">
        <f>ABS(TableMCI[[#This Row],[PP]]-TableMCI[[#This Row],[AP]])</f>
        <v>13.859110072672898</v>
      </c>
      <c r="H3" t="s">
        <v>1</v>
      </c>
      <c r="I3">
        <v>0.43336443116505241</v>
      </c>
    </row>
    <row r="4" spans="1:9" x14ac:dyDescent="0.2">
      <c r="A4" t="s">
        <v>129</v>
      </c>
      <c r="B4">
        <v>32.564102564102562</v>
      </c>
      <c r="C4">
        <v>30.268817204301079</v>
      </c>
      <c r="D4">
        <f>TableMCI[[#This Row],[ARIMAPP]]*$I$2+TableMCI[[#This Row],[LSTMPP]]*$I$3</f>
        <v>28.775976571147773</v>
      </c>
      <c r="E4">
        <v>33</v>
      </c>
      <c r="F4">
        <f>ABS(TableMCI[[#This Row],[PP]]-TableMCI[[#This Row],[AP]])</f>
        <v>4.2240234288522274</v>
      </c>
    </row>
    <row r="5" spans="1:9" x14ac:dyDescent="0.2">
      <c r="A5" t="s">
        <v>130</v>
      </c>
      <c r="B5">
        <v>49.864293168275452</v>
      </c>
      <c r="C5">
        <v>42.991571490490387</v>
      </c>
      <c r="D5">
        <f>TableMCI[[#This Row],[ARIMAPP]]*$I$2+TableMCI[[#This Row],[LSTMPP]]*$I$3</f>
        <v>42.608415047497871</v>
      </c>
      <c r="E5">
        <v>37</v>
      </c>
      <c r="F5">
        <f>ABS(TableMCI[[#This Row],[PP]]-TableMCI[[#This Row],[AP]])</f>
        <v>5.6084150474978713</v>
      </c>
      <c r="H5" t="s">
        <v>2</v>
      </c>
      <c r="I5" cm="1">
        <f t="array" ref="I5">(SUM(TableMCI[PP]-TableMCI[AP]))^2</f>
        <v>8.0779356694631609E-28</v>
      </c>
    </row>
    <row r="6" spans="1:9" x14ac:dyDescent="0.2">
      <c r="A6" t="s">
        <v>131</v>
      </c>
      <c r="B6">
        <v>35.394711487186541</v>
      </c>
      <c r="C6">
        <v>29.29245283018868</v>
      </c>
      <c r="D6">
        <f>TableMCI[[#This Row],[ARIMAPP]]*$I$2+TableMCI[[#This Row],[LSTMPP]]*$I$3</f>
        <v>29.713961894702095</v>
      </c>
      <c r="E6">
        <v>23</v>
      </c>
      <c r="F6">
        <f>ABS(TableMCI[[#This Row],[PP]]-TableMCI[[#This Row],[AP]])</f>
        <v>6.7139618947020949</v>
      </c>
    </row>
    <row r="7" spans="1:9" x14ac:dyDescent="0.2">
      <c r="A7" t="s">
        <v>132</v>
      </c>
      <c r="B7">
        <v>82.344849188075159</v>
      </c>
      <c r="C7">
        <v>77.565257214976484</v>
      </c>
      <c r="D7">
        <f>TableMCI[[#This Row],[ARIMAPP]]*$I$2+TableMCI[[#This Row],[LSTMPP]]*$I$3</f>
        <v>73.209794906047961</v>
      </c>
      <c r="E7">
        <v>67</v>
      </c>
      <c r="F7">
        <f>ABS(TableMCI[[#This Row],[PP]]-TableMCI[[#This Row],[AP]])</f>
        <v>6.2097949060479607</v>
      </c>
      <c r="H7" t="s">
        <v>3</v>
      </c>
      <c r="I7">
        <f>AVERAGE(TableMCI[DIFF])/10</f>
        <v>0.94886548254601699</v>
      </c>
    </row>
    <row r="8" spans="1:9" x14ac:dyDescent="0.2">
      <c r="A8" t="s">
        <v>133</v>
      </c>
      <c r="B8">
        <v>29.938298459573311</v>
      </c>
      <c r="C8">
        <v>31.481481481481481</v>
      </c>
      <c r="D8">
        <f>TableMCI[[#This Row],[ARIMAPP]]*$I$2+TableMCI[[#This Row],[LSTMPP]]*$I$3</f>
        <v>28.038876240962239</v>
      </c>
      <c r="E8">
        <v>58</v>
      </c>
      <c r="F8">
        <f>ABS(TableMCI[[#This Row],[PP]]-TableMCI[[#This Row],[AP]])</f>
        <v>29.961123759037761</v>
      </c>
    </row>
    <row r="9" spans="1:9" x14ac:dyDescent="0.2">
      <c r="A9" t="s">
        <v>134</v>
      </c>
      <c r="B9">
        <v>35.149486820237463</v>
      </c>
      <c r="C9">
        <v>27.321428571428569</v>
      </c>
      <c r="D9">
        <f>TableMCI[[#This Row],[ARIMAPP]]*$I$2+TableMCI[[#This Row],[LSTMPP]]*$I$3</f>
        <v>28.741873060589143</v>
      </c>
      <c r="E9">
        <v>42</v>
      </c>
      <c r="F9">
        <f>ABS(TableMCI[[#This Row],[PP]]-TableMCI[[#This Row],[AP]])</f>
        <v>13.258126939410857</v>
      </c>
    </row>
    <row r="10" spans="1:9" x14ac:dyDescent="0.2">
      <c r="A10" t="s">
        <v>135</v>
      </c>
      <c r="B10">
        <v>32.210951303526024</v>
      </c>
      <c r="C10">
        <v>28.409090909090899</v>
      </c>
      <c r="D10">
        <f>TableMCI[[#This Row],[ARIMAPP]]*$I$2+TableMCI[[#This Row],[LSTMPP]]*$I$3</f>
        <v>27.800223484696097</v>
      </c>
      <c r="E10">
        <v>21</v>
      </c>
      <c r="F10">
        <f>ABS(TableMCI[[#This Row],[PP]]-TableMCI[[#This Row],[AP]])</f>
        <v>6.8002234846960974</v>
      </c>
    </row>
    <row r="11" spans="1:9" x14ac:dyDescent="0.2">
      <c r="A11" t="s">
        <v>136</v>
      </c>
      <c r="B11">
        <v>32.068965517241359</v>
      </c>
      <c r="C11">
        <v>29.130434782608699</v>
      </c>
      <c r="D11">
        <f>TableMCI[[#This Row],[ARIMAPP]]*$I$2+TableMCI[[#This Row],[LSTMPP]]*$I$3</f>
        <v>28.044553964672481</v>
      </c>
      <c r="E11">
        <v>27</v>
      </c>
      <c r="F11">
        <f>ABS(TableMCI[[#This Row],[PP]]-TableMCI[[#This Row],[AP]])</f>
        <v>1.0445539646724811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137</v>
      </c>
      <c r="B2">
        <v>37.252747252747227</v>
      </c>
      <c r="C2">
        <v>38.215478738723839</v>
      </c>
      <c r="D2">
        <f>TableMUN[[#This Row],[ARIMAPP]]*$I$2+TableMUN[[#This Row],[LSTMPP]]*$I$3</f>
        <v>38.124430192026793</v>
      </c>
      <c r="E2">
        <v>28</v>
      </c>
      <c r="F2">
        <f>ABS(TableMUN[[#This Row],[PP]]-TableMUN[[#This Row],[AP]])</f>
        <v>10.124430192026793</v>
      </c>
      <c r="H2" t="s">
        <v>0</v>
      </c>
      <c r="I2">
        <v>0.51024129719677902</v>
      </c>
    </row>
    <row r="3" spans="1:9" x14ac:dyDescent="0.2">
      <c r="A3" t="s">
        <v>138</v>
      </c>
      <c r="B3">
        <v>30.14229593705026</v>
      </c>
      <c r="C3">
        <v>30.3448275862069</v>
      </c>
      <c r="D3">
        <f>TableMUN[[#This Row],[ARIMAPP]]*$I$2+TableMUN[[#This Row],[LSTMPP]]*$I$3</f>
        <v>30.559246160420876</v>
      </c>
      <c r="E3">
        <v>36</v>
      </c>
      <c r="F3">
        <f>ABS(TableMUN[[#This Row],[PP]]-TableMUN[[#This Row],[AP]])</f>
        <v>5.4407538395791235</v>
      </c>
      <c r="H3" t="s">
        <v>1</v>
      </c>
      <c r="I3">
        <v>0.50023029255604923</v>
      </c>
    </row>
    <row r="4" spans="1:9" x14ac:dyDescent="0.2">
      <c r="A4" t="s">
        <v>139</v>
      </c>
      <c r="B4">
        <v>46.688311688311678</v>
      </c>
      <c r="C4">
        <v>45.286533799970478</v>
      </c>
      <c r="D4">
        <f>TableMUN[[#This Row],[ARIMAPP]]*$I$2+TableMUN[[#This Row],[LSTMPP]]*$I$3</f>
        <v>46.476000771380335</v>
      </c>
      <c r="E4">
        <v>26</v>
      </c>
      <c r="F4">
        <f>ABS(TableMUN[[#This Row],[PP]]-TableMUN[[#This Row],[AP]])</f>
        <v>20.476000771380335</v>
      </c>
    </row>
    <row r="5" spans="1:9" x14ac:dyDescent="0.2">
      <c r="A5" t="s">
        <v>140</v>
      </c>
      <c r="B5">
        <v>23.87096774193548</v>
      </c>
      <c r="C5">
        <v>27.171717171717169</v>
      </c>
      <c r="D5">
        <f>TableMUN[[#This Row],[ARIMAPP]]*$I$2+TableMUN[[#This Row],[LSTMPP]]*$I$3</f>
        <v>25.772069576045933</v>
      </c>
      <c r="E5">
        <v>53</v>
      </c>
      <c r="F5">
        <f>ABS(TableMUN[[#This Row],[PP]]-TableMUN[[#This Row],[AP]])</f>
        <v>27.227930423954067</v>
      </c>
      <c r="H5" t="s">
        <v>2</v>
      </c>
      <c r="I5" cm="1">
        <f t="array" ref="I5">(SUM(TableMUN[PP]-TableMUN[AP]))^2</f>
        <v>2.0194839173657902E-28</v>
      </c>
    </row>
    <row r="6" spans="1:9" x14ac:dyDescent="0.2">
      <c r="A6" t="s">
        <v>141</v>
      </c>
      <c r="B6">
        <v>29.984571264041019</v>
      </c>
      <c r="C6">
        <v>31.828871843073109</v>
      </c>
      <c r="D6">
        <f>TableMUN[[#This Row],[ARIMAPP]]*$I$2+TableMUN[[#This Row],[LSTMPP]]*$I$3</f>
        <v>31.221132411443012</v>
      </c>
      <c r="E6">
        <v>40</v>
      </c>
      <c r="F6">
        <f>ABS(TableMUN[[#This Row],[PP]]-TableMUN[[#This Row],[AP]])</f>
        <v>8.778867588556988</v>
      </c>
    </row>
    <row r="7" spans="1:9" x14ac:dyDescent="0.2">
      <c r="A7" t="s">
        <v>142</v>
      </c>
      <c r="B7">
        <v>43.4579439252336</v>
      </c>
      <c r="C7">
        <v>37.882352941176471</v>
      </c>
      <c r="D7">
        <f>TableMUN[[#This Row],[ARIMAPP]]*$I$2+TableMUN[[#This Row],[LSTMPP]]*$I$3</f>
        <v>41.123938176392294</v>
      </c>
      <c r="E7">
        <v>21</v>
      </c>
      <c r="F7">
        <f>ABS(TableMUN[[#This Row],[PP]]-TableMUN[[#This Row],[AP]])</f>
        <v>20.123938176392294</v>
      </c>
      <c r="H7" t="s">
        <v>3</v>
      </c>
      <c r="I7">
        <f>AVERAGE(TableMUN[DIFF])/10</f>
        <v>1.1908495081351653</v>
      </c>
    </row>
    <row r="8" spans="1:9" x14ac:dyDescent="0.2">
      <c r="A8" t="s">
        <v>143</v>
      </c>
      <c r="B8">
        <v>43.719721608650261</v>
      </c>
      <c r="C8">
        <v>43.00119189177034</v>
      </c>
      <c r="D8">
        <f>TableMUN[[#This Row],[ARIMAPP]]*$I$2+TableMUN[[#This Row],[LSTMPP]]*$I$3</f>
        <v>43.81810626695885</v>
      </c>
      <c r="E8">
        <v>35</v>
      </c>
      <c r="F8">
        <f>ABS(TableMUN[[#This Row],[PP]]-TableMUN[[#This Row],[AP]])</f>
        <v>8.8181062669588499</v>
      </c>
    </row>
    <row r="9" spans="1:9" x14ac:dyDescent="0.2">
      <c r="A9" t="s">
        <v>144</v>
      </c>
      <c r="B9">
        <v>35.172413793103438</v>
      </c>
      <c r="C9">
        <v>34.320236200358181</v>
      </c>
      <c r="D9">
        <f>TableMUN[[#This Row],[ARIMAPP]]*$I$2+TableMUN[[#This Row],[LSTMPP]]*$I$3</f>
        <v>35.114439834432865</v>
      </c>
      <c r="E9">
        <v>44</v>
      </c>
      <c r="F9">
        <f>ABS(TableMUN[[#This Row],[PP]]-TableMUN[[#This Row],[AP]])</f>
        <v>8.885560165567135</v>
      </c>
    </row>
    <row r="10" spans="1:9" x14ac:dyDescent="0.2">
      <c r="A10" t="s">
        <v>145</v>
      </c>
      <c r="B10">
        <v>22.150525459278729</v>
      </c>
      <c r="C10">
        <v>22.1875</v>
      </c>
      <c r="D10">
        <f>TableMUN[[#This Row],[ARIMAPP]]*$I$2+TableMUN[[#This Row],[LSTMPP]]*$I$3</f>
        <v>22.40097246002</v>
      </c>
      <c r="E10">
        <v>25</v>
      </c>
      <c r="F10">
        <f>ABS(TableMUN[[#This Row],[PP]]-TableMUN[[#This Row],[AP]])</f>
        <v>2.5990275399799998</v>
      </c>
    </row>
    <row r="11" spans="1:9" x14ac:dyDescent="0.2">
      <c r="A11" t="s">
        <v>146</v>
      </c>
      <c r="B11">
        <v>33.33333333333335</v>
      </c>
      <c r="C11">
        <v>28.75</v>
      </c>
      <c r="D11">
        <f>TableMUN[[#This Row],[ARIMAPP]]*$I$2+TableMUN[[#This Row],[LSTMPP]]*$I$3</f>
        <v>31.389664150879057</v>
      </c>
      <c r="E11">
        <v>38</v>
      </c>
      <c r="F11">
        <f>ABS(TableMUN[[#This Row],[PP]]-TableMUN[[#This Row],[AP]])</f>
        <v>6.6103358491209434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3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104</v>
      </c>
      <c r="B2">
        <v>46.014492753623188</v>
      </c>
      <c r="C2">
        <v>37.5</v>
      </c>
      <c r="D2">
        <f>TableNEW[[#This Row],[ARIMAPP]]*$I$2+TableNEW[[#This Row],[LSTMPP]]*$I$3</f>
        <v>49.341170834338996</v>
      </c>
      <c r="E2">
        <v>45</v>
      </c>
      <c r="F2">
        <f>ABS(TableNEW[[#This Row],[PP]]-TableNEW[[#This Row],[AP]])</f>
        <v>4.3411708343389961</v>
      </c>
      <c r="H2" t="s">
        <v>0</v>
      </c>
      <c r="I2">
        <v>0.60825948901806615</v>
      </c>
    </row>
    <row r="3" spans="1:9" x14ac:dyDescent="0.2">
      <c r="A3" t="s">
        <v>147</v>
      </c>
      <c r="B3">
        <v>54.542125899709333</v>
      </c>
      <c r="C3">
        <v>39.322033898305079</v>
      </c>
      <c r="D3">
        <f>TableNEW[[#This Row],[ARIMAPP]]*$I$2+TableNEW[[#This Row],[LSTMPP]]*$I$3</f>
        <v>55.565646779664064</v>
      </c>
      <c r="E3">
        <v>51</v>
      </c>
      <c r="F3">
        <f>ABS(TableNEW[[#This Row],[PP]]-TableNEW[[#This Row],[AP]])</f>
        <v>4.5656467796640641</v>
      </c>
      <c r="H3" t="s">
        <v>1</v>
      </c>
      <c r="I3">
        <v>0.56939783958919066</v>
      </c>
    </row>
    <row r="4" spans="1:9" x14ac:dyDescent="0.2">
      <c r="A4" t="s">
        <v>148</v>
      </c>
      <c r="B4">
        <v>32.690001505046148</v>
      </c>
      <c r="C4">
        <v>30.4</v>
      </c>
      <c r="D4">
        <f>TableNEW[[#This Row],[ARIMAPP]]*$I$2+TableNEW[[#This Row],[LSTMPP]]*$I$3</f>
        <v>37.193697934970572</v>
      </c>
      <c r="E4">
        <v>35</v>
      </c>
      <c r="F4">
        <f>ABS(TableNEW[[#This Row],[PP]]-TableNEW[[#This Row],[AP]])</f>
        <v>2.1936979349705723</v>
      </c>
    </row>
    <row r="5" spans="1:9" x14ac:dyDescent="0.2">
      <c r="A5" t="s">
        <v>149</v>
      </c>
      <c r="B5">
        <v>22.410714285714288</v>
      </c>
      <c r="C5">
        <v>25.617977528089892</v>
      </c>
      <c r="D5">
        <f>TableNEW[[#This Row],[ARIMAPP]]*$I$2+TableNEW[[#This Row],[LSTMPP]]*$I$3</f>
        <v>28.218350679097266</v>
      </c>
      <c r="E5">
        <v>35</v>
      </c>
      <c r="F5">
        <f>ABS(TableNEW[[#This Row],[PP]]-TableNEW[[#This Row],[AP]])</f>
        <v>6.7816493209027335</v>
      </c>
      <c r="H5" t="s">
        <v>2</v>
      </c>
      <c r="I5" cm="1">
        <f t="array" ref="I5">(SUM(TableNEW[PP]-TableNEW[AP]))^2</f>
        <v>1.8175355256292112E-27</v>
      </c>
    </row>
    <row r="6" spans="1:9" x14ac:dyDescent="0.2">
      <c r="A6" t="s">
        <v>150</v>
      </c>
      <c r="B6">
        <v>29.10569105691059</v>
      </c>
      <c r="C6">
        <v>29.030612244897959</v>
      </c>
      <c r="D6">
        <f>TableNEW[[#This Row],[ARIMAPP]]*$I$2+TableNEW[[#This Row],[LSTMPP]]*$I$3</f>
        <v>34.233780663990537</v>
      </c>
      <c r="E6">
        <v>35</v>
      </c>
      <c r="F6">
        <f>ABS(TableNEW[[#This Row],[PP]]-TableNEW[[#This Row],[AP]])</f>
        <v>0.76621933600946335</v>
      </c>
    </row>
    <row r="7" spans="1:9" x14ac:dyDescent="0.2">
      <c r="A7" t="s">
        <v>151</v>
      </c>
      <c r="B7">
        <v>32.519764342352062</v>
      </c>
      <c r="C7">
        <v>26.203703703703699</v>
      </c>
      <c r="D7">
        <f>TableNEW[[#This Row],[ARIMAPP]]*$I$2+TableNEW[[#This Row],[LSTMPP]]*$I$3</f>
        <v>34.700787519991152</v>
      </c>
      <c r="E7">
        <v>34</v>
      </c>
      <c r="F7">
        <f>ABS(TableNEW[[#This Row],[PP]]-TableNEW[[#This Row],[AP]])</f>
        <v>0.70078751999115241</v>
      </c>
      <c r="H7" t="s">
        <v>3</v>
      </c>
      <c r="I7">
        <f>AVERAGE(TableNEW[DIFF])/10</f>
        <v>0.85973169159106766</v>
      </c>
    </row>
    <row r="8" spans="1:9" x14ac:dyDescent="0.2">
      <c r="A8" t="s">
        <v>152</v>
      </c>
      <c r="B8">
        <v>40.746675280074868</v>
      </c>
      <c r="C8">
        <v>35.648148148148159</v>
      </c>
      <c r="D8">
        <f>TableNEW[[#This Row],[ARIMAPP]]*$I$2+TableNEW[[#This Row],[LSTMPP]]*$I$3</f>
        <v>45.082530425954374</v>
      </c>
      <c r="E8">
        <v>47</v>
      </c>
      <c r="F8">
        <f>ABS(TableNEW[[#This Row],[PP]]-TableNEW[[#This Row],[AP]])</f>
        <v>1.9174695740456258</v>
      </c>
    </row>
    <row r="9" spans="1:9" x14ac:dyDescent="0.2">
      <c r="A9" t="s">
        <v>153</v>
      </c>
      <c r="B9">
        <v>24.874999999999989</v>
      </c>
      <c r="C9">
        <v>26.5625</v>
      </c>
      <c r="D9">
        <f>TableNEW[[#This Row],[ARIMAPP]]*$I$2+TableNEW[[#This Row],[LSTMPP]]*$I$3</f>
        <v>30.255084903412268</v>
      </c>
      <c r="E9">
        <v>63</v>
      </c>
      <c r="F9">
        <f>ABS(TableNEW[[#This Row],[PP]]-TableNEW[[#This Row],[AP]])</f>
        <v>32.744915096587732</v>
      </c>
    </row>
    <row r="10" spans="1:9" x14ac:dyDescent="0.2">
      <c r="A10" t="s">
        <v>154</v>
      </c>
      <c r="B10">
        <v>10.95238094850794</v>
      </c>
      <c r="C10">
        <v>17.5</v>
      </c>
      <c r="D10">
        <f>TableNEW[[#This Row],[ARIMAPP]]*$I$2+TableNEW[[#This Row],[LSTMPP]]*$I$3</f>
        <v>16.626351832081479</v>
      </c>
      <c r="E10">
        <v>26</v>
      </c>
      <c r="F10">
        <f>ABS(TableNEW[[#This Row],[PP]]-TableNEW[[#This Row],[AP]])</f>
        <v>9.3736481679185211</v>
      </c>
    </row>
    <row r="11" spans="1:9" x14ac:dyDescent="0.2">
      <c r="A11" t="s">
        <v>155</v>
      </c>
      <c r="B11">
        <v>33.061224489795933</v>
      </c>
      <c r="C11">
        <v>36.405032831392873</v>
      </c>
      <c r="D11">
        <f>TableNEW[[#This Row],[ARIMAPP]]*$I$2+TableNEW[[#This Row],[LSTMPP]]*$I$3</f>
        <v>40.838750558843508</v>
      </c>
      <c r="E11">
        <v>33</v>
      </c>
      <c r="F11">
        <f>ABS(TableNEW[[#This Row],[PP]]-TableNEW[[#This Row],[AP]])</f>
        <v>7.8387505588435076</v>
      </c>
    </row>
    <row r="12" spans="1:9" x14ac:dyDescent="0.2">
      <c r="A12" t="s">
        <v>156</v>
      </c>
      <c r="B12">
        <v>42.819546475199182</v>
      </c>
      <c r="C12">
        <v>48.761929663312984</v>
      </c>
      <c r="D12">
        <f>TableNEW[[#This Row],[ARIMAPP]]*$I$2+TableNEW[[#This Row],[LSTMPP]]*$I$3</f>
        <v>53.810332863480475</v>
      </c>
      <c r="E12">
        <v>31</v>
      </c>
      <c r="F12">
        <f>ABS(TableNEW[[#This Row],[PP]]-TableNEW[[#This Row],[AP]])</f>
        <v>22.810332863480475</v>
      </c>
    </row>
    <row r="13" spans="1:9" x14ac:dyDescent="0.2">
      <c r="A13" t="s">
        <v>157</v>
      </c>
      <c r="B13">
        <v>49.090909090909072</v>
      </c>
      <c r="C13">
        <v>39.117647058823529</v>
      </c>
      <c r="D13">
        <f>TableNEW[[#This Row],[ARIMAPP]]*$I$2+TableNEW[[#This Row],[LSTMPP]]*$I$3</f>
        <v>52.133515004175266</v>
      </c>
      <c r="E13">
        <v>43</v>
      </c>
      <c r="F13">
        <f>ABS(TableNEW[[#This Row],[PP]]-TableNEW[[#This Row],[AP]])</f>
        <v>9.1335150041752655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8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158</v>
      </c>
      <c r="B2">
        <v>33.511138693101579</v>
      </c>
      <c r="C2">
        <v>36.83857449468605</v>
      </c>
      <c r="D2">
        <f>TableNFO[[#This Row],[ARIMAPP]]*$I$2+TableNFO[[#This Row],[LSTMPP]]*$I$3</f>
        <v>41.449259708245251</v>
      </c>
      <c r="E2">
        <v>25</v>
      </c>
      <c r="F2">
        <f>ABS(TableNFO[[#This Row],[PP]]-TableNFO[[#This Row],[AP]])</f>
        <v>16.449259708245251</v>
      </c>
      <c r="H2" t="s">
        <v>0</v>
      </c>
      <c r="I2">
        <v>0.60417559999587056</v>
      </c>
    </row>
    <row r="3" spans="1:9" x14ac:dyDescent="0.2">
      <c r="A3" t="s">
        <v>159</v>
      </c>
      <c r="B3">
        <v>37.950733520104038</v>
      </c>
      <c r="C3">
        <v>26.08695652173914</v>
      </c>
      <c r="D3">
        <f>TableNFO[[#This Row],[ARIMAPP]]*$I$2+TableNFO[[#This Row],[LSTMPP]]*$I$3</f>
        <v>37.943400778805895</v>
      </c>
      <c r="E3">
        <v>32</v>
      </c>
      <c r="F3">
        <f>ABS(TableNFO[[#This Row],[PP]]-TableNFO[[#This Row],[AP]])</f>
        <v>5.9434007788058949</v>
      </c>
      <c r="H3" t="s">
        <v>1</v>
      </c>
      <c r="I3">
        <v>0.57555558738718959</v>
      </c>
    </row>
    <row r="4" spans="1:9" x14ac:dyDescent="0.2">
      <c r="A4" t="s">
        <v>160</v>
      </c>
      <c r="B4">
        <v>33.636363636363633</v>
      </c>
      <c r="C4">
        <v>32.904433463236487</v>
      </c>
      <c r="D4">
        <f>TableNFO[[#This Row],[ARIMAPP]]*$I$2+TableNFO[[#This Row],[LSTMPP]]*$I$3</f>
        <v>39.260600711255051</v>
      </c>
      <c r="E4">
        <v>36</v>
      </c>
      <c r="F4">
        <f>ABS(TableNFO[[#This Row],[PP]]-TableNFO[[#This Row],[AP]])</f>
        <v>3.2606007112550515</v>
      </c>
    </row>
    <row r="5" spans="1:9" x14ac:dyDescent="0.2">
      <c r="A5" t="s">
        <v>161</v>
      </c>
      <c r="B5">
        <v>28.78184996314538</v>
      </c>
      <c r="C5">
        <v>24.84375</v>
      </c>
      <c r="D5">
        <f>TableNFO[[#This Row],[ARIMAPP]]*$I$2+TableNFO[[#This Row],[LSTMPP]]*$I$3</f>
        <v>31.688250594624975</v>
      </c>
      <c r="E5">
        <v>36</v>
      </c>
      <c r="F5">
        <f>ABS(TableNFO[[#This Row],[PP]]-TableNFO[[#This Row],[AP]])</f>
        <v>4.3117494053750249</v>
      </c>
      <c r="H5" t="s">
        <v>2</v>
      </c>
      <c r="I5" cm="1">
        <f t="array" ref="I5">(SUM(TableNFO[PP]-TableNFO[AP]))^2</f>
        <v>3.1554436208840472E-28</v>
      </c>
    </row>
    <row r="6" spans="1:9" x14ac:dyDescent="0.2">
      <c r="A6" t="s">
        <v>162</v>
      </c>
      <c r="B6">
        <v>18.064516129032249</v>
      </c>
      <c r="C6">
        <v>23.541666666666671</v>
      </c>
      <c r="D6">
        <f>TableNFO[[#This Row],[ARIMAPP]]*$I$2+TableNFO[[#This Row],[LSTMPP]]*$I$3</f>
        <v>24.463677657299897</v>
      </c>
      <c r="E6">
        <v>26</v>
      </c>
      <c r="F6">
        <f>ABS(TableNFO[[#This Row],[PP]]-TableNFO[[#This Row],[AP]])</f>
        <v>1.5363223427001031</v>
      </c>
    </row>
    <row r="7" spans="1:9" x14ac:dyDescent="0.2">
      <c r="A7" t="s">
        <v>163</v>
      </c>
      <c r="B7">
        <v>38.076923076923073</v>
      </c>
      <c r="C7">
        <v>28.25</v>
      </c>
      <c r="D7">
        <f>TableNFO[[#This Row],[ARIMAPP]]*$I$2+TableNFO[[#This Row],[LSTMPP]]*$I$3</f>
        <v>39.264593189684717</v>
      </c>
      <c r="E7">
        <v>42</v>
      </c>
      <c r="F7">
        <f>ABS(TableNFO[[#This Row],[PP]]-TableNFO[[#This Row],[AP]])</f>
        <v>2.7354068103152827</v>
      </c>
      <c r="H7" t="s">
        <v>3</v>
      </c>
      <c r="I7">
        <f>AVERAGE(TableNFO[DIFF])/10</f>
        <v>0.73295031995160587</v>
      </c>
    </row>
    <row r="8" spans="1:9" x14ac:dyDescent="0.2">
      <c r="A8" t="s">
        <v>164</v>
      </c>
      <c r="B8">
        <v>13.888888888888889</v>
      </c>
      <c r="C8">
        <v>21.785714285714281</v>
      </c>
      <c r="D8">
        <f>TableNFO[[#This Row],[ARIMAPP]]*$I$2+TableNFO[[#This Row],[LSTMPP]]*$I$3</f>
        <v>20.930217360084196</v>
      </c>
      <c r="E8">
        <v>38</v>
      </c>
      <c r="F8">
        <f>ABS(TableNFO[[#This Row],[PP]]-TableNFO[[#This Row],[AP]])</f>
        <v>17.069782639915804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165</v>
      </c>
      <c r="B2">
        <v>18.424978946776911</v>
      </c>
      <c r="C2">
        <v>26.05263157894737</v>
      </c>
      <c r="D2">
        <f>TableSHU[[#This Row],[ARIMAPP]]*$I$2+TableSHU[[#This Row],[LSTMPP]]*$I$3</f>
        <v>21.573277568118364</v>
      </c>
      <c r="E2">
        <v>22</v>
      </c>
      <c r="F2">
        <f>ABS(TableSHU[[#This Row],[PP]]-TableSHU[[#This Row],[AP]])</f>
        <v>0.42672243188163606</v>
      </c>
      <c r="H2" t="s">
        <v>0</v>
      </c>
      <c r="I2">
        <v>0.45474695214919897</v>
      </c>
    </row>
    <row r="3" spans="1:9" x14ac:dyDescent="0.2">
      <c r="A3" t="s">
        <v>166</v>
      </c>
      <c r="B3">
        <v>18.461538461538471</v>
      </c>
      <c r="C3">
        <v>17</v>
      </c>
      <c r="D3">
        <f>TableSHU[[#This Row],[ARIMAPP]]*$I$2+TableSHU[[#This Row],[LSTMPP]]*$I$3</f>
        <v>17.005121436696427</v>
      </c>
      <c r="E3">
        <v>25</v>
      </c>
      <c r="F3">
        <f>ABS(TableSHU[[#This Row],[PP]]-TableSHU[[#This Row],[AP]])</f>
        <v>7.9948785633035726</v>
      </c>
      <c r="H3" t="s">
        <v>1</v>
      </c>
      <c r="I3">
        <v>0.50645841701921157</v>
      </c>
    </row>
    <row r="4" spans="1:9" x14ac:dyDescent="0.2">
      <c r="A4" t="s">
        <v>167</v>
      </c>
      <c r="B4">
        <v>15.99999997311367</v>
      </c>
      <c r="C4">
        <v>21.25</v>
      </c>
      <c r="D4">
        <f>TableSHU[[#This Row],[ARIMAPP]]*$I$2+TableSHU[[#This Row],[LSTMPP]]*$I$3</f>
        <v>18.038192583818955</v>
      </c>
      <c r="E4">
        <v>28</v>
      </c>
      <c r="F4">
        <f>ABS(TableSHU[[#This Row],[PP]]-TableSHU[[#This Row],[AP]])</f>
        <v>9.9618074161810455</v>
      </c>
    </row>
    <row r="5" spans="1:9" x14ac:dyDescent="0.2">
      <c r="A5" t="s">
        <v>168</v>
      </c>
      <c r="B5">
        <v>24.835954249363979</v>
      </c>
      <c r="C5">
        <v>28.75</v>
      </c>
      <c r="D5">
        <f>TableSHU[[#This Row],[ARIMAPP]]*$I$2+TableSHU[[#This Row],[LSTMPP]]*$I$3</f>
        <v>25.854753987917547</v>
      </c>
      <c r="E5">
        <v>27</v>
      </c>
      <c r="F5">
        <f>ABS(TableSHU[[#This Row],[PP]]-TableSHU[[#This Row],[AP]])</f>
        <v>1.1452460120824526</v>
      </c>
      <c r="H5" t="s">
        <v>2</v>
      </c>
      <c r="I5" cm="1">
        <f t="array" ref="I5">(SUM(TableSHU[PP]-TableSHU[AP]))^2</f>
        <v>5.0487097934144756E-29</v>
      </c>
    </row>
    <row r="6" spans="1:9" x14ac:dyDescent="0.2">
      <c r="A6" t="s">
        <v>169</v>
      </c>
      <c r="B6">
        <v>43.98967734822552</v>
      </c>
      <c r="C6">
        <v>42.5</v>
      </c>
      <c r="D6">
        <f>TableSHU[[#This Row],[ARIMAPP]]*$I$2+TableSHU[[#This Row],[LSTMPP]]*$I$3</f>
        <v>41.5286544234487</v>
      </c>
      <c r="E6">
        <v>22</v>
      </c>
      <c r="F6">
        <f>ABS(TableSHU[[#This Row],[PP]]-TableSHU[[#This Row],[AP]])</f>
        <v>19.5286544234487</v>
      </c>
    </row>
    <row r="7" spans="1:9" x14ac:dyDescent="0.2">
      <c r="H7" t="s">
        <v>3</v>
      </c>
      <c r="I7">
        <f>AVERAGE(TableSHU[DIFF])/10</f>
        <v>0.78114617693794819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0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170</v>
      </c>
      <c r="B2">
        <v>43.451991934040016</v>
      </c>
      <c r="C2">
        <v>36.227783602493709</v>
      </c>
      <c r="D2">
        <f>TableTOT[[#This Row],[ARIMAPP]]*$I$2+TableTOT[[#This Row],[LSTMPP]]*$I$3</f>
        <v>44.469566695383392</v>
      </c>
      <c r="E2">
        <v>54</v>
      </c>
      <c r="F2">
        <f>ABS(TableTOT[[#This Row],[PP]]-TableTOT[[#This Row],[AP]])</f>
        <v>9.5304333046166079</v>
      </c>
      <c r="H2" t="s">
        <v>0</v>
      </c>
      <c r="I2">
        <v>0.55120165140209187</v>
      </c>
    </row>
    <row r="3" spans="1:9" x14ac:dyDescent="0.2">
      <c r="A3" t="s">
        <v>171</v>
      </c>
      <c r="B3">
        <v>23.797489100802562</v>
      </c>
      <c r="C3">
        <v>40.810262660627927</v>
      </c>
      <c r="D3">
        <f>TableTOT[[#This Row],[ARIMAPP]]*$I$2+TableTOT[[#This Row],[LSTMPP]]*$I$3</f>
        <v>36.231404975403649</v>
      </c>
      <c r="E3">
        <v>42</v>
      </c>
      <c r="F3">
        <f>ABS(TableTOT[[#This Row],[PP]]-TableTOT[[#This Row],[AP]])</f>
        <v>5.7685950245963511</v>
      </c>
      <c r="H3" t="s">
        <v>1</v>
      </c>
      <c r="I3">
        <v>0.56638179165942049</v>
      </c>
    </row>
    <row r="4" spans="1:9" x14ac:dyDescent="0.2">
      <c r="A4" t="s">
        <v>172</v>
      </c>
      <c r="B4">
        <v>30.204081632653061</v>
      </c>
      <c r="C4">
        <v>28.333333333333329</v>
      </c>
      <c r="D4">
        <f>TableTOT[[#This Row],[ARIMAPP]]*$I$2+TableTOT[[#This Row],[LSTMPP]]*$I$3</f>
        <v>32.696023772018876</v>
      </c>
      <c r="E4">
        <v>34</v>
      </c>
      <c r="F4">
        <f>ABS(TableTOT[[#This Row],[PP]]-TableTOT[[#This Row],[AP]])</f>
        <v>1.3039762279811242</v>
      </c>
    </row>
    <row r="5" spans="1:9" x14ac:dyDescent="0.2">
      <c r="A5" t="s">
        <v>173</v>
      </c>
      <c r="B5">
        <v>38.570661481396691</v>
      </c>
      <c r="C5">
        <v>42.377886921618277</v>
      </c>
      <c r="D5">
        <f>TableTOT[[#This Row],[ARIMAPP]]*$I$2+TableTOT[[#This Row],[LSTMPP]]*$I$3</f>
        <v>45.262275825623391</v>
      </c>
      <c r="E5">
        <v>37</v>
      </c>
      <c r="F5">
        <f>ABS(TableTOT[[#This Row],[PP]]-TableTOT[[#This Row],[AP]])</f>
        <v>8.2622758256233908</v>
      </c>
      <c r="H5" t="s">
        <v>2</v>
      </c>
      <c r="I5" cm="1">
        <f t="array" ref="I5">(SUM(TableTOT[PP]-TableTOT[AP]))^2</f>
        <v>2.0194839173657902E-28</v>
      </c>
    </row>
    <row r="6" spans="1:9" x14ac:dyDescent="0.2">
      <c r="A6" t="s">
        <v>174</v>
      </c>
      <c r="B6">
        <v>30.25</v>
      </c>
      <c r="C6">
        <v>31.56702620991258</v>
      </c>
      <c r="D6">
        <f>TableTOT[[#This Row],[ARIMAPP]]*$I$2+TableTOT[[#This Row],[LSTMPP]]*$I$3</f>
        <v>34.552838817043451</v>
      </c>
      <c r="E6">
        <v>29</v>
      </c>
      <c r="F6">
        <f>ABS(TableTOT[[#This Row],[PP]]-TableTOT[[#This Row],[AP]])</f>
        <v>5.5528388170434511</v>
      </c>
    </row>
    <row r="7" spans="1:9" x14ac:dyDescent="0.2">
      <c r="A7" t="s">
        <v>175</v>
      </c>
      <c r="B7">
        <v>47.317073170731717</v>
      </c>
      <c r="C7">
        <v>43.112720970441707</v>
      </c>
      <c r="D7">
        <f>TableTOT[[#This Row],[ARIMAPP]]*$I$2+TableTOT[[#This Row],[LSTMPP]]*$I$3</f>
        <v>50.499509017772382</v>
      </c>
      <c r="E7">
        <v>69</v>
      </c>
      <c r="F7">
        <f>ABS(TableTOT[[#This Row],[PP]]-TableTOT[[#This Row],[AP]])</f>
        <v>18.500490982227618</v>
      </c>
      <c r="H7" t="s">
        <v>3</v>
      </c>
      <c r="I7">
        <f>AVERAGE(TableTOT[DIFF])/10</f>
        <v>0.81146298366666714</v>
      </c>
    </row>
    <row r="8" spans="1:9" x14ac:dyDescent="0.2">
      <c r="A8" t="s">
        <v>176</v>
      </c>
      <c r="B8">
        <v>20</v>
      </c>
      <c r="C8">
        <v>20.416666666666671</v>
      </c>
      <c r="D8">
        <f>TableTOT[[#This Row],[ARIMAPP]]*$I$2+TableTOT[[#This Row],[LSTMPP]]*$I$3</f>
        <v>22.587661274421677</v>
      </c>
      <c r="E8">
        <v>24</v>
      </c>
      <c r="F8">
        <f>ABS(TableTOT[[#This Row],[PP]]-TableTOT[[#This Row],[AP]])</f>
        <v>1.4123387255783229</v>
      </c>
    </row>
    <row r="9" spans="1:9" x14ac:dyDescent="0.2">
      <c r="A9" t="s">
        <v>177</v>
      </c>
      <c r="B9">
        <v>38.999999999999993</v>
      </c>
      <c r="C9">
        <v>35.774291535680923</v>
      </c>
      <c r="D9">
        <f>TableTOT[[#This Row],[ARIMAPP]]*$I$2+TableTOT[[#This Row],[LSTMPP]]*$I$3</f>
        <v>41.758771740006978</v>
      </c>
      <c r="E9">
        <v>41</v>
      </c>
      <c r="F9">
        <f>ABS(TableTOT[[#This Row],[PP]]-TableTOT[[#This Row],[AP]])</f>
        <v>0.75877174000697778</v>
      </c>
    </row>
    <row r="10" spans="1:9" x14ac:dyDescent="0.2">
      <c r="A10" t="s">
        <v>178</v>
      </c>
      <c r="B10">
        <v>43.33333333333335</v>
      </c>
      <c r="C10">
        <v>46.005262478324838</v>
      </c>
      <c r="D10">
        <f>TableTOT[[#This Row],[ARIMAPP]]*$I$2+TableTOT[[#This Row],[LSTMPP]]*$I$3</f>
        <v>49.94194788232619</v>
      </c>
      <c r="E10">
        <v>28</v>
      </c>
      <c r="F10">
        <f>ABS(TableTOT[[#This Row],[PP]]-TableTOT[[#This Row],[AP]])</f>
        <v>21.94194788232619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8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179</v>
      </c>
      <c r="B2">
        <v>37.133333333333383</v>
      </c>
      <c r="C2">
        <v>34.541666666666657</v>
      </c>
      <c r="D2">
        <f>TableWHU[[#This Row],[ARIMAPP]]*$I$2+TableWHU[[#This Row],[LSTMPP]]*$I$3</f>
        <v>35.929839666237498</v>
      </c>
      <c r="E2">
        <v>28</v>
      </c>
      <c r="F2">
        <f>ABS(TableWHU[[#This Row],[PP]]-TableWHU[[#This Row],[AP]])</f>
        <v>7.9298396662374984</v>
      </c>
      <c r="H2" t="s">
        <v>0</v>
      </c>
      <c r="I2">
        <v>0.50351607211378457</v>
      </c>
    </row>
    <row r="3" spans="1:9" x14ac:dyDescent="0.2">
      <c r="A3" t="s">
        <v>180</v>
      </c>
      <c r="B3">
        <v>38.40044002303528</v>
      </c>
      <c r="C3">
        <v>37.936975282333592</v>
      </c>
      <c r="D3">
        <f>TableWHU[[#This Row],[ARIMAPP]]*$I$2+TableWHU[[#This Row],[LSTMPP]]*$I$3</f>
        <v>38.261745308584771</v>
      </c>
      <c r="E3">
        <v>36</v>
      </c>
      <c r="F3">
        <f>ABS(TableWHU[[#This Row],[PP]]-TableWHU[[#This Row],[AP]])</f>
        <v>2.2617453085847714</v>
      </c>
      <c r="H3" t="s">
        <v>1</v>
      </c>
      <c r="I3">
        <v>0.49889339990578357</v>
      </c>
    </row>
    <row r="4" spans="1:9" x14ac:dyDescent="0.2">
      <c r="A4" t="s">
        <v>181</v>
      </c>
      <c r="B4">
        <v>41.448009205095858</v>
      </c>
      <c r="C4">
        <v>36.150000000000013</v>
      </c>
      <c r="D4">
        <f>TableWHU[[#This Row],[ARIMAPP]]*$I$2+TableWHU[[#This Row],[LSTMPP]]*$I$3</f>
        <v>38.904735198479933</v>
      </c>
      <c r="E4">
        <v>54</v>
      </c>
      <c r="F4">
        <f>ABS(TableWHU[[#This Row],[PP]]-TableWHU[[#This Row],[AP]])</f>
        <v>15.095264801520067</v>
      </c>
    </row>
    <row r="5" spans="1:9" x14ac:dyDescent="0.2">
      <c r="A5" t="s">
        <v>182</v>
      </c>
      <c r="B5">
        <v>32.093023255813968</v>
      </c>
      <c r="C5">
        <v>32.058823529411768</v>
      </c>
      <c r="D5">
        <f>TableWHU[[#This Row],[ARIMAPP]]*$I$2+TableWHU[[#This Row],[LSTMPP]]*$I$3</f>
        <v>32.153288479591566</v>
      </c>
      <c r="E5">
        <v>25</v>
      </c>
      <c r="F5">
        <f>ABS(TableWHU[[#This Row],[PP]]-TableWHU[[#This Row],[AP]])</f>
        <v>7.1532884795915663</v>
      </c>
      <c r="H5" t="s">
        <v>2</v>
      </c>
      <c r="I5" cm="1">
        <f t="array" ref="I5">(SUM(TableWHU[PP]-TableWHU[AP]))^2</f>
        <v>5.0487097934144756E-29</v>
      </c>
    </row>
    <row r="6" spans="1:9" x14ac:dyDescent="0.2">
      <c r="A6" t="s">
        <v>183</v>
      </c>
      <c r="B6">
        <v>37.592568616607153</v>
      </c>
      <c r="C6">
        <v>37.883492095280921</v>
      </c>
      <c r="D6">
        <f>TableWHU[[#This Row],[ARIMAPP]]*$I$2+TableWHU[[#This Row],[LSTMPP]]*$I$3</f>
        <v>37.828286662220535</v>
      </c>
      <c r="E6">
        <v>27</v>
      </c>
      <c r="F6">
        <f>ABS(TableWHU[[#This Row],[PP]]-TableWHU[[#This Row],[AP]])</f>
        <v>10.828286662220535</v>
      </c>
    </row>
    <row r="7" spans="1:9" x14ac:dyDescent="0.2">
      <c r="A7" t="s">
        <v>184</v>
      </c>
      <c r="B7">
        <v>26.852567999869351</v>
      </c>
      <c r="C7">
        <v>26.25</v>
      </c>
      <c r="D7">
        <f>TableWHU[[#This Row],[ARIMAPP]]*$I$2+TableWHU[[#This Row],[LSTMPP]]*$I$3</f>
        <v>26.61665131298934</v>
      </c>
      <c r="E7">
        <v>28</v>
      </c>
      <c r="F7">
        <f>ABS(TableWHU[[#This Row],[PP]]-TableWHU[[#This Row],[AP]])</f>
        <v>1.3833486870106597</v>
      </c>
      <c r="H7" t="s">
        <v>3</v>
      </c>
      <c r="I7">
        <f>AVERAGE(TableWHU[DIFF])/10</f>
        <v>0.80494743190383899</v>
      </c>
    </row>
    <row r="8" spans="1:9" x14ac:dyDescent="0.2">
      <c r="A8" t="s">
        <v>185</v>
      </c>
      <c r="B8">
        <v>25.999999999999989</v>
      </c>
      <c r="C8">
        <v>32.5</v>
      </c>
      <c r="D8">
        <f>TableWHU[[#This Row],[ARIMAPP]]*$I$2+TableWHU[[#This Row],[LSTMPP]]*$I$3</f>
        <v>29.305453371896363</v>
      </c>
      <c r="E8">
        <v>41</v>
      </c>
      <c r="F8">
        <f>ABS(TableWHU[[#This Row],[PP]]-TableWHU[[#This Row],[AP]])</f>
        <v>11.694546628103637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"/>
  <sheetViews>
    <sheetView tabSelected="1"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186</v>
      </c>
      <c r="B2">
        <v>19.490510482445011</v>
      </c>
      <c r="C2">
        <v>25</v>
      </c>
      <c r="D2">
        <f>TableWOL[[#This Row],[ARIMAPP]]*$I$2+TableWOL[[#This Row],[LSTMPP]]*$I$3</f>
        <v>30.402469604787576</v>
      </c>
      <c r="E2">
        <v>29</v>
      </c>
      <c r="F2">
        <f>ABS(TableWOL[[#This Row],[PP]]-TableWOL[[#This Row],[AP]])</f>
        <v>1.4024696047875764</v>
      </c>
      <c r="H2" t="s">
        <v>0</v>
      </c>
      <c r="I2">
        <v>0.66259860601971632</v>
      </c>
    </row>
    <row r="3" spans="1:9" x14ac:dyDescent="0.2">
      <c r="A3" t="s">
        <v>187</v>
      </c>
      <c r="B3">
        <v>41.184017701195032</v>
      </c>
      <c r="C3">
        <v>34.915254237288138</v>
      </c>
      <c r="D3">
        <f>TableWOL[[#This Row],[ARIMAPP]]*$I$2+TableWOL[[#This Row],[LSTMPP]]*$I$3</f>
        <v>51.712509416543227</v>
      </c>
      <c r="E3">
        <v>21</v>
      </c>
      <c r="F3">
        <f>ABS(TableWOL[[#This Row],[PP]]-TableWOL[[#This Row],[AP]])</f>
        <v>30.712509416543227</v>
      </c>
      <c r="H3" t="s">
        <v>1</v>
      </c>
      <c r="I3">
        <v>0.6995233811402739</v>
      </c>
    </row>
    <row r="4" spans="1:9" x14ac:dyDescent="0.2">
      <c r="A4" t="s">
        <v>188</v>
      </c>
      <c r="B4">
        <v>21.666666666666671</v>
      </c>
      <c r="C4">
        <v>25.78947368421052</v>
      </c>
      <c r="D4">
        <f>TableWOL[[#This Row],[ARIMAPP]]*$I$2+TableWOL[[#This Row],[LSTMPP]]*$I$3</f>
        <v>32.396642959834253</v>
      </c>
      <c r="E4">
        <v>27</v>
      </c>
      <c r="F4">
        <f>ABS(TableWOL[[#This Row],[PP]]-TableWOL[[#This Row],[AP]])</f>
        <v>5.3966429598342529</v>
      </c>
    </row>
    <row r="5" spans="1:9" x14ac:dyDescent="0.2">
      <c r="A5" t="s">
        <v>189</v>
      </c>
      <c r="B5">
        <v>24.242424242424239</v>
      </c>
      <c r="C5">
        <v>26.15384615384616</v>
      </c>
      <c r="D5">
        <f>TableWOL[[#This Row],[ARIMAPP]]*$I$2+TableWOL[[#This Row],[LSTMPP]]*$I$3</f>
        <v>34.358223400929894</v>
      </c>
      <c r="E5">
        <v>56</v>
      </c>
      <c r="F5">
        <f>ABS(TableWOL[[#This Row],[PP]]-TableWOL[[#This Row],[AP]])</f>
        <v>21.641776599070106</v>
      </c>
      <c r="H5" t="s">
        <v>2</v>
      </c>
      <c r="I5" cm="1">
        <f t="array" ref="I5">(SUM(TableWOL[PP]-TableWOL[AP]))^2</f>
        <v>8.0779356694631609E-28</v>
      </c>
    </row>
    <row r="6" spans="1:9" x14ac:dyDescent="0.2">
      <c r="A6" t="s">
        <v>190</v>
      </c>
      <c r="B6">
        <v>23.31390060096469</v>
      </c>
      <c r="C6">
        <v>25.277777777777779</v>
      </c>
      <c r="D6">
        <f>TableWOL[[#This Row],[ARIMAPP]]*$I$2+TableWOL[[#This Row],[LSTMPP]]*$I$3</f>
        <v>33.130154617905021</v>
      </c>
      <c r="E6">
        <v>49</v>
      </c>
      <c r="F6">
        <f>ABS(TableWOL[[#This Row],[PP]]-TableWOL[[#This Row],[AP]])</f>
        <v>15.869845382094979</v>
      </c>
    </row>
    <row r="7" spans="1:9" x14ac:dyDescent="0.2">
      <c r="H7" t="s">
        <v>3</v>
      </c>
      <c r="I7">
        <f>AVERAGE(TableWOL[DIFF])/10</f>
        <v>1.5004648792466029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BOU</vt:lpstr>
      <vt:lpstr>BRE</vt:lpstr>
      <vt:lpstr>BHA</vt:lpstr>
      <vt:lpstr>BUR</vt:lpstr>
      <vt:lpstr>CHE</vt:lpstr>
      <vt:lpstr>CRY</vt:lpstr>
      <vt:lpstr>EVE</vt:lpstr>
      <vt:lpstr>FUL</vt:lpstr>
      <vt:lpstr>LIV</vt:lpstr>
      <vt:lpstr>LUT</vt:lpstr>
      <vt:lpstr>MCI</vt:lpstr>
      <vt:lpstr>MUN</vt:lpstr>
      <vt:lpstr>NEW</vt:lpstr>
      <vt:lpstr>NFO</vt:lpstr>
      <vt:lpstr>SHU</vt:lpstr>
      <vt:lpstr>TOT</vt:lpstr>
      <vt:lpstr>WHU</vt:lpstr>
      <vt:lpstr>WOL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Corridore, Gabe</cp:lastModifiedBy>
  <dcterms:created xsi:type="dcterms:W3CDTF">2023-12-14T18:22:48Z</dcterms:created>
  <dcterms:modified xsi:type="dcterms:W3CDTF">2023-12-14T18:43:45Z</dcterms:modified>
</cp:coreProperties>
</file>