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FPL-predictor/Predictions/2024-25/"/>
    </mc:Choice>
  </mc:AlternateContent>
  <xr:revisionPtr revIDLastSave="0" documentId="13_ncr:1_{FFA9CDCD-436B-F749-9467-2B4FE26353A9}" xr6:coauthVersionLast="47" xr6:coauthVersionMax="47" xr10:uidLastSave="{00000000-0000-0000-0000-000000000000}"/>
  <bookViews>
    <workbookView xWindow="240" yWindow="760" windowWidth="1800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64" i="1" l="1"/>
  <c r="AH164" i="1"/>
  <c r="AI163" i="1"/>
  <c r="AH163" i="1"/>
  <c r="AI162" i="1"/>
  <c r="AH162" i="1"/>
  <c r="AI161" i="1"/>
  <c r="AH161" i="1"/>
  <c r="AI160" i="1"/>
  <c r="AH160" i="1"/>
  <c r="AI159" i="1"/>
  <c r="AH159" i="1"/>
  <c r="AI158" i="1"/>
  <c r="AH158" i="1"/>
  <c r="AI157" i="1"/>
  <c r="AH157" i="1"/>
  <c r="AI156" i="1"/>
  <c r="AH156" i="1"/>
  <c r="AI155" i="1"/>
  <c r="AH155" i="1"/>
  <c r="AI154" i="1"/>
  <c r="AH154" i="1"/>
  <c r="AI153" i="1"/>
  <c r="AH153" i="1"/>
  <c r="AI152" i="1"/>
  <c r="AH152" i="1"/>
  <c r="AI151" i="1"/>
  <c r="AH151" i="1"/>
  <c r="AI150" i="1"/>
  <c r="AH150" i="1"/>
  <c r="AI149" i="1"/>
  <c r="AH149" i="1"/>
  <c r="AI148" i="1"/>
  <c r="AH148" i="1"/>
  <c r="AI147" i="1"/>
  <c r="AH147" i="1"/>
  <c r="AI146" i="1"/>
  <c r="AH146" i="1"/>
  <c r="AI145" i="1"/>
  <c r="AH145" i="1"/>
  <c r="AI144" i="1"/>
  <c r="AH144" i="1"/>
  <c r="AI143" i="1"/>
  <c r="AH143" i="1"/>
  <c r="AI142" i="1"/>
  <c r="AH142" i="1"/>
  <c r="AI141" i="1"/>
  <c r="AH141" i="1"/>
  <c r="AI140" i="1"/>
  <c r="AH140" i="1"/>
  <c r="AI139" i="1"/>
  <c r="AH139" i="1"/>
  <c r="AI138" i="1"/>
  <c r="AH138" i="1"/>
  <c r="AI137" i="1"/>
  <c r="AH137" i="1"/>
  <c r="AI136" i="1"/>
  <c r="AH136" i="1"/>
  <c r="AI135" i="1"/>
  <c r="AH135" i="1"/>
  <c r="AI134" i="1"/>
  <c r="AH134" i="1"/>
  <c r="AI31" i="1"/>
  <c r="AH31" i="1"/>
  <c r="AI132" i="1"/>
  <c r="AH132" i="1"/>
  <c r="AI80" i="1"/>
  <c r="AH80" i="1"/>
  <c r="AI130" i="1"/>
  <c r="AH130" i="1"/>
  <c r="AI129" i="1"/>
  <c r="AH129" i="1"/>
  <c r="AI128" i="1"/>
  <c r="AH128" i="1"/>
  <c r="AI44" i="1"/>
  <c r="AH44" i="1"/>
  <c r="AI126" i="1"/>
  <c r="AH126" i="1"/>
  <c r="AI125" i="1"/>
  <c r="AH125" i="1"/>
  <c r="AI124" i="1"/>
  <c r="AH124" i="1"/>
  <c r="AI123" i="1"/>
  <c r="AH123" i="1"/>
  <c r="AI122" i="1"/>
  <c r="AH122" i="1"/>
  <c r="AI121" i="1"/>
  <c r="AH121" i="1"/>
  <c r="AI120" i="1"/>
  <c r="AH120" i="1"/>
  <c r="AI119" i="1"/>
  <c r="AH119" i="1"/>
  <c r="AI118" i="1"/>
  <c r="AH118" i="1"/>
  <c r="AI7" i="1"/>
  <c r="AH7" i="1"/>
  <c r="AI68" i="1"/>
  <c r="AH68" i="1"/>
  <c r="AI115" i="1"/>
  <c r="AH115" i="1"/>
  <c r="AI114" i="1"/>
  <c r="AH114" i="1"/>
  <c r="AI113" i="1"/>
  <c r="AH113" i="1"/>
  <c r="AI112" i="1"/>
  <c r="AH112" i="1"/>
  <c r="AI111" i="1"/>
  <c r="AH111" i="1"/>
  <c r="AI127" i="1"/>
  <c r="AH127" i="1"/>
  <c r="AI109" i="1"/>
  <c r="AH109" i="1"/>
  <c r="AI108" i="1"/>
  <c r="AH108" i="1"/>
  <c r="AI107" i="1"/>
  <c r="AH107" i="1"/>
  <c r="AI106" i="1"/>
  <c r="AH106" i="1"/>
  <c r="AI105" i="1"/>
  <c r="AH105" i="1"/>
  <c r="AI104" i="1"/>
  <c r="AH104" i="1"/>
  <c r="AI103" i="1"/>
  <c r="AH103" i="1"/>
  <c r="AI102" i="1"/>
  <c r="AH102" i="1"/>
  <c r="AI101" i="1"/>
  <c r="AH101" i="1"/>
  <c r="AI100" i="1"/>
  <c r="AH100" i="1"/>
  <c r="AI99" i="1"/>
  <c r="AH99" i="1"/>
  <c r="AI98" i="1"/>
  <c r="AH98" i="1"/>
  <c r="AI97" i="1"/>
  <c r="AH97" i="1"/>
  <c r="AI96" i="1"/>
  <c r="AH96" i="1"/>
  <c r="AI95" i="1"/>
  <c r="AH95" i="1"/>
  <c r="AI59" i="1"/>
  <c r="AH59" i="1"/>
  <c r="AI93" i="1"/>
  <c r="AH93" i="1"/>
  <c r="AI92" i="1"/>
  <c r="AH92" i="1"/>
  <c r="AI91" i="1"/>
  <c r="AH91" i="1"/>
  <c r="AI90" i="1"/>
  <c r="AH90" i="1"/>
  <c r="AI89" i="1"/>
  <c r="AH89" i="1"/>
  <c r="AI116" i="1"/>
  <c r="AH116" i="1"/>
  <c r="AI87" i="1"/>
  <c r="AH87" i="1"/>
  <c r="AI86" i="1"/>
  <c r="AH86" i="1"/>
  <c r="AI85" i="1"/>
  <c r="AH85" i="1"/>
  <c r="AI84" i="1"/>
  <c r="AH84" i="1"/>
  <c r="AI83" i="1"/>
  <c r="AH83" i="1"/>
  <c r="AI82" i="1"/>
  <c r="AH82" i="1"/>
  <c r="AI81" i="1"/>
  <c r="AH81" i="1"/>
  <c r="AI117" i="1"/>
  <c r="AH117" i="1"/>
  <c r="AI79" i="1"/>
  <c r="AH79" i="1"/>
  <c r="AI78" i="1"/>
  <c r="AH78" i="1"/>
  <c r="AI77" i="1"/>
  <c r="AH77" i="1"/>
  <c r="AI76" i="1"/>
  <c r="AH76" i="1"/>
  <c r="AI75" i="1"/>
  <c r="AH75" i="1"/>
  <c r="AI74" i="1"/>
  <c r="AH74" i="1"/>
  <c r="AI73" i="1"/>
  <c r="AH73" i="1"/>
  <c r="AI72" i="1"/>
  <c r="AH72" i="1"/>
  <c r="AI71" i="1"/>
  <c r="AH71" i="1"/>
  <c r="AI70" i="1"/>
  <c r="AH70" i="1"/>
  <c r="AI69" i="1"/>
  <c r="AH69" i="1"/>
  <c r="AI110" i="1"/>
  <c r="AH110" i="1"/>
  <c r="AI67" i="1"/>
  <c r="AH67" i="1"/>
  <c r="AI66" i="1"/>
  <c r="AH66" i="1"/>
  <c r="AI65" i="1"/>
  <c r="AH65" i="1"/>
  <c r="AI64" i="1"/>
  <c r="AH64" i="1"/>
  <c r="AI63" i="1"/>
  <c r="AH63" i="1"/>
  <c r="AI62" i="1"/>
  <c r="AH62" i="1"/>
  <c r="AI61" i="1"/>
  <c r="AH61" i="1"/>
  <c r="AI60" i="1"/>
  <c r="AH60" i="1"/>
  <c r="AI133" i="1"/>
  <c r="AH133" i="1"/>
  <c r="AI58" i="1"/>
  <c r="AH58" i="1"/>
  <c r="AI57" i="1"/>
  <c r="AH57" i="1"/>
  <c r="AI56" i="1"/>
  <c r="AH56" i="1"/>
  <c r="AI55" i="1"/>
  <c r="AH55" i="1"/>
  <c r="AI54" i="1"/>
  <c r="AH54" i="1"/>
  <c r="AI53" i="1"/>
  <c r="AH53" i="1"/>
  <c r="AI52" i="1"/>
  <c r="AH52" i="1"/>
  <c r="AI51" i="1"/>
  <c r="AH51" i="1"/>
  <c r="AI50" i="1"/>
  <c r="AH50" i="1"/>
  <c r="AI49" i="1"/>
  <c r="AH49" i="1"/>
  <c r="AI48" i="1"/>
  <c r="AH48" i="1"/>
  <c r="AI47" i="1"/>
  <c r="AH47" i="1"/>
  <c r="AI46" i="1"/>
  <c r="AH46" i="1"/>
  <c r="AI45" i="1"/>
  <c r="AH45" i="1"/>
  <c r="AI94" i="1"/>
  <c r="AH94" i="1"/>
  <c r="AI43" i="1"/>
  <c r="AH43" i="1"/>
  <c r="AI42" i="1"/>
  <c r="AH42" i="1"/>
  <c r="AI41" i="1"/>
  <c r="AH41" i="1"/>
  <c r="AI40" i="1"/>
  <c r="AH40" i="1"/>
  <c r="AI39" i="1"/>
  <c r="AH39" i="1"/>
  <c r="AO38" i="1"/>
  <c r="AI38" i="1"/>
  <c r="AH38" i="1"/>
  <c r="AO37" i="1"/>
  <c r="AI37" i="1"/>
  <c r="AH37" i="1"/>
  <c r="AO36" i="1"/>
  <c r="AI36" i="1"/>
  <c r="AH36" i="1"/>
  <c r="AO35" i="1"/>
  <c r="AI35" i="1"/>
  <c r="AH35" i="1"/>
  <c r="AO34" i="1"/>
  <c r="AI34" i="1"/>
  <c r="AH34" i="1"/>
  <c r="AO33" i="1"/>
  <c r="AI33" i="1"/>
  <c r="AH33" i="1"/>
  <c r="AO32" i="1"/>
  <c r="AI32" i="1"/>
  <c r="AH32" i="1"/>
  <c r="AO31" i="1"/>
  <c r="AI22" i="1"/>
  <c r="AH22" i="1"/>
  <c r="AO30" i="1"/>
  <c r="AI30" i="1"/>
  <c r="AH30" i="1"/>
  <c r="AO29" i="1"/>
  <c r="AI29" i="1"/>
  <c r="AH29" i="1"/>
  <c r="AO28" i="1"/>
  <c r="AI28" i="1"/>
  <c r="AH28" i="1"/>
  <c r="AO27" i="1"/>
  <c r="AI27" i="1"/>
  <c r="AH27" i="1"/>
  <c r="AO26" i="1"/>
  <c r="AI26" i="1"/>
  <c r="AH26" i="1"/>
  <c r="AO25" i="1"/>
  <c r="AI25" i="1"/>
  <c r="AH25" i="1"/>
  <c r="AO24" i="1"/>
  <c r="AI24" i="1"/>
  <c r="AH24" i="1"/>
  <c r="AO23" i="1"/>
  <c r="AI23" i="1"/>
  <c r="AH23" i="1"/>
  <c r="AO22" i="1"/>
  <c r="AI88" i="1"/>
  <c r="AH88" i="1"/>
  <c r="AO21" i="1"/>
  <c r="AI21" i="1"/>
  <c r="AH21" i="1"/>
  <c r="AO20" i="1"/>
  <c r="AI20" i="1"/>
  <c r="AH20" i="1"/>
  <c r="AO19" i="1"/>
  <c r="AI19" i="1"/>
  <c r="AH19" i="1"/>
  <c r="AI18" i="1"/>
  <c r="AH18" i="1"/>
  <c r="AI17" i="1"/>
  <c r="AH17" i="1"/>
  <c r="AI16" i="1"/>
  <c r="AH16" i="1"/>
  <c r="AI15" i="1"/>
  <c r="AH15" i="1"/>
  <c r="AI14" i="1"/>
  <c r="AH14" i="1"/>
  <c r="AI13" i="1"/>
  <c r="AH13" i="1"/>
  <c r="AO12" i="1"/>
  <c r="AO15" i="1" s="1"/>
  <c r="AI12" i="1"/>
  <c r="AH12" i="1"/>
  <c r="AI11" i="1"/>
  <c r="AH11" i="1"/>
  <c r="AP10" i="1"/>
  <c r="AI10" i="1"/>
  <c r="AH10" i="1"/>
  <c r="AP9" i="1"/>
  <c r="AI9" i="1"/>
  <c r="AH9" i="1"/>
  <c r="AP8" i="1"/>
  <c r="AI8" i="1"/>
  <c r="AH8" i="1"/>
  <c r="AP7" i="1"/>
  <c r="AI131" i="1"/>
  <c r="AH131" i="1"/>
  <c r="AP6" i="1"/>
  <c r="AI6" i="1"/>
  <c r="AH6" i="1"/>
  <c r="AI5" i="1"/>
  <c r="AH5" i="1"/>
  <c r="AO4" i="1"/>
  <c r="AI4" i="1"/>
  <c r="AH4" i="1"/>
  <c r="AI3" i="1"/>
  <c r="AH3" i="1"/>
  <c r="AI2" i="1"/>
  <c r="AH2" i="1"/>
  <c r="AO2" i="1" s="1"/>
  <c r="AO17" i="1" l="1"/>
</calcChain>
</file>

<file path=xl/sharedStrings.xml><?xml version="1.0" encoding="utf-8"?>
<sst xmlns="http://schemas.openxmlformats.org/spreadsheetml/2006/main" count="885" uniqueCount="393">
  <si>
    <t>Total Points</t>
  </si>
  <si>
    <t>MAX</t>
  </si>
  <si>
    <t>Total Cost</t>
  </si>
  <si>
    <t>GKP</t>
  </si>
  <si>
    <t>DEF</t>
  </si>
  <si>
    <t>MID</t>
  </si>
  <si>
    <t>FWD</t>
  </si>
  <si>
    <t>TOTAL</t>
  </si>
  <si>
    <t>Transfers</t>
  </si>
  <si>
    <t>Free</t>
  </si>
  <si>
    <t>Cost</t>
  </si>
  <si>
    <t>Profit</t>
  </si>
  <si>
    <t>ARS</t>
  </si>
  <si>
    <t>AVL</t>
  </si>
  <si>
    <t>BOU</t>
  </si>
  <si>
    <t>BRE</t>
  </si>
  <si>
    <t>BHA</t>
  </si>
  <si>
    <t>CHE</t>
  </si>
  <si>
    <t>CRY</t>
  </si>
  <si>
    <t>EVE</t>
  </si>
  <si>
    <t>FUL</t>
  </si>
  <si>
    <t>IPS</t>
  </si>
  <si>
    <t>LEI</t>
  </si>
  <si>
    <t>LIV</t>
  </si>
  <si>
    <t>MCI</t>
  </si>
  <si>
    <t>MUN</t>
  </si>
  <si>
    <t>NEW</t>
  </si>
  <si>
    <t>NFO</t>
  </si>
  <si>
    <t>SOU</t>
  </si>
  <si>
    <t>TOT</t>
  </si>
  <si>
    <t>WHU</t>
  </si>
  <si>
    <t>WOL</t>
  </si>
  <si>
    <t>First Name</t>
  </si>
  <si>
    <t>Surname</t>
  </si>
  <si>
    <t>Web Name</t>
  </si>
  <si>
    <t>Position</t>
  </si>
  <si>
    <t>Team</t>
  </si>
  <si>
    <t>ID</t>
  </si>
  <si>
    <t>ARIMA</t>
  </si>
  <si>
    <t>LSTM</t>
  </si>
  <si>
    <t>PP</t>
  </si>
  <si>
    <t>NEXT</t>
  </si>
  <si>
    <t>Health</t>
  </si>
  <si>
    <t>PREV</t>
  </si>
  <si>
    <t>Selected</t>
  </si>
  <si>
    <t>Gabriel</t>
  </si>
  <si>
    <t>dos Santos Magalhães</t>
  </si>
  <si>
    <t>Martinelli Silva</t>
  </si>
  <si>
    <t>Martinelli</t>
  </si>
  <si>
    <t>Martin</t>
  </si>
  <si>
    <t>Ødegaard</t>
  </si>
  <si>
    <t>David</t>
  </si>
  <si>
    <t>Raya Martin</t>
  </si>
  <si>
    <t>Raya</t>
  </si>
  <si>
    <t>Declan</t>
  </si>
  <si>
    <t>Rice</t>
  </si>
  <si>
    <t>William</t>
  </si>
  <si>
    <t>Saliba</t>
  </si>
  <si>
    <t>Thomas</t>
  </si>
  <si>
    <t>Partey</t>
  </si>
  <si>
    <t>Leandro</t>
  </si>
  <si>
    <t>Trossard</t>
  </si>
  <si>
    <t>Lucas</t>
  </si>
  <si>
    <t>Digne</t>
  </si>
  <si>
    <t>Ezri</t>
  </si>
  <si>
    <t>Konsa Ngoyo</t>
  </si>
  <si>
    <t>Konsa</t>
  </si>
  <si>
    <t>Emiliano</t>
  </si>
  <si>
    <t>Martínez Romero</t>
  </si>
  <si>
    <t>Martinez</t>
  </si>
  <si>
    <t>John</t>
  </si>
  <si>
    <t>McGinn</t>
  </si>
  <si>
    <t>Morgan</t>
  </si>
  <si>
    <t>Rogers</t>
  </si>
  <si>
    <t>Youri</t>
  </si>
  <si>
    <t>Tielemans</t>
  </si>
  <si>
    <t>Ollie</t>
  </si>
  <si>
    <t>Watkins</t>
  </si>
  <si>
    <t>Brooks</t>
  </si>
  <si>
    <t>Ryan</t>
  </si>
  <si>
    <t>Christie</t>
  </si>
  <si>
    <t>Lewis</t>
  </si>
  <si>
    <t>Cook</t>
  </si>
  <si>
    <t>Milos</t>
  </si>
  <si>
    <t>Kerkez</t>
  </si>
  <si>
    <t>Justin</t>
  </si>
  <si>
    <t>Kluivert</t>
  </si>
  <si>
    <t>Dango</t>
  </si>
  <si>
    <t>Ouattara</t>
  </si>
  <si>
    <t>O.Dango</t>
  </si>
  <si>
    <t>Antoine</t>
  </si>
  <si>
    <t>Semenyo</t>
  </si>
  <si>
    <t>Illia</t>
  </si>
  <si>
    <t>Zabarnyi</t>
  </si>
  <si>
    <t>Kepa</t>
  </si>
  <si>
    <t>Arrizabalaga</t>
  </si>
  <si>
    <t>Nathan</t>
  </si>
  <si>
    <t>Collins</t>
  </si>
  <si>
    <t>Mikkel</t>
  </si>
  <si>
    <t>Damsgaard</t>
  </si>
  <si>
    <t>Mark</t>
  </si>
  <si>
    <t>Flekken</t>
  </si>
  <si>
    <t>Vitaly</t>
  </si>
  <si>
    <t>Janelt</t>
  </si>
  <si>
    <t>Keane</t>
  </si>
  <si>
    <t>Lewis-Potter</t>
  </si>
  <si>
    <t>Bryan</t>
  </si>
  <si>
    <t>Mbeumo</t>
  </si>
  <si>
    <t>Christian</t>
  </si>
  <si>
    <t>Nørgaard</t>
  </si>
  <si>
    <t>Kevin</t>
  </si>
  <si>
    <t>Schade</t>
  </si>
  <si>
    <t>Yoane</t>
  </si>
  <si>
    <t>Wissa</t>
  </si>
  <si>
    <t>Carlos</t>
  </si>
  <si>
    <t>Baleba</t>
  </si>
  <si>
    <t>Pervis</t>
  </si>
  <si>
    <t>Estupiñán</t>
  </si>
  <si>
    <t>Estupiñan</t>
  </si>
  <si>
    <t>João Pedro</t>
  </si>
  <si>
    <t>Junqueira de Jesus</t>
  </si>
  <si>
    <t>Jan Paul</t>
  </si>
  <si>
    <t>van Hecke</t>
  </si>
  <si>
    <t>Van Hecke</t>
  </si>
  <si>
    <t>Bart</t>
  </si>
  <si>
    <t>Verbruggen</t>
  </si>
  <si>
    <t>Danny</t>
  </si>
  <si>
    <t>Welbeck</t>
  </si>
  <si>
    <t>Georginio</t>
  </si>
  <si>
    <t>Rutter</t>
  </si>
  <si>
    <t>Moisés</t>
  </si>
  <si>
    <t>Caicedo Corozo</t>
  </si>
  <si>
    <t>Caicedo</t>
  </si>
  <si>
    <t>Levi</t>
  </si>
  <si>
    <t>Colwill</t>
  </si>
  <si>
    <t>Marc</t>
  </si>
  <si>
    <t>Cucurella Saseta</t>
  </si>
  <si>
    <t>Cucurella</t>
  </si>
  <si>
    <t>Enzo</t>
  </si>
  <si>
    <t>Fernández</t>
  </si>
  <si>
    <t>Malo</t>
  </si>
  <si>
    <t>Gusto</t>
  </si>
  <si>
    <t>Noni</t>
  </si>
  <si>
    <t>Madueke</t>
  </si>
  <si>
    <t>Nicolas</t>
  </si>
  <si>
    <t>Jackson</t>
  </si>
  <si>
    <t>N.Jackson</t>
  </si>
  <si>
    <t>Christopher</t>
  </si>
  <si>
    <t>Nkunku</t>
  </si>
  <si>
    <t>Cole</t>
  </si>
  <si>
    <t>Palmer</t>
  </si>
  <si>
    <t>Robert</t>
  </si>
  <si>
    <t>Sánchez</t>
  </si>
  <si>
    <t>Jadon</t>
  </si>
  <si>
    <t>Sancho</t>
  </si>
  <si>
    <t>Pedro</t>
  </si>
  <si>
    <t>Lomba Neto</t>
  </si>
  <si>
    <t>Neto</t>
  </si>
  <si>
    <t>Eberechi</t>
  </si>
  <si>
    <t>Eze</t>
  </si>
  <si>
    <t>Guéhi</t>
  </si>
  <si>
    <t>Dean</t>
  </si>
  <si>
    <t>Henderson</t>
  </si>
  <si>
    <t>Will</t>
  </si>
  <si>
    <t>Hughes</t>
  </si>
  <si>
    <t>Jefferson</t>
  </si>
  <si>
    <t>Lerma Solís</t>
  </si>
  <si>
    <t>Lerma</t>
  </si>
  <si>
    <t>Jean-Philippe</t>
  </si>
  <si>
    <t>Mateta</t>
  </si>
  <si>
    <t>Tyrick</t>
  </si>
  <si>
    <t>Mitchell</t>
  </si>
  <si>
    <t>Daniel</t>
  </si>
  <si>
    <t>Muñoz</t>
  </si>
  <si>
    <t>Ismaïla</t>
  </si>
  <si>
    <t>Sarr</t>
  </si>
  <si>
    <t>I.Sarr</t>
  </si>
  <si>
    <t>Abdoulaye</t>
  </si>
  <si>
    <t>Doucouré</t>
  </si>
  <si>
    <t>A.Doucoure</t>
  </si>
  <si>
    <t>Jarrad</t>
  </si>
  <si>
    <t>Branthwaite</t>
  </si>
  <si>
    <t>Idrissa</t>
  </si>
  <si>
    <t>Gueye</t>
  </si>
  <si>
    <t>Gana</t>
  </si>
  <si>
    <t>Jack</t>
  </si>
  <si>
    <t>Harrison</t>
  </si>
  <si>
    <t>Vitalii</t>
  </si>
  <si>
    <t>Mykolenko</t>
  </si>
  <si>
    <t>Jordan</t>
  </si>
  <si>
    <t>Pickford</t>
  </si>
  <si>
    <t>James</t>
  </si>
  <si>
    <t>Tarkowski</t>
  </si>
  <si>
    <t>Emile</t>
  </si>
  <si>
    <t>Smith Rowe</t>
  </si>
  <si>
    <t>Joachim</t>
  </si>
  <si>
    <t>Andersen</t>
  </si>
  <si>
    <t>Adama</t>
  </si>
  <si>
    <t>Traoré</t>
  </si>
  <si>
    <t>Andreas</t>
  </si>
  <si>
    <t>Hoelgebaum Pereira</t>
  </si>
  <si>
    <t>Calvin</t>
  </si>
  <si>
    <t>Bassey</t>
  </si>
  <si>
    <t>Alex</t>
  </si>
  <si>
    <t>Iwobi</t>
  </si>
  <si>
    <t>Bernd</t>
  </si>
  <si>
    <t>Leno</t>
  </si>
  <si>
    <t>Saša</t>
  </si>
  <si>
    <t>Lukić</t>
  </si>
  <si>
    <t>Rodrigo</t>
  </si>
  <si>
    <t>Muniz Carvalho</t>
  </si>
  <si>
    <t>Muniz</t>
  </si>
  <si>
    <t>Raúl</t>
  </si>
  <si>
    <t>Jiménez</t>
  </si>
  <si>
    <t>Antonee</t>
  </si>
  <si>
    <t>Robinson</t>
  </si>
  <si>
    <t>Sander</t>
  </si>
  <si>
    <t>Berge</t>
  </si>
  <si>
    <t>Dara</t>
  </si>
  <si>
    <t>O'Shea</t>
  </si>
  <si>
    <t>Facundo</t>
  </si>
  <si>
    <t>Buonanotte</t>
  </si>
  <si>
    <t>Ayew</t>
  </si>
  <si>
    <t>J.Ayew</t>
  </si>
  <si>
    <t>Boubakary</t>
  </si>
  <si>
    <t>Soumaré</t>
  </si>
  <si>
    <t>B.Soumaré</t>
  </si>
  <si>
    <t>Wout</t>
  </si>
  <si>
    <t>Faes</t>
  </si>
  <si>
    <t>Jamie</t>
  </si>
  <si>
    <t>Vardy</t>
  </si>
  <si>
    <t>Trent</t>
  </si>
  <si>
    <t>Alexander-Arnold</t>
  </si>
  <si>
    <t>Cody</t>
  </si>
  <si>
    <t>Gakpo</t>
  </si>
  <si>
    <t>Gravenberch</t>
  </si>
  <si>
    <t>Curtis</t>
  </si>
  <si>
    <t>Jones</t>
  </si>
  <si>
    <t>Ibrahima</t>
  </si>
  <si>
    <t>Konaté</t>
  </si>
  <si>
    <t>Luis</t>
  </si>
  <si>
    <t>Díaz</t>
  </si>
  <si>
    <t>Luis Díaz</t>
  </si>
  <si>
    <t>Mohamed</t>
  </si>
  <si>
    <t>Salah</t>
  </si>
  <si>
    <t>M.Salah</t>
  </si>
  <si>
    <t>Alexis</t>
  </si>
  <si>
    <t>Mac Allister</t>
  </si>
  <si>
    <t>Andrew</t>
  </si>
  <si>
    <t>Robertson</t>
  </si>
  <si>
    <t>Dominik</t>
  </si>
  <si>
    <t>Szoboszlai</t>
  </si>
  <si>
    <t>Virgil</t>
  </si>
  <si>
    <t>van Dijk</t>
  </si>
  <si>
    <t>Bernardo</t>
  </si>
  <si>
    <t>Veiga de Carvalho e Silva</t>
  </si>
  <si>
    <t>Phil</t>
  </si>
  <si>
    <t>Foden</t>
  </si>
  <si>
    <t>Joško</t>
  </si>
  <si>
    <t>Gvardiol</t>
  </si>
  <si>
    <t>Erling</t>
  </si>
  <si>
    <t>Haaland</t>
  </si>
  <si>
    <t>Mateo</t>
  </si>
  <si>
    <t>Kovačić</t>
  </si>
  <si>
    <t>Rico</t>
  </si>
  <si>
    <t>Ilkay</t>
  </si>
  <si>
    <t>Gündogan</t>
  </si>
  <si>
    <t>Bruno</t>
  </si>
  <si>
    <t>Borges Fernandes</t>
  </si>
  <si>
    <t>B.Fernandes</t>
  </si>
  <si>
    <t>Diogo</t>
  </si>
  <si>
    <t>Dalot Teixeira</t>
  </si>
  <si>
    <t>Dalot</t>
  </si>
  <si>
    <t>Alejandro</t>
  </si>
  <si>
    <t>Garnacho</t>
  </si>
  <si>
    <t>Rasmus</t>
  </si>
  <si>
    <t>Højlund</t>
  </si>
  <si>
    <t>André</t>
  </si>
  <si>
    <t>Onana</t>
  </si>
  <si>
    <t>Harvey</t>
  </si>
  <si>
    <t>Barnes</t>
  </si>
  <si>
    <t>Guimarães Rodriguez Moura</t>
  </si>
  <si>
    <t>Bruno G.</t>
  </si>
  <si>
    <t>Dan</t>
  </si>
  <si>
    <t>Burn</t>
  </si>
  <si>
    <t>Anthony</t>
  </si>
  <si>
    <t>Gordon</t>
  </si>
  <si>
    <t>Hall</t>
  </si>
  <si>
    <t>Alexander</t>
  </si>
  <si>
    <t>Isak</t>
  </si>
  <si>
    <t>Jacob</t>
  </si>
  <si>
    <t>Murphy</t>
  </si>
  <si>
    <t>J.Murphy</t>
  </si>
  <si>
    <t>Joelinton Cássio</t>
  </si>
  <si>
    <t>Apolinário de Lira</t>
  </si>
  <si>
    <t>Joelinton</t>
  </si>
  <si>
    <t>Tino</t>
  </si>
  <si>
    <t>Livramento</t>
  </si>
  <si>
    <t>Fabian</t>
  </si>
  <si>
    <t>Schär</t>
  </si>
  <si>
    <t>Sandro</t>
  </si>
  <si>
    <t>Tonali</t>
  </si>
  <si>
    <t>Joe</t>
  </si>
  <si>
    <t>Willock</t>
  </si>
  <si>
    <t>Ola</t>
  </si>
  <si>
    <t>Aina</t>
  </si>
  <si>
    <t>Elliot</t>
  </si>
  <si>
    <t>Anderson</t>
  </si>
  <si>
    <t>Taiwo</t>
  </si>
  <si>
    <t>Awoniyi</t>
  </si>
  <si>
    <t>Nicolás</t>
  </si>
  <si>
    <t>Domínguez</t>
  </si>
  <si>
    <t>Dominguez</t>
  </si>
  <si>
    <t>Elanga</t>
  </si>
  <si>
    <t>Gibbs-White</t>
  </si>
  <si>
    <t>Callum</t>
  </si>
  <si>
    <t>Hudson-Odoi</t>
  </si>
  <si>
    <t>Murillo</t>
  </si>
  <si>
    <t>Santiago Costa dos Santos</t>
  </si>
  <si>
    <t>Neco</t>
  </si>
  <si>
    <t>Williams</t>
  </si>
  <si>
    <t>N.Williams</t>
  </si>
  <si>
    <t>Matz</t>
  </si>
  <si>
    <t>Sels</t>
  </si>
  <si>
    <t>Chris</t>
  </si>
  <si>
    <t>Wood</t>
  </si>
  <si>
    <t>Yates</t>
  </si>
  <si>
    <t>Aaron</t>
  </si>
  <si>
    <t>Ramsdale</t>
  </si>
  <si>
    <t>Cameron</t>
  </si>
  <si>
    <t>Archer</t>
  </si>
  <si>
    <t>Jan</t>
  </si>
  <si>
    <t>Bednarek</t>
  </si>
  <si>
    <t>Kyle</t>
  </si>
  <si>
    <t>Walker-Peters</t>
  </si>
  <si>
    <t>Brennan</t>
  </si>
  <si>
    <t>Johnson</t>
  </si>
  <si>
    <t>Dejan</t>
  </si>
  <si>
    <t>Kulusevski</t>
  </si>
  <si>
    <t>Maddison</t>
  </si>
  <si>
    <t>Porro</t>
  </si>
  <si>
    <t>Pedro Porro</t>
  </si>
  <si>
    <t>Pape Matar</t>
  </si>
  <si>
    <t>P.M.Sarr</t>
  </si>
  <si>
    <t>Son</t>
  </si>
  <si>
    <t>Heung-min</t>
  </si>
  <si>
    <t>Wan-Bissaka</t>
  </si>
  <si>
    <t>Edson</t>
  </si>
  <si>
    <t>Álvarez Velázquez</t>
  </si>
  <si>
    <t>Álvarez</t>
  </si>
  <si>
    <t>Jarrod</t>
  </si>
  <si>
    <t>Bowen</t>
  </si>
  <si>
    <t>Emerson</t>
  </si>
  <si>
    <t>Palmieri dos Santos</t>
  </si>
  <si>
    <t>Max</t>
  </si>
  <si>
    <t>Kilman</t>
  </si>
  <si>
    <t>Mohammed</t>
  </si>
  <si>
    <t>Kudus</t>
  </si>
  <si>
    <t>Tolentino Coelho de Lima</t>
  </si>
  <si>
    <t>L.Paquetá</t>
  </si>
  <si>
    <t>Konstantinos</t>
  </si>
  <si>
    <t>Mavropanos</t>
  </si>
  <si>
    <t>Tomáš</t>
  </si>
  <si>
    <t>Souček</t>
  </si>
  <si>
    <t>Rayan</t>
  </si>
  <si>
    <t>Aït-Nouri</t>
  </si>
  <si>
    <t>Jean-Ricner</t>
  </si>
  <si>
    <t>Bellegarde</t>
  </si>
  <si>
    <t>Matheus</t>
  </si>
  <si>
    <t>Santos Carneiro Da Cunha</t>
  </si>
  <si>
    <t>Cunha</t>
  </si>
  <si>
    <t>Matt</t>
  </si>
  <si>
    <t>Doherty</t>
  </si>
  <si>
    <t>Tommy</t>
  </si>
  <si>
    <t>Doyle</t>
  </si>
  <si>
    <t>Gonçalo Manuel</t>
  </si>
  <si>
    <t>Ganchinho Guedes</t>
  </si>
  <si>
    <t>Guedes</t>
  </si>
  <si>
    <t>João Victor</t>
  </si>
  <si>
    <t>Gomes da Silva</t>
  </si>
  <si>
    <t>J.Gomes</t>
  </si>
  <si>
    <t>José</t>
  </si>
  <si>
    <t>Malheiro de Sá</t>
  </si>
  <si>
    <t>José Sá</t>
  </si>
  <si>
    <t>Nélson</t>
  </si>
  <si>
    <t>Cabral Semedo</t>
  </si>
  <si>
    <t>N.Semedo</t>
  </si>
  <si>
    <t>Santiago</t>
  </si>
  <si>
    <t>Bueno</t>
  </si>
  <si>
    <t>S.Bueno</t>
  </si>
  <si>
    <t>Toti António</t>
  </si>
  <si>
    <t>Gomes</t>
  </si>
  <si>
    <t>Toti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</si>
</sst>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L164" totalsRowShown="0">
  <autoFilter ref="A1:AL164" xr:uid="{00000000-0009-0000-0100-000001000000}">
    <filterColumn colId="37">
      <filters>
        <filter val="1"/>
      </filters>
    </filterColumn>
  </autoFilter>
  <sortState xmlns:xlrd2="http://schemas.microsoft.com/office/spreadsheetml/2017/richdata2" ref="A7:AL133">
    <sortCondition descending="1" ref="AI1:AI164"/>
  </sortState>
  <tableColumns count="38">
    <tableColumn id="1" xr3:uid="{00000000-0010-0000-0000-000001000000}" name="First Name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CHE"/>
    <tableColumn id="16" xr3:uid="{00000000-0010-0000-0000-000010000000}" name="CRY"/>
    <tableColumn id="17" xr3:uid="{00000000-0010-0000-0000-000011000000}" name="EVE"/>
    <tableColumn id="18" xr3:uid="{00000000-0010-0000-0000-000012000000}" name="FUL"/>
    <tableColumn id="19" xr3:uid="{00000000-0010-0000-0000-000013000000}" name="IPS"/>
    <tableColumn id="20" xr3:uid="{00000000-0010-0000-0000-000014000000}" name="LEI"/>
    <tableColumn id="21" xr3:uid="{00000000-0010-0000-0000-000015000000}" name="LIV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O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PP"/>
    <tableColumn id="35" xr3:uid="{00000000-0010-0000-0000-000023000000}" name="NEXT"/>
    <tableColumn id="36" xr3:uid="{00000000-0010-0000-0000-000024000000}" name="Health"/>
    <tableColumn id="37" xr3:uid="{00000000-0010-0000-0000-000025000000}" name="PREV"/>
    <tableColumn id="38" xr3:uid="{00000000-0010-0000-0000-000026000000}" name="Sele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64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5" max="8" width="0" hidden="1" customWidth="1"/>
    <col min="10" max="29" width="0" hidden="1" customWidth="1"/>
    <col min="31" max="33" width="0" hidden="1" customWidth="1"/>
  </cols>
  <sheetData>
    <row r="1" spans="1:43" x14ac:dyDescent="0.2">
      <c r="A1" t="s">
        <v>32</v>
      </c>
      <c r="B1" t="s">
        <v>33</v>
      </c>
      <c r="C1" t="s">
        <v>34</v>
      </c>
      <c r="D1" t="s">
        <v>35</v>
      </c>
      <c r="E1" t="s">
        <v>3</v>
      </c>
      <c r="F1" t="s">
        <v>4</v>
      </c>
      <c r="G1" t="s">
        <v>5</v>
      </c>
      <c r="H1" t="s">
        <v>6</v>
      </c>
      <c r="I1" t="s">
        <v>36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10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</row>
    <row r="2" spans="1:43" hidden="1" x14ac:dyDescent="0.2">
      <c r="A2" t="s">
        <v>45</v>
      </c>
      <c r="B2" t="s">
        <v>46</v>
      </c>
      <c r="C2" t="s">
        <v>45</v>
      </c>
      <c r="D2" t="s">
        <v>4</v>
      </c>
      <c r="E2">
        <v>0</v>
      </c>
      <c r="F2">
        <v>1</v>
      </c>
      <c r="G2">
        <v>0</v>
      </c>
      <c r="H2">
        <v>0</v>
      </c>
      <c r="I2" t="s">
        <v>12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6.2</v>
      </c>
      <c r="AE2">
        <v>2</v>
      </c>
      <c r="AF2">
        <v>15.70536824884582</v>
      </c>
      <c r="AG2">
        <v>15.85704870127118</v>
      </c>
      <c r="AH2">
        <f>11.9538019866399*0</f>
        <v>0</v>
      </c>
      <c r="AI2">
        <f>0*0</f>
        <v>0</v>
      </c>
      <c r="AJ2">
        <v>0</v>
      </c>
      <c r="AK2">
        <v>0</v>
      </c>
      <c r="AL2">
        <v>0</v>
      </c>
      <c r="AN2" t="s">
        <v>0</v>
      </c>
      <c r="AO2">
        <f>SUMPRODUCT(Table1[Selected], Table1[PP])</f>
        <v>315.24016635191708</v>
      </c>
      <c r="AP2" t="s">
        <v>1</v>
      </c>
    </row>
    <row r="3" spans="1:43" hidden="1" x14ac:dyDescent="0.2">
      <c r="A3" t="s">
        <v>45</v>
      </c>
      <c r="B3" t="s">
        <v>47</v>
      </c>
      <c r="C3" t="s">
        <v>48</v>
      </c>
      <c r="D3" t="s">
        <v>5</v>
      </c>
      <c r="E3">
        <v>0</v>
      </c>
      <c r="F3">
        <v>0</v>
      </c>
      <c r="G3">
        <v>1</v>
      </c>
      <c r="H3">
        <v>0</v>
      </c>
      <c r="I3" t="s">
        <v>12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6.5</v>
      </c>
      <c r="AE3">
        <v>8</v>
      </c>
      <c r="AF3">
        <v>14.166666865546791</v>
      </c>
      <c r="AG3">
        <v>20.567734576953239</v>
      </c>
      <c r="AH3">
        <f>7.54783307572663*1</f>
        <v>7.5478330757266301</v>
      </c>
      <c r="AI3">
        <f t="shared" ref="AI3:AI16" si="0">0*1</f>
        <v>0</v>
      </c>
      <c r="AJ3">
        <v>1</v>
      </c>
      <c r="AK3">
        <v>0</v>
      </c>
      <c r="AL3">
        <v>0</v>
      </c>
    </row>
    <row r="4" spans="1:43" hidden="1" x14ac:dyDescent="0.2">
      <c r="A4" t="s">
        <v>49</v>
      </c>
      <c r="B4" t="s">
        <v>50</v>
      </c>
      <c r="C4" t="s">
        <v>50</v>
      </c>
      <c r="D4" t="s">
        <v>5</v>
      </c>
      <c r="E4">
        <v>0</v>
      </c>
      <c r="F4">
        <v>0</v>
      </c>
      <c r="G4">
        <v>1</v>
      </c>
      <c r="H4">
        <v>0</v>
      </c>
      <c r="I4" t="s">
        <v>12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8.1999999999999993</v>
      </c>
      <c r="AE4">
        <v>10</v>
      </c>
      <c r="AF4">
        <v>18.129496402877692</v>
      </c>
      <c r="AG4">
        <v>20.46086548613464</v>
      </c>
      <c r="AH4">
        <f>10.2974511182898*1</f>
        <v>10.2974511182898</v>
      </c>
      <c r="AI4">
        <f t="shared" si="0"/>
        <v>0</v>
      </c>
      <c r="AJ4">
        <v>1</v>
      </c>
      <c r="AK4">
        <v>0</v>
      </c>
      <c r="AL4">
        <v>0</v>
      </c>
      <c r="AN4" t="s">
        <v>2</v>
      </c>
      <c r="AO4">
        <f>SUMPRODUCT(Table1[Selected],Table1[Cost])</f>
        <v>100</v>
      </c>
      <c r="AP4">
        <v>101.2</v>
      </c>
    </row>
    <row r="5" spans="1:43" hidden="1" x14ac:dyDescent="0.2">
      <c r="A5" t="s">
        <v>51</v>
      </c>
      <c r="B5" t="s">
        <v>52</v>
      </c>
      <c r="C5" t="s">
        <v>53</v>
      </c>
      <c r="D5" t="s">
        <v>3</v>
      </c>
      <c r="E5">
        <v>1</v>
      </c>
      <c r="F5">
        <v>0</v>
      </c>
      <c r="G5">
        <v>0</v>
      </c>
      <c r="H5">
        <v>0</v>
      </c>
      <c r="I5" t="s">
        <v>12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5.6</v>
      </c>
      <c r="AE5">
        <v>11</v>
      </c>
      <c r="AF5">
        <v>16.629611112771311</v>
      </c>
      <c r="AG5">
        <v>18.184939225906259</v>
      </c>
      <c r="AH5">
        <f>11.1482957160489*1</f>
        <v>11.148295716048899</v>
      </c>
      <c r="AI5">
        <f t="shared" si="0"/>
        <v>0</v>
      </c>
      <c r="AJ5">
        <v>1</v>
      </c>
      <c r="AK5">
        <v>0</v>
      </c>
      <c r="AL5">
        <v>0</v>
      </c>
    </row>
    <row r="6" spans="1:43" hidden="1" x14ac:dyDescent="0.2">
      <c r="A6" t="s">
        <v>54</v>
      </c>
      <c r="B6" t="s">
        <v>55</v>
      </c>
      <c r="C6" t="s">
        <v>55</v>
      </c>
      <c r="D6" t="s">
        <v>5</v>
      </c>
      <c r="E6">
        <v>0</v>
      </c>
      <c r="F6">
        <v>0</v>
      </c>
      <c r="G6">
        <v>1</v>
      </c>
      <c r="H6">
        <v>0</v>
      </c>
      <c r="I6" t="s">
        <v>12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6.2</v>
      </c>
      <c r="AE6">
        <v>12</v>
      </c>
      <c r="AF6">
        <v>14.03115578249515</v>
      </c>
      <c r="AG6">
        <v>11.82325528924537</v>
      </c>
      <c r="AH6">
        <f>8.26364828443705*1</f>
        <v>8.2636482844370498</v>
      </c>
      <c r="AI6">
        <f t="shared" si="0"/>
        <v>0</v>
      </c>
      <c r="AJ6">
        <v>1</v>
      </c>
      <c r="AK6">
        <v>0</v>
      </c>
      <c r="AL6">
        <v>0</v>
      </c>
      <c r="AN6" t="s">
        <v>3</v>
      </c>
      <c r="AO6">
        <v>2</v>
      </c>
      <c r="AP6">
        <f>SUMPRODUCT(Table1[Selected],Table1[GKP])</f>
        <v>2</v>
      </c>
      <c r="AQ6">
        <v>2</v>
      </c>
    </row>
    <row r="7" spans="1:43" x14ac:dyDescent="0.2">
      <c r="A7" t="s">
        <v>290</v>
      </c>
      <c r="B7" t="s">
        <v>291</v>
      </c>
      <c r="C7" t="s">
        <v>292</v>
      </c>
      <c r="D7" t="s">
        <v>5</v>
      </c>
      <c r="E7">
        <v>0</v>
      </c>
      <c r="F7">
        <v>0</v>
      </c>
      <c r="G7">
        <v>1</v>
      </c>
      <c r="H7">
        <v>0</v>
      </c>
      <c r="I7" t="s">
        <v>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5.2</v>
      </c>
      <c r="AE7">
        <v>571</v>
      </c>
      <c r="AF7">
        <v>24.25744560976614</v>
      </c>
      <c r="AG7">
        <v>11.29574158920542</v>
      </c>
      <c r="AH7">
        <f>35.6114286117201*1</f>
        <v>35.6114286117201</v>
      </c>
      <c r="AI7">
        <f>7.13611755679137*1</f>
        <v>7.1361175567913699</v>
      </c>
      <c r="AJ7">
        <v>1</v>
      </c>
      <c r="AK7">
        <v>1</v>
      </c>
      <c r="AL7">
        <v>1</v>
      </c>
      <c r="AN7" t="s">
        <v>4</v>
      </c>
      <c r="AO7">
        <v>5</v>
      </c>
      <c r="AP7">
        <f>SUMPRODUCT(Table1[Selected],Table1[DEF])</f>
        <v>5</v>
      </c>
      <c r="AQ7">
        <v>5</v>
      </c>
    </row>
    <row r="8" spans="1:43" hidden="1" x14ac:dyDescent="0.2">
      <c r="A8" t="s">
        <v>58</v>
      </c>
      <c r="B8" t="s">
        <v>59</v>
      </c>
      <c r="C8" t="s">
        <v>58</v>
      </c>
      <c r="D8" t="s">
        <v>5</v>
      </c>
      <c r="E8">
        <v>0</v>
      </c>
      <c r="F8">
        <v>0</v>
      </c>
      <c r="G8">
        <v>1</v>
      </c>
      <c r="H8">
        <v>0</v>
      </c>
      <c r="I8" t="s">
        <v>12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4.9000000000000004</v>
      </c>
      <c r="AE8">
        <v>15</v>
      </c>
      <c r="AF8">
        <v>9.8333333333333357</v>
      </c>
      <c r="AG8">
        <v>8.4347475005246224</v>
      </c>
      <c r="AH8">
        <f>7.24129247047705*1</f>
        <v>7.2412924704770498</v>
      </c>
      <c r="AI8">
        <f>0*1</f>
        <v>0</v>
      </c>
      <c r="AJ8">
        <v>1</v>
      </c>
      <c r="AK8">
        <v>0</v>
      </c>
      <c r="AL8">
        <v>0</v>
      </c>
      <c r="AN8" t="s">
        <v>5</v>
      </c>
      <c r="AO8">
        <v>5</v>
      </c>
      <c r="AP8">
        <f>SUMPRODUCT(Table1[Selected],Table1[MID])</f>
        <v>5</v>
      </c>
      <c r="AQ8">
        <v>5</v>
      </c>
    </row>
    <row r="9" spans="1:43" hidden="1" x14ac:dyDescent="0.2">
      <c r="A9" t="s">
        <v>60</v>
      </c>
      <c r="B9" t="s">
        <v>61</v>
      </c>
      <c r="C9" t="s">
        <v>61</v>
      </c>
      <c r="D9" t="s">
        <v>5</v>
      </c>
      <c r="E9">
        <v>0</v>
      </c>
      <c r="F9">
        <v>0</v>
      </c>
      <c r="G9">
        <v>1</v>
      </c>
      <c r="H9">
        <v>0</v>
      </c>
      <c r="I9" t="s">
        <v>12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6.7</v>
      </c>
      <c r="AE9">
        <v>18</v>
      </c>
      <c r="AF9">
        <v>15.917510744810521</v>
      </c>
      <c r="AG9">
        <v>13.84386283742481</v>
      </c>
      <c r="AH9">
        <f>9.19093244893623*1</f>
        <v>9.1909324489362305</v>
      </c>
      <c r="AI9">
        <f>0*1</f>
        <v>0</v>
      </c>
      <c r="AJ9">
        <v>1</v>
      </c>
      <c r="AK9">
        <v>0</v>
      </c>
      <c r="AL9">
        <v>0</v>
      </c>
      <c r="AN9" t="s">
        <v>6</v>
      </c>
      <c r="AO9">
        <v>3</v>
      </c>
      <c r="AP9">
        <f>SUMPRODUCT(Table1[Selected],Table1[FWD])</f>
        <v>3</v>
      </c>
      <c r="AQ9">
        <v>3</v>
      </c>
    </row>
    <row r="10" spans="1:43" hidden="1" x14ac:dyDescent="0.2">
      <c r="A10" t="s">
        <v>62</v>
      </c>
      <c r="B10" t="s">
        <v>63</v>
      </c>
      <c r="C10" t="s">
        <v>63</v>
      </c>
      <c r="D10" t="s">
        <v>4</v>
      </c>
      <c r="E10">
        <v>0</v>
      </c>
      <c r="F10">
        <v>1</v>
      </c>
      <c r="G10">
        <v>0</v>
      </c>
      <c r="H10">
        <v>0</v>
      </c>
      <c r="I10" t="s">
        <v>13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4.5</v>
      </c>
      <c r="AE10">
        <v>44</v>
      </c>
      <c r="AF10">
        <v>10.73907963943711</v>
      </c>
      <c r="AG10">
        <v>12.273786792325261</v>
      </c>
      <c r="AH10">
        <f>5.88749924014646*1</f>
        <v>5.8874992401464601</v>
      </c>
      <c r="AI10">
        <f>0*1</f>
        <v>0</v>
      </c>
      <c r="AJ10">
        <v>1</v>
      </c>
      <c r="AK10">
        <v>0</v>
      </c>
      <c r="AL10">
        <v>0</v>
      </c>
      <c r="AN10" t="s">
        <v>7</v>
      </c>
      <c r="AO10">
        <v>15</v>
      </c>
      <c r="AP10">
        <f>SUM(SUMPRODUCT(Table1[Selected],Table1[GKP]), SUMPRODUCT(Table1[Selected],Table1[DEF]), SUMPRODUCT(Table1[Selected],Table1[MID]), SUMPRODUCT(Table1[Selected],Table1[FWD]))</f>
        <v>15</v>
      </c>
      <c r="AQ10">
        <v>15</v>
      </c>
    </row>
    <row r="11" spans="1:43" hidden="1" x14ac:dyDescent="0.2">
      <c r="A11" t="s">
        <v>64</v>
      </c>
      <c r="B11" t="s">
        <v>65</v>
      </c>
      <c r="C11" t="s">
        <v>66</v>
      </c>
      <c r="D11" t="s">
        <v>4</v>
      </c>
      <c r="E11">
        <v>0</v>
      </c>
      <c r="F11">
        <v>1</v>
      </c>
      <c r="G11">
        <v>0</v>
      </c>
      <c r="H11">
        <v>0</v>
      </c>
      <c r="I11" t="s">
        <v>13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4.4000000000000004</v>
      </c>
      <c r="AE11">
        <v>52</v>
      </c>
      <c r="AF11">
        <v>10.96216216216215</v>
      </c>
      <c r="AG11">
        <v>11.101192276734601</v>
      </c>
      <c r="AH11">
        <f>5.81957475796853*1</f>
        <v>5.81957475796853</v>
      </c>
      <c r="AI11">
        <f>0*1</f>
        <v>0</v>
      </c>
      <c r="AJ11">
        <v>1</v>
      </c>
      <c r="AK11">
        <v>0</v>
      </c>
      <c r="AL11">
        <v>0</v>
      </c>
    </row>
    <row r="12" spans="1:43" hidden="1" x14ac:dyDescent="0.2">
      <c r="A12" t="s">
        <v>67</v>
      </c>
      <c r="B12" t="s">
        <v>68</v>
      </c>
      <c r="C12" t="s">
        <v>69</v>
      </c>
      <c r="D12" t="s">
        <v>3</v>
      </c>
      <c r="E12">
        <v>1</v>
      </c>
      <c r="F12">
        <v>0</v>
      </c>
      <c r="G12">
        <v>0</v>
      </c>
      <c r="H12">
        <v>0</v>
      </c>
      <c r="I12" t="s">
        <v>13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55</v>
      </c>
      <c r="AF12">
        <v>12.848484848484841</v>
      </c>
      <c r="AG12">
        <v>12.99019442476054</v>
      </c>
      <c r="AH12">
        <f>6.03117837337763*1</f>
        <v>6.0311783733776299</v>
      </c>
      <c r="AI12">
        <f>0*1</f>
        <v>0</v>
      </c>
      <c r="AJ12">
        <v>1</v>
      </c>
      <c r="AK12">
        <v>0</v>
      </c>
      <c r="AL12">
        <v>0</v>
      </c>
      <c r="AN12" t="s">
        <v>8</v>
      </c>
      <c r="AO12">
        <f>SUMPRODUCT(Table1[Selected], -- (Table1[PREV] = 0))</f>
        <v>1</v>
      </c>
    </row>
    <row r="13" spans="1:43" hidden="1" x14ac:dyDescent="0.2">
      <c r="A13" t="s">
        <v>70</v>
      </c>
      <c r="B13" t="s">
        <v>71</v>
      </c>
      <c r="C13" t="s">
        <v>71</v>
      </c>
      <c r="D13" t="s">
        <v>5</v>
      </c>
      <c r="E13">
        <v>0</v>
      </c>
      <c r="F13">
        <v>0</v>
      </c>
      <c r="G13">
        <v>1</v>
      </c>
      <c r="H13">
        <v>0</v>
      </c>
      <c r="I13" t="s">
        <v>13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5.2</v>
      </c>
      <c r="AE13">
        <v>56</v>
      </c>
      <c r="AF13">
        <v>11.576719576719601</v>
      </c>
      <c r="AG13">
        <v>12.301408221088129</v>
      </c>
      <c r="AH13">
        <f>5.56300106649064*1</f>
        <v>5.5630010664906404</v>
      </c>
      <c r="AI13">
        <f>0*1</f>
        <v>0</v>
      </c>
      <c r="AJ13">
        <v>1</v>
      </c>
      <c r="AK13">
        <v>0</v>
      </c>
      <c r="AL13">
        <v>0</v>
      </c>
      <c r="AN13" t="s">
        <v>9</v>
      </c>
      <c r="AO13">
        <v>1</v>
      </c>
    </row>
    <row r="14" spans="1:43" hidden="1" x14ac:dyDescent="0.2">
      <c r="A14" t="s">
        <v>72</v>
      </c>
      <c r="B14" t="s">
        <v>73</v>
      </c>
      <c r="C14" t="s">
        <v>73</v>
      </c>
      <c r="D14" t="s">
        <v>5</v>
      </c>
      <c r="E14">
        <v>0</v>
      </c>
      <c r="F14">
        <v>0</v>
      </c>
      <c r="G14">
        <v>1</v>
      </c>
      <c r="H14">
        <v>0</v>
      </c>
      <c r="I14" t="s">
        <v>13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5.7</v>
      </c>
      <c r="AE14">
        <v>62</v>
      </c>
      <c r="AF14">
        <v>0</v>
      </c>
      <c r="AG14">
        <v>0</v>
      </c>
      <c r="AH14">
        <f>0*1</f>
        <v>0</v>
      </c>
      <c r="AI14">
        <f>0*1</f>
        <v>0</v>
      </c>
      <c r="AJ14">
        <v>1</v>
      </c>
      <c r="AK14">
        <v>0</v>
      </c>
      <c r="AL14">
        <v>0</v>
      </c>
    </row>
    <row r="15" spans="1:43" hidden="1" x14ac:dyDescent="0.2">
      <c r="A15" t="s">
        <v>74</v>
      </c>
      <c r="B15" t="s">
        <v>75</v>
      </c>
      <c r="C15" t="s">
        <v>75</v>
      </c>
      <c r="D15" t="s">
        <v>5</v>
      </c>
      <c r="E15">
        <v>0</v>
      </c>
      <c r="F15">
        <v>0</v>
      </c>
      <c r="G15">
        <v>1</v>
      </c>
      <c r="H15">
        <v>0</v>
      </c>
      <c r="I15" t="s">
        <v>13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5.5</v>
      </c>
      <c r="AE15">
        <v>65</v>
      </c>
      <c r="AF15">
        <v>12.956179755137491</v>
      </c>
      <c r="AG15">
        <v>13.51801727301492</v>
      </c>
      <c r="AH15">
        <f>8.43534775846211*1</f>
        <v>8.4353477584621093</v>
      </c>
      <c r="AI15">
        <f>0*1</f>
        <v>0</v>
      </c>
      <c r="AJ15">
        <v>1</v>
      </c>
      <c r="AK15">
        <v>0</v>
      </c>
      <c r="AL15">
        <v>0</v>
      </c>
      <c r="AN15" t="s">
        <v>10</v>
      </c>
      <c r="AO15">
        <f>((AO12-AO13)+ABS((AO12-AO13)))/2*4</f>
        <v>0</v>
      </c>
    </row>
    <row r="16" spans="1:43" hidden="1" x14ac:dyDescent="0.2">
      <c r="A16" t="s">
        <v>76</v>
      </c>
      <c r="B16" t="s">
        <v>77</v>
      </c>
      <c r="C16" t="s">
        <v>77</v>
      </c>
      <c r="D16" t="s">
        <v>6</v>
      </c>
      <c r="E16">
        <v>0</v>
      </c>
      <c r="F16">
        <v>0</v>
      </c>
      <c r="G16">
        <v>0</v>
      </c>
      <c r="H16">
        <v>1</v>
      </c>
      <c r="I16" t="s">
        <v>13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8.9</v>
      </c>
      <c r="AE16">
        <v>66</v>
      </c>
      <c r="AF16">
        <v>18.94736842105263</v>
      </c>
      <c r="AG16">
        <v>21.63733207415774</v>
      </c>
      <c r="AH16">
        <f>11.4873205657441*1</f>
        <v>11.487320565744101</v>
      </c>
      <c r="AI16">
        <f>0*1</f>
        <v>0</v>
      </c>
      <c r="AJ16">
        <v>1</v>
      </c>
      <c r="AK16">
        <v>0</v>
      </c>
      <c r="AL16">
        <v>0</v>
      </c>
    </row>
    <row r="17" spans="1:42" hidden="1" x14ac:dyDescent="0.2">
      <c r="A17" t="s">
        <v>51</v>
      </c>
      <c r="B17" t="s">
        <v>78</v>
      </c>
      <c r="C17" t="s">
        <v>78</v>
      </c>
      <c r="D17" t="s">
        <v>5</v>
      </c>
      <c r="E17">
        <v>0</v>
      </c>
      <c r="F17">
        <v>0</v>
      </c>
      <c r="G17">
        <v>1</v>
      </c>
      <c r="H17">
        <v>0</v>
      </c>
      <c r="I17" t="s">
        <v>14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4.9000000000000004</v>
      </c>
      <c r="AE17">
        <v>83</v>
      </c>
      <c r="AF17">
        <v>5.1192103539480174</v>
      </c>
      <c r="AG17">
        <v>11.52680856016597</v>
      </c>
      <c r="AH17">
        <f>2.05591316634481*1</f>
        <v>2.0559131663448098</v>
      </c>
      <c r="AI17">
        <f>0.57923264026007*1</f>
        <v>0.57923264026007004</v>
      </c>
      <c r="AJ17">
        <v>1</v>
      </c>
      <c r="AK17">
        <v>0</v>
      </c>
      <c r="AL17">
        <v>0</v>
      </c>
      <c r="AN17" t="s">
        <v>11</v>
      </c>
      <c r="AO17">
        <f>AO2-AO15*5</f>
        <v>315.24016635191708</v>
      </c>
    </row>
    <row r="18" spans="1:42" hidden="1" x14ac:dyDescent="0.2">
      <c r="A18" t="s">
        <v>79</v>
      </c>
      <c r="B18" t="s">
        <v>80</v>
      </c>
      <c r="C18" t="s">
        <v>80</v>
      </c>
      <c r="D18" t="s">
        <v>5</v>
      </c>
      <c r="E18">
        <v>0</v>
      </c>
      <c r="F18">
        <v>0</v>
      </c>
      <c r="G18">
        <v>1</v>
      </c>
      <c r="H18">
        <v>0</v>
      </c>
      <c r="I18" t="s">
        <v>14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4.9000000000000004</v>
      </c>
      <c r="AE18">
        <v>84</v>
      </c>
      <c r="AF18">
        <v>11.42105263157895</v>
      </c>
      <c r="AG18">
        <v>9.5726794816466754</v>
      </c>
      <c r="AH18">
        <f>9.01274791928921*1</f>
        <v>9.0127479192892093</v>
      </c>
      <c r="AI18">
        <f>1.77214139283178*1</f>
        <v>1.77214139283178</v>
      </c>
      <c r="AJ18">
        <v>1</v>
      </c>
      <c r="AK18">
        <v>0</v>
      </c>
      <c r="AL18">
        <v>0</v>
      </c>
    </row>
    <row r="19" spans="1:42" hidden="1" x14ac:dyDescent="0.2">
      <c r="A19" t="s">
        <v>81</v>
      </c>
      <c r="B19" t="s">
        <v>82</v>
      </c>
      <c r="C19" t="s">
        <v>82</v>
      </c>
      <c r="D19" t="s">
        <v>5</v>
      </c>
      <c r="E19">
        <v>0</v>
      </c>
      <c r="F19">
        <v>0</v>
      </c>
      <c r="G19">
        <v>1</v>
      </c>
      <c r="H19">
        <v>0</v>
      </c>
      <c r="I19" t="s">
        <v>14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</v>
      </c>
      <c r="AE19">
        <v>85</v>
      </c>
      <c r="AF19">
        <v>11.646520875727919</v>
      </c>
      <c r="AG19">
        <v>9.0893985337072323</v>
      </c>
      <c r="AH19">
        <f>10.9333185853476*1</f>
        <v>10.9333185853476</v>
      </c>
      <c r="AI19">
        <f>2.59096974437655*1</f>
        <v>2.59096974437655</v>
      </c>
      <c r="AJ19">
        <v>1</v>
      </c>
      <c r="AK19">
        <v>0</v>
      </c>
      <c r="AL19">
        <v>0</v>
      </c>
      <c r="AN19" t="s">
        <v>12</v>
      </c>
      <c r="AO19">
        <f>SUMPRODUCT(Table1[Selected],Table1[ARS])</f>
        <v>1</v>
      </c>
      <c r="AP19">
        <v>3</v>
      </c>
    </row>
    <row r="20" spans="1:42" hidden="1" x14ac:dyDescent="0.2">
      <c r="A20" t="s">
        <v>83</v>
      </c>
      <c r="B20" t="s">
        <v>84</v>
      </c>
      <c r="C20" t="s">
        <v>84</v>
      </c>
      <c r="D20" t="s">
        <v>4</v>
      </c>
      <c r="E20">
        <v>0</v>
      </c>
      <c r="F20">
        <v>1</v>
      </c>
      <c r="G20">
        <v>0</v>
      </c>
      <c r="H20">
        <v>0</v>
      </c>
      <c r="I20" t="s">
        <v>14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5.3</v>
      </c>
      <c r="AE20">
        <v>91</v>
      </c>
      <c r="AF20">
        <v>0</v>
      </c>
      <c r="AG20">
        <v>0</v>
      </c>
      <c r="AH20">
        <f>0*1</f>
        <v>0</v>
      </c>
      <c r="AI20">
        <f>0*1</f>
        <v>0</v>
      </c>
      <c r="AJ20">
        <v>1</v>
      </c>
      <c r="AK20">
        <v>0</v>
      </c>
      <c r="AL20">
        <v>0</v>
      </c>
      <c r="AN20" t="s">
        <v>13</v>
      </c>
      <c r="AO20">
        <f>SUMPRODUCT(Table1[Selected],Table1[AVL])</f>
        <v>0</v>
      </c>
      <c r="AP20">
        <v>3</v>
      </c>
    </row>
    <row r="21" spans="1:42" hidden="1" x14ac:dyDescent="0.2">
      <c r="A21" t="s">
        <v>85</v>
      </c>
      <c r="B21" t="s">
        <v>86</v>
      </c>
      <c r="C21" t="s">
        <v>86</v>
      </c>
      <c r="D21" t="s">
        <v>5</v>
      </c>
      <c r="E21">
        <v>0</v>
      </c>
      <c r="F21">
        <v>0</v>
      </c>
      <c r="G21">
        <v>1</v>
      </c>
      <c r="H21">
        <v>0</v>
      </c>
      <c r="I21" t="s">
        <v>14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</v>
      </c>
      <c r="AE21">
        <v>92</v>
      </c>
      <c r="AF21">
        <v>0</v>
      </c>
      <c r="AG21">
        <v>0</v>
      </c>
      <c r="AH21">
        <f>0*1</f>
        <v>0</v>
      </c>
      <c r="AI21">
        <f>0*1</f>
        <v>0</v>
      </c>
      <c r="AJ21">
        <v>1</v>
      </c>
      <c r="AK21">
        <v>0</v>
      </c>
      <c r="AL21">
        <v>0</v>
      </c>
      <c r="AN21" t="s">
        <v>14</v>
      </c>
      <c r="AO21">
        <f>SUMPRODUCT(Table1[Selected],Table1[BOU])</f>
        <v>1</v>
      </c>
      <c r="AP21">
        <v>3</v>
      </c>
    </row>
    <row r="22" spans="1:42" x14ac:dyDescent="0.2">
      <c r="A22" t="s">
        <v>106</v>
      </c>
      <c r="B22" t="s">
        <v>107</v>
      </c>
      <c r="C22" t="s">
        <v>107</v>
      </c>
      <c r="D22" t="s">
        <v>5</v>
      </c>
      <c r="E22">
        <v>0</v>
      </c>
      <c r="F22">
        <v>0</v>
      </c>
      <c r="G22">
        <v>1</v>
      </c>
      <c r="H22">
        <v>0</v>
      </c>
      <c r="I22" t="s">
        <v>15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</v>
      </c>
      <c r="AE22">
        <v>134</v>
      </c>
      <c r="AF22">
        <v>31.155372796205832</v>
      </c>
      <c r="AG22">
        <v>18.493526970634321</v>
      </c>
      <c r="AH22">
        <f>32.2891513784219*1</f>
        <v>32.289151378421899</v>
      </c>
      <c r="AI22">
        <f>6.64357315717305*1</f>
        <v>6.6435731571730496</v>
      </c>
      <c r="AJ22">
        <v>1</v>
      </c>
      <c r="AK22">
        <v>1</v>
      </c>
      <c r="AL22">
        <v>1</v>
      </c>
      <c r="AN22" t="s">
        <v>15</v>
      </c>
      <c r="AO22">
        <f>SUMPRODUCT(Table1[Selected],Table1[BRE])</f>
        <v>1</v>
      </c>
      <c r="AP22">
        <v>3</v>
      </c>
    </row>
    <row r="23" spans="1:42" hidden="1" x14ac:dyDescent="0.2">
      <c r="A23" t="s">
        <v>90</v>
      </c>
      <c r="B23" t="s">
        <v>91</v>
      </c>
      <c r="C23" t="s">
        <v>91</v>
      </c>
      <c r="D23" t="s">
        <v>5</v>
      </c>
      <c r="E23">
        <v>0</v>
      </c>
      <c r="F23">
        <v>0</v>
      </c>
      <c r="G23">
        <v>1</v>
      </c>
      <c r="H23">
        <v>0</v>
      </c>
      <c r="I23" t="s">
        <v>14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5.7</v>
      </c>
      <c r="AE23">
        <v>98</v>
      </c>
      <c r="AF23">
        <v>16.874999999999989</v>
      </c>
      <c r="AG23">
        <v>12.79673093885596</v>
      </c>
      <c r="AH23">
        <f>14.6303544311397*1</f>
        <v>14.6303544311397</v>
      </c>
      <c r="AI23">
        <f>2.89111679108297*1</f>
        <v>2.89111679108297</v>
      </c>
      <c r="AJ23">
        <v>1</v>
      </c>
      <c r="AK23">
        <v>0</v>
      </c>
      <c r="AL23">
        <v>0</v>
      </c>
      <c r="AN23" t="s">
        <v>16</v>
      </c>
      <c r="AO23">
        <f>SUMPRODUCT(Table1[Selected],Table1[BHA])</f>
        <v>0</v>
      </c>
      <c r="AP23">
        <v>3</v>
      </c>
    </row>
    <row r="24" spans="1:42" hidden="1" x14ac:dyDescent="0.2">
      <c r="A24" t="s">
        <v>92</v>
      </c>
      <c r="B24" t="s">
        <v>93</v>
      </c>
      <c r="C24" t="s">
        <v>93</v>
      </c>
      <c r="D24" t="s">
        <v>4</v>
      </c>
      <c r="E24">
        <v>0</v>
      </c>
      <c r="F24">
        <v>1</v>
      </c>
      <c r="G24">
        <v>0</v>
      </c>
      <c r="H24">
        <v>0</v>
      </c>
      <c r="I24" t="s">
        <v>14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4.4000000000000004</v>
      </c>
      <c r="AE24">
        <v>104</v>
      </c>
      <c r="AF24">
        <v>11.857142857142851</v>
      </c>
      <c r="AG24">
        <v>10.714346925701809</v>
      </c>
      <c r="AH24">
        <f>9.41483199219676*1</f>
        <v>9.4148319921967598</v>
      </c>
      <c r="AI24">
        <f>1.88384528006048*1</f>
        <v>1.8838452800604799</v>
      </c>
      <c r="AJ24">
        <v>1</v>
      </c>
      <c r="AK24">
        <v>0</v>
      </c>
      <c r="AL24">
        <v>0</v>
      </c>
      <c r="AN24" t="s">
        <v>17</v>
      </c>
      <c r="AO24">
        <f>SUMPRODUCT(Table1[Selected],Table1[CHE])</f>
        <v>1</v>
      </c>
      <c r="AP24">
        <v>3</v>
      </c>
    </row>
    <row r="25" spans="1:42" hidden="1" x14ac:dyDescent="0.2">
      <c r="A25" t="s">
        <v>94</v>
      </c>
      <c r="B25" t="s">
        <v>95</v>
      </c>
      <c r="C25" t="s">
        <v>95</v>
      </c>
      <c r="D25" t="s">
        <v>3</v>
      </c>
      <c r="E25">
        <v>1</v>
      </c>
      <c r="F25">
        <v>0</v>
      </c>
      <c r="G25">
        <v>0</v>
      </c>
      <c r="H25">
        <v>0</v>
      </c>
      <c r="I25" t="s">
        <v>14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4.5999999999999996</v>
      </c>
      <c r="AE25">
        <v>105</v>
      </c>
      <c r="AF25">
        <v>18.02325581395349</v>
      </c>
      <c r="AG25">
        <v>18.053581727793372</v>
      </c>
      <c r="AH25">
        <f>11.693581383512*1</f>
        <v>11.693581383512001</v>
      </c>
      <c r="AI25">
        <f>2.29428899410214*1</f>
        <v>2.29428899410214</v>
      </c>
      <c r="AJ25">
        <v>1</v>
      </c>
      <c r="AK25">
        <v>0</v>
      </c>
      <c r="AL25">
        <v>0</v>
      </c>
      <c r="AN25" t="s">
        <v>18</v>
      </c>
      <c r="AO25">
        <f>SUMPRODUCT(Table1[Selected],Table1[CRY])</f>
        <v>1</v>
      </c>
      <c r="AP25">
        <v>3</v>
      </c>
    </row>
    <row r="26" spans="1:42" hidden="1" x14ac:dyDescent="0.2">
      <c r="A26" t="s">
        <v>96</v>
      </c>
      <c r="B26" t="s">
        <v>97</v>
      </c>
      <c r="C26" t="s">
        <v>97</v>
      </c>
      <c r="D26" t="s">
        <v>4</v>
      </c>
      <c r="E26">
        <v>0</v>
      </c>
      <c r="F26">
        <v>1</v>
      </c>
      <c r="G26">
        <v>0</v>
      </c>
      <c r="H26">
        <v>0</v>
      </c>
      <c r="I26" t="s">
        <v>15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4.5</v>
      </c>
      <c r="AE26">
        <v>123</v>
      </c>
      <c r="AF26">
        <v>13.177570093457939</v>
      </c>
      <c r="AG26">
        <v>12.3043911816817</v>
      </c>
      <c r="AH26">
        <f>12.7579673766528*1</f>
        <v>12.7579673766528</v>
      </c>
      <c r="AI26">
        <f>2.39951058820752*1</f>
        <v>2.3995105882075198</v>
      </c>
      <c r="AJ26">
        <v>1</v>
      </c>
      <c r="AK26">
        <v>0</v>
      </c>
      <c r="AL26">
        <v>0</v>
      </c>
      <c r="AN26" t="s">
        <v>19</v>
      </c>
      <c r="AO26">
        <f>SUMPRODUCT(Table1[Selected],Table1[EVE])</f>
        <v>1</v>
      </c>
      <c r="AP26">
        <v>3</v>
      </c>
    </row>
    <row r="27" spans="1:42" hidden="1" x14ac:dyDescent="0.2">
      <c r="A27" t="s">
        <v>98</v>
      </c>
      <c r="B27" t="s">
        <v>99</v>
      </c>
      <c r="C27" t="s">
        <v>99</v>
      </c>
      <c r="D27" t="s">
        <v>5</v>
      </c>
      <c r="E27">
        <v>0</v>
      </c>
      <c r="F27">
        <v>0</v>
      </c>
      <c r="G27">
        <v>1</v>
      </c>
      <c r="H27">
        <v>0</v>
      </c>
      <c r="I27" t="s">
        <v>15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</v>
      </c>
      <c r="AE27">
        <v>124</v>
      </c>
      <c r="AF27">
        <v>14.532245226697899</v>
      </c>
      <c r="AG27">
        <v>8.8626408795920035</v>
      </c>
      <c r="AH27">
        <f>16.7407572667978*1</f>
        <v>16.7407572667978</v>
      </c>
      <c r="AI27">
        <f>3.32642810510821*1</f>
        <v>3.3264281051082101</v>
      </c>
      <c r="AJ27">
        <v>1</v>
      </c>
      <c r="AK27">
        <v>0</v>
      </c>
      <c r="AL27">
        <v>0</v>
      </c>
      <c r="AN27" t="s">
        <v>20</v>
      </c>
      <c r="AO27">
        <f>SUMPRODUCT(Table1[Selected],Table1[FUL])</f>
        <v>1</v>
      </c>
      <c r="AP27">
        <v>3</v>
      </c>
    </row>
    <row r="28" spans="1:42" hidden="1" x14ac:dyDescent="0.2">
      <c r="A28" t="s">
        <v>100</v>
      </c>
      <c r="B28" t="s">
        <v>101</v>
      </c>
      <c r="C28" t="s">
        <v>101</v>
      </c>
      <c r="D28" t="s">
        <v>3</v>
      </c>
      <c r="E28">
        <v>1</v>
      </c>
      <c r="F28">
        <v>0</v>
      </c>
      <c r="G28">
        <v>0</v>
      </c>
      <c r="H28">
        <v>0</v>
      </c>
      <c r="I28" t="s">
        <v>15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4.4000000000000004</v>
      </c>
      <c r="AE28">
        <v>126</v>
      </c>
      <c r="AF28">
        <v>16.865671641791039</v>
      </c>
      <c r="AG28">
        <v>14.938535404140289</v>
      </c>
      <c r="AH28">
        <f>7.45046062847342*1</f>
        <v>7.4504606284734196</v>
      </c>
      <c r="AI28">
        <f>1.55687275431993*1</f>
        <v>1.5568727543199301</v>
      </c>
      <c r="AJ28">
        <v>1</v>
      </c>
      <c r="AK28">
        <v>0</v>
      </c>
      <c r="AL28">
        <v>0</v>
      </c>
      <c r="AN28" t="s">
        <v>21</v>
      </c>
      <c r="AO28">
        <f>SUMPRODUCT(Table1[Selected],Table1[IPS])</f>
        <v>0</v>
      </c>
      <c r="AP28">
        <v>3</v>
      </c>
    </row>
    <row r="29" spans="1:42" hidden="1" x14ac:dyDescent="0.2">
      <c r="A29" t="s">
        <v>102</v>
      </c>
      <c r="B29" t="s">
        <v>103</v>
      </c>
      <c r="C29" t="s">
        <v>103</v>
      </c>
      <c r="D29" t="s">
        <v>5</v>
      </c>
      <c r="E29">
        <v>0</v>
      </c>
      <c r="F29">
        <v>0</v>
      </c>
      <c r="G29">
        <v>1</v>
      </c>
      <c r="H29">
        <v>0</v>
      </c>
      <c r="I29" t="s">
        <v>15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4.8</v>
      </c>
      <c r="AE29">
        <v>129</v>
      </c>
      <c r="AF29">
        <v>12.67175572519084</v>
      </c>
      <c r="AG29">
        <v>10.18298355149442</v>
      </c>
      <c r="AH29">
        <f>7.06049516315914*1</f>
        <v>7.0604951631591399</v>
      </c>
      <c r="AI29">
        <f>1.45023122474808*1</f>
        <v>1.45023122474808</v>
      </c>
      <c r="AJ29">
        <v>1</v>
      </c>
      <c r="AK29">
        <v>0</v>
      </c>
      <c r="AL29">
        <v>0</v>
      </c>
      <c r="AN29" t="s">
        <v>22</v>
      </c>
      <c r="AO29">
        <f>SUMPRODUCT(Table1[Selected],Table1[LEI])</f>
        <v>0</v>
      </c>
      <c r="AP29">
        <v>3</v>
      </c>
    </row>
    <row r="30" spans="1:42" hidden="1" x14ac:dyDescent="0.2">
      <c r="A30" t="s">
        <v>104</v>
      </c>
      <c r="B30" t="s">
        <v>105</v>
      </c>
      <c r="C30" t="s">
        <v>105</v>
      </c>
      <c r="D30" t="s">
        <v>5</v>
      </c>
      <c r="E30">
        <v>0</v>
      </c>
      <c r="F30">
        <v>0</v>
      </c>
      <c r="G30">
        <v>1</v>
      </c>
      <c r="H30">
        <v>0</v>
      </c>
      <c r="I30" t="s">
        <v>15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133</v>
      </c>
      <c r="AF30">
        <v>11.97183098591549</v>
      </c>
      <c r="AG30">
        <v>9.2725625953679334</v>
      </c>
      <c r="AH30">
        <f>10.2215634723088*1</f>
        <v>10.2215634723088</v>
      </c>
      <c r="AI30">
        <f>2.0893168717671*1</f>
        <v>2.0893168717671</v>
      </c>
      <c r="AJ30">
        <v>1</v>
      </c>
      <c r="AK30">
        <v>0</v>
      </c>
      <c r="AL30">
        <v>0</v>
      </c>
      <c r="AN30" t="s">
        <v>23</v>
      </c>
      <c r="AO30">
        <f>SUMPRODUCT(Table1[Selected],Table1[LIV])</f>
        <v>2</v>
      </c>
      <c r="AP30">
        <v>3</v>
      </c>
    </row>
    <row r="31" spans="1:42" x14ac:dyDescent="0.2">
      <c r="A31" t="s">
        <v>324</v>
      </c>
      <c r="B31" t="s">
        <v>325</v>
      </c>
      <c r="C31" t="s">
        <v>325</v>
      </c>
      <c r="D31" t="s">
        <v>6</v>
      </c>
      <c r="E31">
        <v>0</v>
      </c>
      <c r="F31">
        <v>0</v>
      </c>
      <c r="G31">
        <v>0</v>
      </c>
      <c r="H31">
        <v>1</v>
      </c>
      <c r="I31" t="s">
        <v>27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7</v>
      </c>
      <c r="AE31">
        <v>620</v>
      </c>
      <c r="AF31">
        <v>28.757703700066951</v>
      </c>
      <c r="AG31">
        <v>18.92474896140763</v>
      </c>
      <c r="AH31">
        <f>29.4496148179329*1</f>
        <v>29.4496148179329</v>
      </c>
      <c r="AI31">
        <f>6.41234275183656*1</f>
        <v>6.4123427518365599</v>
      </c>
      <c r="AJ31">
        <v>1</v>
      </c>
      <c r="AK31">
        <v>1</v>
      </c>
      <c r="AL31">
        <v>1</v>
      </c>
      <c r="AN31" t="s">
        <v>24</v>
      </c>
      <c r="AO31">
        <f>SUMPRODUCT(Table1[Selected],Table1[MCI])</f>
        <v>0</v>
      </c>
      <c r="AP31">
        <v>3</v>
      </c>
    </row>
    <row r="32" spans="1:42" hidden="1" x14ac:dyDescent="0.2">
      <c r="A32" t="s">
        <v>108</v>
      </c>
      <c r="B32" t="s">
        <v>109</v>
      </c>
      <c r="C32" t="s">
        <v>109</v>
      </c>
      <c r="D32" t="s">
        <v>5</v>
      </c>
      <c r="E32">
        <v>0</v>
      </c>
      <c r="F32">
        <v>0</v>
      </c>
      <c r="G32">
        <v>1</v>
      </c>
      <c r="H32">
        <v>0</v>
      </c>
      <c r="I32" t="s">
        <v>15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4.8</v>
      </c>
      <c r="AE32">
        <v>136</v>
      </c>
      <c r="AF32">
        <v>14.50450450450451</v>
      </c>
      <c r="AG32">
        <v>13.470718648881631</v>
      </c>
      <c r="AH32">
        <f>8.87130713419325*1</f>
        <v>8.8713071341932501</v>
      </c>
      <c r="AI32">
        <f>1.84921970406832*1</f>
        <v>1.84921970406832</v>
      </c>
      <c r="AJ32">
        <v>1</v>
      </c>
      <c r="AK32">
        <v>0</v>
      </c>
      <c r="AL32">
        <v>0</v>
      </c>
      <c r="AN32" t="s">
        <v>25</v>
      </c>
      <c r="AO32">
        <f>SUMPRODUCT(Table1[Selected],Table1[MUN])</f>
        <v>1</v>
      </c>
      <c r="AP32">
        <v>3</v>
      </c>
    </row>
    <row r="33" spans="1:42" hidden="1" x14ac:dyDescent="0.2">
      <c r="A33" t="s">
        <v>110</v>
      </c>
      <c r="B33" t="s">
        <v>111</v>
      </c>
      <c r="C33" t="s">
        <v>111</v>
      </c>
      <c r="D33" t="s">
        <v>5</v>
      </c>
      <c r="E33">
        <v>0</v>
      </c>
      <c r="F33">
        <v>0</v>
      </c>
      <c r="G33">
        <v>1</v>
      </c>
      <c r="H33">
        <v>0</v>
      </c>
      <c r="I33" t="s">
        <v>15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5.0999999999999996</v>
      </c>
      <c r="AE33">
        <v>141</v>
      </c>
      <c r="AF33">
        <v>0</v>
      </c>
      <c r="AG33">
        <v>0</v>
      </c>
      <c r="AH33">
        <f>0*1</f>
        <v>0</v>
      </c>
      <c r="AI33">
        <f>0*1</f>
        <v>0</v>
      </c>
      <c r="AJ33">
        <v>1</v>
      </c>
      <c r="AK33">
        <v>0</v>
      </c>
      <c r="AL33">
        <v>0</v>
      </c>
      <c r="AN33" t="s">
        <v>26</v>
      </c>
      <c r="AO33">
        <f>SUMPRODUCT(Table1[Selected],Table1[NEW])</f>
        <v>2</v>
      </c>
      <c r="AP33">
        <v>3</v>
      </c>
    </row>
    <row r="34" spans="1:42" hidden="1" x14ac:dyDescent="0.2">
      <c r="A34" t="s">
        <v>112</v>
      </c>
      <c r="B34" t="s">
        <v>113</v>
      </c>
      <c r="C34" t="s">
        <v>113</v>
      </c>
      <c r="D34" t="s">
        <v>6</v>
      </c>
      <c r="E34">
        <v>0</v>
      </c>
      <c r="F34">
        <v>0</v>
      </c>
      <c r="G34">
        <v>0</v>
      </c>
      <c r="H34">
        <v>1</v>
      </c>
      <c r="I34" t="s">
        <v>15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6.5</v>
      </c>
      <c r="AE34">
        <v>145</v>
      </c>
      <c r="AF34">
        <v>24.545280876400351</v>
      </c>
      <c r="AG34">
        <v>17.489720600128258</v>
      </c>
      <c r="AH34">
        <f>22.8632690258304*1</f>
        <v>22.863269025830402</v>
      </c>
      <c r="AI34">
        <f>4.82120298550623*1</f>
        <v>4.8212029855062299</v>
      </c>
      <c r="AJ34">
        <v>1</v>
      </c>
      <c r="AK34">
        <v>0</v>
      </c>
      <c r="AL34">
        <v>0</v>
      </c>
      <c r="AN34" t="s">
        <v>27</v>
      </c>
      <c r="AO34">
        <f>SUMPRODUCT(Table1[Selected],Table1[NFO])</f>
        <v>3</v>
      </c>
      <c r="AP34">
        <v>3</v>
      </c>
    </row>
    <row r="35" spans="1:42" hidden="1" x14ac:dyDescent="0.2">
      <c r="A35" t="s">
        <v>114</v>
      </c>
      <c r="B35" t="s">
        <v>115</v>
      </c>
      <c r="C35" t="s">
        <v>115</v>
      </c>
      <c r="D35" t="s">
        <v>5</v>
      </c>
      <c r="E35">
        <v>0</v>
      </c>
      <c r="F35">
        <v>0</v>
      </c>
      <c r="G35">
        <v>1</v>
      </c>
      <c r="H35">
        <v>0</v>
      </c>
      <c r="I35" t="s">
        <v>16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</v>
      </c>
      <c r="AE35">
        <v>163</v>
      </c>
      <c r="AF35">
        <v>0</v>
      </c>
      <c r="AG35">
        <v>0</v>
      </c>
      <c r="AH35">
        <f>0*1</f>
        <v>0</v>
      </c>
      <c r="AI35">
        <f>0*1</f>
        <v>0</v>
      </c>
      <c r="AJ35">
        <v>1</v>
      </c>
      <c r="AK35">
        <v>0</v>
      </c>
      <c r="AL35">
        <v>0</v>
      </c>
      <c r="AN35" t="s">
        <v>28</v>
      </c>
      <c r="AO35">
        <f>SUMPRODUCT(Table1[Selected],Table1[SOU])</f>
        <v>0</v>
      </c>
      <c r="AP35">
        <v>3</v>
      </c>
    </row>
    <row r="36" spans="1:42" hidden="1" x14ac:dyDescent="0.2">
      <c r="A36" t="s">
        <v>116</v>
      </c>
      <c r="B36" t="s">
        <v>117</v>
      </c>
      <c r="C36" t="s">
        <v>118</v>
      </c>
      <c r="D36" t="s">
        <v>4</v>
      </c>
      <c r="E36">
        <v>0</v>
      </c>
      <c r="F36">
        <v>1</v>
      </c>
      <c r="G36">
        <v>0</v>
      </c>
      <c r="H36">
        <v>0</v>
      </c>
      <c r="I36" t="s">
        <v>16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4.9000000000000004</v>
      </c>
      <c r="AE36">
        <v>168</v>
      </c>
      <c r="AF36">
        <v>12.89181010080887</v>
      </c>
      <c r="AG36">
        <v>17.565497075572591</v>
      </c>
      <c r="AH36">
        <f>5.31179499950022*1</f>
        <v>5.3117949995002203</v>
      </c>
      <c r="AI36">
        <f>0.806238721737877*1</f>
        <v>0.80623872173787703</v>
      </c>
      <c r="AJ36">
        <v>1</v>
      </c>
      <c r="AK36">
        <v>0</v>
      </c>
      <c r="AL36">
        <v>0</v>
      </c>
      <c r="AN36" t="s">
        <v>29</v>
      </c>
      <c r="AO36">
        <f>SUMPRODUCT(Table1[Selected],Table1[TOT])</f>
        <v>0</v>
      </c>
      <c r="AP36">
        <v>3</v>
      </c>
    </row>
    <row r="37" spans="1:42" hidden="1" x14ac:dyDescent="0.2">
      <c r="A37" t="s">
        <v>119</v>
      </c>
      <c r="B37" t="s">
        <v>120</v>
      </c>
      <c r="C37" t="s">
        <v>119</v>
      </c>
      <c r="D37" t="s">
        <v>6</v>
      </c>
      <c r="E37">
        <v>0</v>
      </c>
      <c r="F37">
        <v>0</v>
      </c>
      <c r="G37">
        <v>0</v>
      </c>
      <c r="H37">
        <v>1</v>
      </c>
      <c r="I37" t="s">
        <v>16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5.6</v>
      </c>
      <c r="AE37">
        <v>174</v>
      </c>
      <c r="AF37">
        <v>18.731493172291731</v>
      </c>
      <c r="AG37">
        <v>16.522117609687189</v>
      </c>
      <c r="AH37">
        <f>14.0773239289824*1</f>
        <v>14.0773239289824</v>
      </c>
      <c r="AI37">
        <f>2.74806486890288*1</f>
        <v>2.7480648689028802</v>
      </c>
      <c r="AJ37">
        <v>1</v>
      </c>
      <c r="AK37">
        <v>0</v>
      </c>
      <c r="AL37">
        <v>0</v>
      </c>
      <c r="AN37" t="s">
        <v>30</v>
      </c>
      <c r="AO37">
        <f>SUMPRODUCT(Table1[Selected],Table1[WHU])</f>
        <v>0</v>
      </c>
      <c r="AP37">
        <v>3</v>
      </c>
    </row>
    <row r="38" spans="1:42" hidden="1" x14ac:dyDescent="0.2">
      <c r="A38" t="s">
        <v>121</v>
      </c>
      <c r="B38" t="s">
        <v>122</v>
      </c>
      <c r="C38" t="s">
        <v>123</v>
      </c>
      <c r="D38" t="s">
        <v>4</v>
      </c>
      <c r="E38">
        <v>0</v>
      </c>
      <c r="F38">
        <v>1</v>
      </c>
      <c r="G38">
        <v>0</v>
      </c>
      <c r="H38">
        <v>0</v>
      </c>
      <c r="I38" t="s">
        <v>16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4.5</v>
      </c>
      <c r="AE38">
        <v>189</v>
      </c>
      <c r="AF38">
        <v>0</v>
      </c>
      <c r="AG38">
        <v>0</v>
      </c>
      <c r="AH38">
        <f>0*1</f>
        <v>0</v>
      </c>
      <c r="AI38">
        <f>0*1</f>
        <v>0</v>
      </c>
      <c r="AJ38">
        <v>1</v>
      </c>
      <c r="AK38">
        <v>0</v>
      </c>
      <c r="AL38">
        <v>0</v>
      </c>
      <c r="AN38" t="s">
        <v>31</v>
      </c>
      <c r="AO38">
        <f>SUMPRODUCT(Table1[Selected],Table1[WOL])</f>
        <v>0</v>
      </c>
      <c r="AP38">
        <v>3</v>
      </c>
    </row>
    <row r="39" spans="1:42" hidden="1" x14ac:dyDescent="0.2">
      <c r="A39" t="s">
        <v>124</v>
      </c>
      <c r="B39" t="s">
        <v>125</v>
      </c>
      <c r="C39" t="s">
        <v>125</v>
      </c>
      <c r="D39" t="s">
        <v>3</v>
      </c>
      <c r="E39">
        <v>1</v>
      </c>
      <c r="F39">
        <v>0</v>
      </c>
      <c r="G39">
        <v>0</v>
      </c>
      <c r="H39">
        <v>0</v>
      </c>
      <c r="I39" t="s">
        <v>16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4.5999999999999996</v>
      </c>
      <c r="AE39">
        <v>191</v>
      </c>
      <c r="AF39">
        <v>0</v>
      </c>
      <c r="AG39">
        <v>0</v>
      </c>
      <c r="AH39">
        <f>0*1</f>
        <v>0</v>
      </c>
      <c r="AI39">
        <f>0*1</f>
        <v>0</v>
      </c>
      <c r="AJ39">
        <v>1</v>
      </c>
      <c r="AK39">
        <v>0</v>
      </c>
      <c r="AL39">
        <v>0</v>
      </c>
    </row>
    <row r="40" spans="1:42" hidden="1" x14ac:dyDescent="0.2">
      <c r="A40" t="s">
        <v>126</v>
      </c>
      <c r="B40" t="s">
        <v>127</v>
      </c>
      <c r="C40" t="s">
        <v>127</v>
      </c>
      <c r="D40" t="s">
        <v>6</v>
      </c>
      <c r="E40">
        <v>0</v>
      </c>
      <c r="F40">
        <v>0</v>
      </c>
      <c r="G40">
        <v>0</v>
      </c>
      <c r="H40">
        <v>1</v>
      </c>
      <c r="I40" t="s">
        <v>16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5.5</v>
      </c>
      <c r="AE40">
        <v>193</v>
      </c>
      <c r="AF40">
        <v>16.416010174993229</v>
      </c>
      <c r="AG40">
        <v>13.464803039649521</v>
      </c>
      <c r="AH40">
        <f>12.1594581647024*1</f>
        <v>12.1594581647024</v>
      </c>
      <c r="AI40">
        <f>2.47854576666637*1</f>
        <v>2.4785457666663699</v>
      </c>
      <c r="AJ40">
        <v>1</v>
      </c>
      <c r="AK40">
        <v>0</v>
      </c>
      <c r="AL40">
        <v>0</v>
      </c>
    </row>
    <row r="41" spans="1:42" hidden="1" x14ac:dyDescent="0.2">
      <c r="A41" t="s">
        <v>128</v>
      </c>
      <c r="B41" t="s">
        <v>129</v>
      </c>
      <c r="C41" t="s">
        <v>128</v>
      </c>
      <c r="D41" t="s">
        <v>5</v>
      </c>
      <c r="E41">
        <v>0</v>
      </c>
      <c r="F41">
        <v>0</v>
      </c>
      <c r="G41">
        <v>1</v>
      </c>
      <c r="H41">
        <v>0</v>
      </c>
      <c r="I41" t="s">
        <v>16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</v>
      </c>
      <c r="AE41">
        <v>199</v>
      </c>
      <c r="AF41">
        <v>0</v>
      </c>
      <c r="AG41">
        <v>0</v>
      </c>
      <c r="AH41">
        <f>0*1</f>
        <v>0</v>
      </c>
      <c r="AI41">
        <f>0*1</f>
        <v>0</v>
      </c>
      <c r="AJ41">
        <v>1</v>
      </c>
      <c r="AK41">
        <v>0</v>
      </c>
      <c r="AL41">
        <v>0</v>
      </c>
    </row>
    <row r="42" spans="1:42" hidden="1" x14ac:dyDescent="0.2">
      <c r="A42" t="s">
        <v>130</v>
      </c>
      <c r="B42" t="s">
        <v>131</v>
      </c>
      <c r="C42" t="s">
        <v>132</v>
      </c>
      <c r="D42" t="s">
        <v>5</v>
      </c>
      <c r="E42">
        <v>0</v>
      </c>
      <c r="F42">
        <v>0</v>
      </c>
      <c r="G42">
        <v>1</v>
      </c>
      <c r="H42">
        <v>0</v>
      </c>
      <c r="I42" t="s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4.9000000000000004</v>
      </c>
      <c r="AE42">
        <v>218</v>
      </c>
      <c r="AF42">
        <v>11.59457914875526</v>
      </c>
      <c r="AG42">
        <v>12.023662874549281</v>
      </c>
      <c r="AH42">
        <f>10.497254284472*1</f>
        <v>10.497254284472</v>
      </c>
      <c r="AI42">
        <f>2.25194747599662*1</f>
        <v>2.2519474759966198</v>
      </c>
      <c r="AJ42">
        <v>1</v>
      </c>
      <c r="AK42">
        <v>0</v>
      </c>
      <c r="AL42">
        <v>0</v>
      </c>
    </row>
    <row r="43" spans="1:42" hidden="1" x14ac:dyDescent="0.2">
      <c r="A43" t="s">
        <v>133</v>
      </c>
      <c r="B43" t="s">
        <v>134</v>
      </c>
      <c r="C43" t="s">
        <v>134</v>
      </c>
      <c r="D43" t="s">
        <v>4</v>
      </c>
      <c r="E43">
        <v>0</v>
      </c>
      <c r="F43">
        <v>1</v>
      </c>
      <c r="G43">
        <v>0</v>
      </c>
      <c r="H43">
        <v>0</v>
      </c>
      <c r="I43" t="s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4.4000000000000004</v>
      </c>
      <c r="AE43">
        <v>222</v>
      </c>
      <c r="AF43">
        <v>13.52941176470587</v>
      </c>
      <c r="AG43">
        <v>12.08051939269644</v>
      </c>
      <c r="AH43">
        <f>7.27821990421333*1</f>
        <v>7.27821990421333</v>
      </c>
      <c r="AI43">
        <f>1.39954223309095*1</f>
        <v>1.3995422330909499</v>
      </c>
      <c r="AJ43">
        <v>1</v>
      </c>
      <c r="AK43">
        <v>0</v>
      </c>
      <c r="AL43">
        <v>0</v>
      </c>
    </row>
    <row r="44" spans="1:42" x14ac:dyDescent="0.2">
      <c r="A44" t="s">
        <v>285</v>
      </c>
      <c r="B44" t="s">
        <v>313</v>
      </c>
      <c r="C44" t="s">
        <v>313</v>
      </c>
      <c r="D44" t="s">
        <v>5</v>
      </c>
      <c r="E44">
        <v>0</v>
      </c>
      <c r="F44">
        <v>0</v>
      </c>
      <c r="G44">
        <v>1</v>
      </c>
      <c r="H44">
        <v>0</v>
      </c>
      <c r="I44" t="s">
        <v>27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5.4</v>
      </c>
      <c r="AE44">
        <v>606</v>
      </c>
      <c r="AF44">
        <v>31.587236179414589</v>
      </c>
      <c r="AG44">
        <v>10.49499090118479</v>
      </c>
      <c r="AH44">
        <f>28.9393581261063*1</f>
        <v>28.939358126106299</v>
      </c>
      <c r="AI44">
        <f>6.32399368688*1</f>
        <v>6.3239936868799997</v>
      </c>
      <c r="AJ44">
        <v>1</v>
      </c>
      <c r="AK44">
        <v>1</v>
      </c>
      <c r="AL44">
        <v>1</v>
      </c>
    </row>
    <row r="45" spans="1:42" hidden="1" x14ac:dyDescent="0.2">
      <c r="A45" t="s">
        <v>138</v>
      </c>
      <c r="B45" t="s">
        <v>139</v>
      </c>
      <c r="C45" t="s">
        <v>138</v>
      </c>
      <c r="D45" t="s">
        <v>5</v>
      </c>
      <c r="E45">
        <v>0</v>
      </c>
      <c r="F45">
        <v>0</v>
      </c>
      <c r="G45">
        <v>1</v>
      </c>
      <c r="H45">
        <v>0</v>
      </c>
      <c r="I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4.7</v>
      </c>
      <c r="AE45">
        <v>227</v>
      </c>
      <c r="AF45">
        <v>16.063533889928099</v>
      </c>
      <c r="AG45">
        <v>18.933079521829761</v>
      </c>
      <c r="AH45">
        <f>17.3939463757006*1</f>
        <v>17.393946375700601</v>
      </c>
      <c r="AI45">
        <f>3.63834638390332*1</f>
        <v>3.6383463839033201</v>
      </c>
      <c r="AJ45">
        <v>1</v>
      </c>
      <c r="AK45">
        <v>0</v>
      </c>
      <c r="AL45">
        <v>0</v>
      </c>
    </row>
    <row r="46" spans="1:42" hidden="1" x14ac:dyDescent="0.2">
      <c r="A46" t="s">
        <v>140</v>
      </c>
      <c r="B46" t="s">
        <v>141</v>
      </c>
      <c r="C46" t="s">
        <v>141</v>
      </c>
      <c r="D46" t="s">
        <v>4</v>
      </c>
      <c r="E46">
        <v>0</v>
      </c>
      <c r="F46">
        <v>1</v>
      </c>
      <c r="G46">
        <v>0</v>
      </c>
      <c r="H46">
        <v>0</v>
      </c>
      <c r="I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4.9000000000000004</v>
      </c>
      <c r="AE46">
        <v>230</v>
      </c>
      <c r="AF46">
        <v>0</v>
      </c>
      <c r="AG46">
        <v>0</v>
      </c>
      <c r="AH46">
        <f>0*1</f>
        <v>0</v>
      </c>
      <c r="AI46">
        <f>0*1</f>
        <v>0</v>
      </c>
      <c r="AJ46">
        <v>1</v>
      </c>
      <c r="AK46">
        <v>0</v>
      </c>
      <c r="AL46">
        <v>0</v>
      </c>
    </row>
    <row r="47" spans="1:42" hidden="1" x14ac:dyDescent="0.2">
      <c r="A47" t="s">
        <v>142</v>
      </c>
      <c r="B47" t="s">
        <v>143</v>
      </c>
      <c r="C47" t="s">
        <v>143</v>
      </c>
      <c r="D47" t="s">
        <v>5</v>
      </c>
      <c r="E47">
        <v>0</v>
      </c>
      <c r="F47">
        <v>0</v>
      </c>
      <c r="G47">
        <v>1</v>
      </c>
      <c r="H47">
        <v>0</v>
      </c>
      <c r="I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</v>
      </c>
      <c r="AE47">
        <v>236</v>
      </c>
      <c r="AF47">
        <v>0</v>
      </c>
      <c r="AG47">
        <v>0</v>
      </c>
      <c r="AH47">
        <f>0*1</f>
        <v>0</v>
      </c>
      <c r="AI47">
        <f>0*1</f>
        <v>0</v>
      </c>
      <c r="AJ47">
        <v>1</v>
      </c>
      <c r="AK47">
        <v>0</v>
      </c>
      <c r="AL47">
        <v>0</v>
      </c>
    </row>
    <row r="48" spans="1:42" hidden="1" x14ac:dyDescent="0.2">
      <c r="A48" t="s">
        <v>144</v>
      </c>
      <c r="B48" t="s">
        <v>145</v>
      </c>
      <c r="C48" t="s">
        <v>146</v>
      </c>
      <c r="D48" t="s">
        <v>6</v>
      </c>
      <c r="E48">
        <v>0</v>
      </c>
      <c r="F48">
        <v>0</v>
      </c>
      <c r="G48">
        <v>0</v>
      </c>
      <c r="H48">
        <v>1</v>
      </c>
      <c r="I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7.7</v>
      </c>
      <c r="AE48">
        <v>239</v>
      </c>
      <c r="AF48">
        <v>0</v>
      </c>
      <c r="AG48">
        <v>0</v>
      </c>
      <c r="AH48">
        <f>0*1</f>
        <v>0</v>
      </c>
      <c r="AI48">
        <f>0*1</f>
        <v>0</v>
      </c>
      <c r="AJ48">
        <v>1</v>
      </c>
      <c r="AK48">
        <v>0</v>
      </c>
      <c r="AL48">
        <v>0</v>
      </c>
    </row>
    <row r="49" spans="1:38" hidden="1" x14ac:dyDescent="0.2">
      <c r="A49" t="s">
        <v>147</v>
      </c>
      <c r="B49" t="s">
        <v>148</v>
      </c>
      <c r="C49" t="s">
        <v>148</v>
      </c>
      <c r="D49" t="s">
        <v>5</v>
      </c>
      <c r="E49">
        <v>0</v>
      </c>
      <c r="F49">
        <v>0</v>
      </c>
      <c r="G49">
        <v>1</v>
      </c>
      <c r="H49">
        <v>0</v>
      </c>
      <c r="I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5.7</v>
      </c>
      <c r="AE49">
        <v>240</v>
      </c>
      <c r="AF49">
        <v>0</v>
      </c>
      <c r="AG49">
        <v>0</v>
      </c>
      <c r="AH49">
        <f>0*1</f>
        <v>0</v>
      </c>
      <c r="AI49">
        <f>0*1</f>
        <v>0</v>
      </c>
      <c r="AJ49">
        <v>1</v>
      </c>
      <c r="AK49">
        <v>0</v>
      </c>
      <c r="AL49">
        <v>0</v>
      </c>
    </row>
    <row r="50" spans="1:38" hidden="1" x14ac:dyDescent="0.2">
      <c r="A50" t="s">
        <v>149</v>
      </c>
      <c r="B50" t="s">
        <v>150</v>
      </c>
      <c r="C50" t="s">
        <v>150</v>
      </c>
      <c r="D50" t="s">
        <v>5</v>
      </c>
      <c r="E50">
        <v>0</v>
      </c>
      <c r="F50">
        <v>0</v>
      </c>
      <c r="G50">
        <v>1</v>
      </c>
      <c r="H50">
        <v>0</v>
      </c>
      <c r="I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10.6</v>
      </c>
      <c r="AE50">
        <v>241</v>
      </c>
      <c r="AF50">
        <v>17.695061821816878</v>
      </c>
      <c r="AG50">
        <v>49.93794160541448</v>
      </c>
      <c r="AH50">
        <f>11.1789824576542*1</f>
        <v>11.1789824576542</v>
      </c>
      <c r="AI50">
        <f>2.18217193817136*1</f>
        <v>2.18217193817136</v>
      </c>
      <c r="AJ50">
        <v>1</v>
      </c>
      <c r="AK50">
        <v>0</v>
      </c>
      <c r="AL50">
        <v>0</v>
      </c>
    </row>
    <row r="51" spans="1:38" hidden="1" x14ac:dyDescent="0.2">
      <c r="A51" t="s">
        <v>151</v>
      </c>
      <c r="B51" t="s">
        <v>152</v>
      </c>
      <c r="C51" t="s">
        <v>152</v>
      </c>
      <c r="D51" t="s">
        <v>3</v>
      </c>
      <c r="E51">
        <v>1</v>
      </c>
      <c r="F51">
        <v>0</v>
      </c>
      <c r="G51">
        <v>0</v>
      </c>
      <c r="H51">
        <v>0</v>
      </c>
      <c r="I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4.5</v>
      </c>
      <c r="AE51">
        <v>244</v>
      </c>
      <c r="AF51">
        <v>18.04000000000001</v>
      </c>
      <c r="AG51">
        <v>16.567259824648239</v>
      </c>
      <c r="AH51">
        <f>12.0422342343829*1</f>
        <v>12.042234234382899</v>
      </c>
      <c r="AI51">
        <f>2.38255089957259*1</f>
        <v>2.3825508995725899</v>
      </c>
      <c r="AJ51">
        <v>1</v>
      </c>
      <c r="AK51">
        <v>0</v>
      </c>
      <c r="AL51">
        <v>0</v>
      </c>
    </row>
    <row r="52" spans="1:38" hidden="1" x14ac:dyDescent="0.2">
      <c r="A52" t="s">
        <v>153</v>
      </c>
      <c r="B52" t="s">
        <v>154</v>
      </c>
      <c r="C52" t="s">
        <v>154</v>
      </c>
      <c r="D52" t="s">
        <v>5</v>
      </c>
      <c r="E52">
        <v>0</v>
      </c>
      <c r="F52">
        <v>0</v>
      </c>
      <c r="G52">
        <v>1</v>
      </c>
      <c r="H52">
        <v>0</v>
      </c>
      <c r="I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6.2</v>
      </c>
      <c r="AE52">
        <v>247</v>
      </c>
      <c r="AF52">
        <v>13.34955758380385</v>
      </c>
      <c r="AG52">
        <v>21.74733242329626</v>
      </c>
      <c r="AH52">
        <f>9.95283878289458*1</f>
        <v>9.9528387828945792</v>
      </c>
      <c r="AI52">
        <f>2.06925380061827*1</f>
        <v>2.0692538006182701</v>
      </c>
      <c r="AJ52">
        <v>1</v>
      </c>
      <c r="AK52">
        <v>0</v>
      </c>
      <c r="AL52">
        <v>0</v>
      </c>
    </row>
    <row r="53" spans="1:38" hidden="1" x14ac:dyDescent="0.2">
      <c r="A53" t="s">
        <v>155</v>
      </c>
      <c r="B53" t="s">
        <v>156</v>
      </c>
      <c r="C53" t="s">
        <v>157</v>
      </c>
      <c r="D53" t="s">
        <v>5</v>
      </c>
      <c r="E53">
        <v>0</v>
      </c>
      <c r="F53">
        <v>0</v>
      </c>
      <c r="G53">
        <v>1</v>
      </c>
      <c r="H53">
        <v>0</v>
      </c>
      <c r="I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6.1</v>
      </c>
      <c r="AE53">
        <v>248</v>
      </c>
      <c r="AF53">
        <v>17.336923530300901</v>
      </c>
      <c r="AG53">
        <v>15.23725372555303</v>
      </c>
      <c r="AH53">
        <f>12.1158975258575*1</f>
        <v>12.1158975258575</v>
      </c>
      <c r="AI53">
        <f>2.50403009925995*1</f>
        <v>2.5040300992599498</v>
      </c>
      <c r="AJ53">
        <v>1</v>
      </c>
      <c r="AK53">
        <v>0</v>
      </c>
      <c r="AL53">
        <v>0</v>
      </c>
    </row>
    <row r="54" spans="1:38" hidden="1" x14ac:dyDescent="0.2">
      <c r="A54" t="s">
        <v>158</v>
      </c>
      <c r="B54" t="s">
        <v>159</v>
      </c>
      <c r="C54" t="s">
        <v>159</v>
      </c>
      <c r="D54" t="s">
        <v>5</v>
      </c>
      <c r="E54">
        <v>0</v>
      </c>
      <c r="F54">
        <v>0</v>
      </c>
      <c r="G54">
        <v>1</v>
      </c>
      <c r="H54">
        <v>0</v>
      </c>
      <c r="I54" t="s">
        <v>18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6.9</v>
      </c>
      <c r="AE54">
        <v>269</v>
      </c>
      <c r="AF54">
        <v>15.789473684210551</v>
      </c>
      <c r="AG54">
        <v>14.654729168742289</v>
      </c>
      <c r="AH54">
        <f>13.3277871120424*1</f>
        <v>13.327787112042399</v>
      </c>
      <c r="AI54">
        <f>0*1</f>
        <v>0</v>
      </c>
      <c r="AJ54">
        <v>1</v>
      </c>
      <c r="AK54">
        <v>0</v>
      </c>
      <c r="AL54">
        <v>0</v>
      </c>
    </row>
    <row r="55" spans="1:38" hidden="1" x14ac:dyDescent="0.2">
      <c r="A55" t="s">
        <v>135</v>
      </c>
      <c r="B55" t="s">
        <v>160</v>
      </c>
      <c r="C55" t="s">
        <v>160</v>
      </c>
      <c r="D55" t="s">
        <v>4</v>
      </c>
      <c r="E55">
        <v>0</v>
      </c>
      <c r="F55">
        <v>1</v>
      </c>
      <c r="G55">
        <v>0</v>
      </c>
      <c r="H55">
        <v>0</v>
      </c>
      <c r="I55" t="s">
        <v>18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4.7</v>
      </c>
      <c r="AE55">
        <v>270</v>
      </c>
      <c r="AF55">
        <v>12.06451612903226</v>
      </c>
      <c r="AG55">
        <v>11.58036799341463</v>
      </c>
      <c r="AH55">
        <f>8.68568760951588*1</f>
        <v>8.6856876095158793</v>
      </c>
      <c r="AI55">
        <f>0*1</f>
        <v>0</v>
      </c>
      <c r="AJ55">
        <v>1</v>
      </c>
      <c r="AK55">
        <v>0</v>
      </c>
      <c r="AL55">
        <v>0</v>
      </c>
    </row>
    <row r="56" spans="1:38" hidden="1" x14ac:dyDescent="0.2">
      <c r="A56" t="s">
        <v>161</v>
      </c>
      <c r="B56" t="s">
        <v>162</v>
      </c>
      <c r="C56" t="s">
        <v>162</v>
      </c>
      <c r="D56" t="s">
        <v>3</v>
      </c>
      <c r="E56">
        <v>1</v>
      </c>
      <c r="F56">
        <v>0</v>
      </c>
      <c r="G56">
        <v>0</v>
      </c>
      <c r="H56">
        <v>0</v>
      </c>
      <c r="I56" t="s">
        <v>18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4.5999999999999996</v>
      </c>
      <c r="AE56">
        <v>271</v>
      </c>
      <c r="AF56">
        <v>16.4406991809586</v>
      </c>
      <c r="AG56">
        <v>16.953050640771831</v>
      </c>
      <c r="AH56">
        <f>8.70977062407299*1</f>
        <v>8.7097706240729895</v>
      </c>
      <c r="AI56">
        <f>0*1</f>
        <v>0</v>
      </c>
      <c r="AJ56">
        <v>1</v>
      </c>
      <c r="AK56">
        <v>0</v>
      </c>
      <c r="AL56">
        <v>0</v>
      </c>
    </row>
    <row r="57" spans="1:38" hidden="1" x14ac:dyDescent="0.2">
      <c r="A57" t="s">
        <v>163</v>
      </c>
      <c r="B57" t="s">
        <v>164</v>
      </c>
      <c r="C57" t="s">
        <v>164</v>
      </c>
      <c r="D57" t="s">
        <v>5</v>
      </c>
      <c r="E57">
        <v>0</v>
      </c>
      <c r="F57">
        <v>0</v>
      </c>
      <c r="G57">
        <v>1</v>
      </c>
      <c r="H57">
        <v>0</v>
      </c>
      <c r="I57" t="s">
        <v>18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4.9000000000000004</v>
      </c>
      <c r="AE57">
        <v>273</v>
      </c>
      <c r="AF57">
        <v>8.458598726114646</v>
      </c>
      <c r="AG57">
        <v>7.7853914740179553</v>
      </c>
      <c r="AH57">
        <f>5.24758796908169*1</f>
        <v>5.2475879690816898</v>
      </c>
      <c r="AI57">
        <f>0*1</f>
        <v>0</v>
      </c>
      <c r="AJ57">
        <v>1</v>
      </c>
      <c r="AK57">
        <v>0</v>
      </c>
      <c r="AL57">
        <v>0</v>
      </c>
    </row>
    <row r="58" spans="1:38" hidden="1" x14ac:dyDescent="0.2">
      <c r="A58" t="s">
        <v>165</v>
      </c>
      <c r="B58" t="s">
        <v>166</v>
      </c>
      <c r="C58" t="s">
        <v>167</v>
      </c>
      <c r="D58" t="s">
        <v>5</v>
      </c>
      <c r="E58">
        <v>0</v>
      </c>
      <c r="F58">
        <v>0</v>
      </c>
      <c r="G58">
        <v>1</v>
      </c>
      <c r="H58">
        <v>0</v>
      </c>
      <c r="I58" t="s">
        <v>18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4.8</v>
      </c>
      <c r="AE58">
        <v>275</v>
      </c>
      <c r="AF58">
        <v>9.4666666666666668</v>
      </c>
      <c r="AG58">
        <v>9.7726641952937108</v>
      </c>
      <c r="AH58">
        <f>4.40497589874676*1</f>
        <v>4.40497589874676</v>
      </c>
      <c r="AI58">
        <f>0*1</f>
        <v>0</v>
      </c>
      <c r="AJ58">
        <v>1</v>
      </c>
      <c r="AK58">
        <v>0</v>
      </c>
      <c r="AL58">
        <v>0</v>
      </c>
    </row>
    <row r="59" spans="1:38" x14ac:dyDescent="0.2">
      <c r="A59" t="s">
        <v>243</v>
      </c>
      <c r="B59" t="s">
        <v>244</v>
      </c>
      <c r="C59" t="s">
        <v>245</v>
      </c>
      <c r="D59" t="s">
        <v>5</v>
      </c>
      <c r="E59">
        <v>0</v>
      </c>
      <c r="F59">
        <v>0</v>
      </c>
      <c r="G59">
        <v>1</v>
      </c>
      <c r="H59">
        <v>0</v>
      </c>
      <c r="I59" t="s">
        <v>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13.8</v>
      </c>
      <c r="AE59">
        <v>460</v>
      </c>
      <c r="AF59">
        <v>35.965665236051493</v>
      </c>
      <c r="AG59">
        <v>35.429422172880429</v>
      </c>
      <c r="AH59">
        <f>31.9302965601482*1</f>
        <v>31.9302965601482</v>
      </c>
      <c r="AI59">
        <f>6.31540400568428*1</f>
        <v>6.3154040056842797</v>
      </c>
      <c r="AJ59">
        <v>1</v>
      </c>
      <c r="AK59">
        <v>1</v>
      </c>
      <c r="AL59">
        <v>1</v>
      </c>
    </row>
    <row r="60" spans="1:38" hidden="1" x14ac:dyDescent="0.2">
      <c r="A60" t="s">
        <v>170</v>
      </c>
      <c r="B60" t="s">
        <v>171</v>
      </c>
      <c r="C60" t="s">
        <v>171</v>
      </c>
      <c r="D60" t="s">
        <v>4</v>
      </c>
      <c r="E60">
        <v>0</v>
      </c>
      <c r="F60">
        <v>1</v>
      </c>
      <c r="G60">
        <v>0</v>
      </c>
      <c r="H60">
        <v>0</v>
      </c>
      <c r="I60" t="s">
        <v>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4.8</v>
      </c>
      <c r="AE60">
        <v>279</v>
      </c>
      <c r="AF60">
        <v>11.974522292993621</v>
      </c>
      <c r="AG60">
        <v>11.600226845038581</v>
      </c>
      <c r="AH60">
        <f>10.0926580668937*1</f>
        <v>10.0926580668937</v>
      </c>
      <c r="AI60">
        <f>0*1</f>
        <v>0</v>
      </c>
      <c r="AJ60">
        <v>1</v>
      </c>
      <c r="AK60">
        <v>0</v>
      </c>
      <c r="AL60">
        <v>0</v>
      </c>
    </row>
    <row r="61" spans="1:38" hidden="1" x14ac:dyDescent="0.2">
      <c r="A61" t="s">
        <v>172</v>
      </c>
      <c r="B61" t="s">
        <v>173</v>
      </c>
      <c r="C61" t="s">
        <v>173</v>
      </c>
      <c r="D61" t="s">
        <v>4</v>
      </c>
      <c r="E61">
        <v>0</v>
      </c>
      <c r="F61">
        <v>1</v>
      </c>
      <c r="G61">
        <v>0</v>
      </c>
      <c r="H61">
        <v>0</v>
      </c>
      <c r="I61" t="s">
        <v>18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5.3</v>
      </c>
      <c r="AE61">
        <v>280</v>
      </c>
      <c r="AF61">
        <v>0</v>
      </c>
      <c r="AG61">
        <v>0</v>
      </c>
      <c r="AH61">
        <f>0*1</f>
        <v>0</v>
      </c>
      <c r="AI61">
        <f>0*1</f>
        <v>0</v>
      </c>
      <c r="AJ61">
        <v>1</v>
      </c>
      <c r="AK61">
        <v>0</v>
      </c>
      <c r="AL61">
        <v>0</v>
      </c>
    </row>
    <row r="62" spans="1:38" hidden="1" x14ac:dyDescent="0.2">
      <c r="A62" t="s">
        <v>174</v>
      </c>
      <c r="B62" t="s">
        <v>175</v>
      </c>
      <c r="C62" t="s">
        <v>176</v>
      </c>
      <c r="D62" t="s">
        <v>5</v>
      </c>
      <c r="E62">
        <v>0</v>
      </c>
      <c r="F62">
        <v>0</v>
      </c>
      <c r="G62">
        <v>1</v>
      </c>
      <c r="H62">
        <v>0</v>
      </c>
      <c r="I62" t="s">
        <v>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5.8</v>
      </c>
      <c r="AE62">
        <v>287</v>
      </c>
      <c r="AF62">
        <v>0</v>
      </c>
      <c r="AG62">
        <v>0</v>
      </c>
      <c r="AH62">
        <f>0*1</f>
        <v>0</v>
      </c>
      <c r="AI62">
        <f>0*1</f>
        <v>0</v>
      </c>
      <c r="AJ62">
        <v>1</v>
      </c>
      <c r="AK62">
        <v>0</v>
      </c>
      <c r="AL62">
        <v>0</v>
      </c>
    </row>
    <row r="63" spans="1:38" hidden="1" x14ac:dyDescent="0.2">
      <c r="A63" t="s">
        <v>177</v>
      </c>
      <c r="B63" t="s">
        <v>178</v>
      </c>
      <c r="C63" t="s">
        <v>179</v>
      </c>
      <c r="D63" t="s">
        <v>5</v>
      </c>
      <c r="E63">
        <v>0</v>
      </c>
      <c r="F63">
        <v>0</v>
      </c>
      <c r="G63">
        <v>1</v>
      </c>
      <c r="H63">
        <v>0</v>
      </c>
      <c r="I63" t="s">
        <v>19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5.0999999999999996</v>
      </c>
      <c r="AE63">
        <v>298</v>
      </c>
      <c r="AF63">
        <v>14.80905300359354</v>
      </c>
      <c r="AG63">
        <v>17.64350748189586</v>
      </c>
      <c r="AH63">
        <f>8.70682739100245*1</f>
        <v>8.7068273910024505</v>
      </c>
      <c r="AI63">
        <f>1.89556016289992*1</f>
        <v>1.8955601628999199</v>
      </c>
      <c r="AJ63">
        <v>1</v>
      </c>
      <c r="AK63">
        <v>0</v>
      </c>
      <c r="AL63">
        <v>0</v>
      </c>
    </row>
    <row r="64" spans="1:38" hidden="1" x14ac:dyDescent="0.2">
      <c r="A64" t="s">
        <v>180</v>
      </c>
      <c r="B64" t="s">
        <v>181</v>
      </c>
      <c r="C64" t="s">
        <v>181</v>
      </c>
      <c r="D64" t="s">
        <v>4</v>
      </c>
      <c r="E64">
        <v>0</v>
      </c>
      <c r="F64">
        <v>1</v>
      </c>
      <c r="G64">
        <v>0</v>
      </c>
      <c r="H64">
        <v>0</v>
      </c>
      <c r="I64" t="s">
        <v>19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4.8</v>
      </c>
      <c r="AE64">
        <v>300</v>
      </c>
      <c r="AF64">
        <v>14.92647058823529</v>
      </c>
      <c r="AG64">
        <v>16.993073607381451</v>
      </c>
      <c r="AH64">
        <f>11.2585424240027*1</f>
        <v>11.2585424240027</v>
      </c>
      <c r="AI64">
        <f>2.42340022787521*1</f>
        <v>2.4234002278752098</v>
      </c>
      <c r="AJ64">
        <v>1</v>
      </c>
      <c r="AK64">
        <v>0</v>
      </c>
      <c r="AL64">
        <v>0</v>
      </c>
    </row>
    <row r="65" spans="1:38" hidden="1" x14ac:dyDescent="0.2">
      <c r="A65" t="s">
        <v>182</v>
      </c>
      <c r="B65" t="s">
        <v>183</v>
      </c>
      <c r="C65" t="s">
        <v>184</v>
      </c>
      <c r="D65" t="s">
        <v>5</v>
      </c>
      <c r="E65">
        <v>0</v>
      </c>
      <c r="F65">
        <v>0</v>
      </c>
      <c r="G65">
        <v>1</v>
      </c>
      <c r="H65">
        <v>0</v>
      </c>
      <c r="I65" t="s">
        <v>19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4.8</v>
      </c>
      <c r="AE65">
        <v>303</v>
      </c>
      <c r="AF65">
        <v>11.638655462184881</v>
      </c>
      <c r="AG65">
        <v>10.544072833923829</v>
      </c>
      <c r="AH65">
        <f>10.2758569187442*1</f>
        <v>10.2758569187442</v>
      </c>
      <c r="AI65">
        <f>2.06555570558529*1</f>
        <v>2.06555570558529</v>
      </c>
      <c r="AJ65">
        <v>1</v>
      </c>
      <c r="AK65">
        <v>0</v>
      </c>
      <c r="AL65">
        <v>0</v>
      </c>
    </row>
    <row r="66" spans="1:38" hidden="1" x14ac:dyDescent="0.2">
      <c r="A66" t="s">
        <v>185</v>
      </c>
      <c r="B66" t="s">
        <v>186</v>
      </c>
      <c r="C66" t="s">
        <v>186</v>
      </c>
      <c r="D66" t="s">
        <v>5</v>
      </c>
      <c r="E66">
        <v>0</v>
      </c>
      <c r="F66">
        <v>0</v>
      </c>
      <c r="G66">
        <v>1</v>
      </c>
      <c r="H66">
        <v>0</v>
      </c>
      <c r="I66" t="s">
        <v>19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5.2</v>
      </c>
      <c r="AE66">
        <v>305</v>
      </c>
      <c r="AF66">
        <v>17.884615384615369</v>
      </c>
      <c r="AG66">
        <v>19.804351612872999</v>
      </c>
      <c r="AH66">
        <f>8.13383873871292*1</f>
        <v>8.1338387387129192</v>
      </c>
      <c r="AI66">
        <f>1.61269008337485*1</f>
        <v>1.6126900833748501</v>
      </c>
      <c r="AJ66">
        <v>1</v>
      </c>
      <c r="AK66">
        <v>0</v>
      </c>
      <c r="AL66">
        <v>0</v>
      </c>
    </row>
    <row r="67" spans="1:38" hidden="1" x14ac:dyDescent="0.2">
      <c r="A67" t="s">
        <v>187</v>
      </c>
      <c r="B67" t="s">
        <v>188</v>
      </c>
      <c r="C67" t="s">
        <v>188</v>
      </c>
      <c r="D67" t="s">
        <v>4</v>
      </c>
      <c r="E67">
        <v>0</v>
      </c>
      <c r="F67">
        <v>1</v>
      </c>
      <c r="G67">
        <v>0</v>
      </c>
      <c r="H67">
        <v>0</v>
      </c>
      <c r="I67" t="s">
        <v>19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4.3</v>
      </c>
      <c r="AE67">
        <v>312</v>
      </c>
      <c r="AF67">
        <v>13.51242433429687</v>
      </c>
      <c r="AG67">
        <v>12.78951877502093</v>
      </c>
      <c r="AH67">
        <f>7.06533604989983*1</f>
        <v>7.0653360498998303</v>
      </c>
      <c r="AI67">
        <f>1.32785934573314*1</f>
        <v>1.32785934573314</v>
      </c>
      <c r="AJ67">
        <v>1</v>
      </c>
      <c r="AK67">
        <v>0</v>
      </c>
      <c r="AL67">
        <v>0</v>
      </c>
    </row>
    <row r="68" spans="1:38" x14ac:dyDescent="0.2">
      <c r="A68" t="s">
        <v>288</v>
      </c>
      <c r="B68" t="s">
        <v>289</v>
      </c>
      <c r="C68" t="s">
        <v>289</v>
      </c>
      <c r="D68" t="s">
        <v>6</v>
      </c>
      <c r="E68">
        <v>0</v>
      </c>
      <c r="F68">
        <v>0</v>
      </c>
      <c r="G68">
        <v>0</v>
      </c>
      <c r="H68">
        <v>1</v>
      </c>
      <c r="I68" t="s">
        <v>26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9.6</v>
      </c>
      <c r="AE68">
        <v>570</v>
      </c>
      <c r="AF68">
        <v>28.831168831168821</v>
      </c>
      <c r="AG68">
        <v>22.730288445559111</v>
      </c>
      <c r="AH68">
        <f>27.6004856315692*1</f>
        <v>27.6004856315692</v>
      </c>
      <c r="AI68">
        <f>5.1899337571007*1</f>
        <v>5.1899337571007003</v>
      </c>
      <c r="AJ68">
        <v>1</v>
      </c>
      <c r="AK68">
        <v>1</v>
      </c>
      <c r="AL68">
        <v>1</v>
      </c>
    </row>
    <row r="69" spans="1:38" hidden="1" x14ac:dyDescent="0.2">
      <c r="A69" t="s">
        <v>191</v>
      </c>
      <c r="B69" t="s">
        <v>192</v>
      </c>
      <c r="C69" t="s">
        <v>192</v>
      </c>
      <c r="D69" t="s">
        <v>4</v>
      </c>
      <c r="E69">
        <v>0</v>
      </c>
      <c r="F69">
        <v>1</v>
      </c>
      <c r="G69">
        <v>0</v>
      </c>
      <c r="H69">
        <v>0</v>
      </c>
      <c r="I69" t="s">
        <v>19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4.9000000000000004</v>
      </c>
      <c r="AE69">
        <v>316</v>
      </c>
      <c r="AF69">
        <v>15.724843502046051</v>
      </c>
      <c r="AG69">
        <v>14.78853602766495</v>
      </c>
      <c r="AH69">
        <f>9.35372926629217*0</f>
        <v>0</v>
      </c>
      <c r="AI69">
        <f>2.00041521399284*0</f>
        <v>0</v>
      </c>
      <c r="AJ69">
        <v>0</v>
      </c>
      <c r="AK69">
        <v>1</v>
      </c>
      <c r="AL69">
        <v>0</v>
      </c>
    </row>
    <row r="70" spans="1:38" hidden="1" x14ac:dyDescent="0.2">
      <c r="A70" t="s">
        <v>193</v>
      </c>
      <c r="B70" t="s">
        <v>194</v>
      </c>
      <c r="C70" t="s">
        <v>194</v>
      </c>
      <c r="D70" t="s">
        <v>5</v>
      </c>
      <c r="E70">
        <v>0</v>
      </c>
      <c r="F70">
        <v>0</v>
      </c>
      <c r="G70">
        <v>1</v>
      </c>
      <c r="H70">
        <v>0</v>
      </c>
      <c r="I70" t="s">
        <v>20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5.0999999999999996</v>
      </c>
      <c r="AE70">
        <v>333</v>
      </c>
      <c r="AF70">
        <v>15.961538461538449</v>
      </c>
      <c r="AG70">
        <v>17.236253443732661</v>
      </c>
      <c r="AH70">
        <f>8.60590647085458*1</f>
        <v>8.6059064708545794</v>
      </c>
      <c r="AI70">
        <f>1.65518679418304*1</f>
        <v>1.65518679418304</v>
      </c>
      <c r="AJ70">
        <v>1</v>
      </c>
      <c r="AK70">
        <v>0</v>
      </c>
      <c r="AL70">
        <v>0</v>
      </c>
    </row>
    <row r="71" spans="1:38" hidden="1" x14ac:dyDescent="0.2">
      <c r="A71" t="s">
        <v>195</v>
      </c>
      <c r="B71" t="s">
        <v>196</v>
      </c>
      <c r="C71" t="s">
        <v>196</v>
      </c>
      <c r="D71" t="s">
        <v>4</v>
      </c>
      <c r="E71">
        <v>0</v>
      </c>
      <c r="F71">
        <v>1</v>
      </c>
      <c r="G71">
        <v>0</v>
      </c>
      <c r="H71">
        <v>0</v>
      </c>
      <c r="I71" t="s">
        <v>20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4.2</v>
      </c>
      <c r="AE71">
        <v>334</v>
      </c>
      <c r="AF71">
        <v>13.257296831288389</v>
      </c>
      <c r="AG71">
        <v>14.623574334909099</v>
      </c>
      <c r="AH71">
        <f>6.44691850046115*1</f>
        <v>6.44691850046115</v>
      </c>
      <c r="AI71">
        <f>1.29490913661793*1</f>
        <v>1.2949091366179299</v>
      </c>
      <c r="AJ71">
        <v>1</v>
      </c>
      <c r="AK71">
        <v>0</v>
      </c>
      <c r="AL71">
        <v>0</v>
      </c>
    </row>
    <row r="72" spans="1:38" hidden="1" x14ac:dyDescent="0.2">
      <c r="A72" t="s">
        <v>197</v>
      </c>
      <c r="B72" t="s">
        <v>198</v>
      </c>
      <c r="C72" t="s">
        <v>197</v>
      </c>
      <c r="D72" t="s">
        <v>5</v>
      </c>
      <c r="E72">
        <v>0</v>
      </c>
      <c r="F72">
        <v>0</v>
      </c>
      <c r="G72">
        <v>1</v>
      </c>
      <c r="H72">
        <v>0</v>
      </c>
      <c r="I72" t="s">
        <v>20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4.5</v>
      </c>
      <c r="AE72">
        <v>335</v>
      </c>
      <c r="AF72">
        <v>11.927692426067519</v>
      </c>
      <c r="AG72">
        <v>11.6689227273519</v>
      </c>
      <c r="AH72">
        <f>7.18550826762582*1</f>
        <v>7.1855082676258197</v>
      </c>
      <c r="AI72">
        <f>1.30169859833274*1</f>
        <v>1.30169859833274</v>
      </c>
      <c r="AJ72">
        <v>1</v>
      </c>
      <c r="AK72">
        <v>0</v>
      </c>
      <c r="AL72">
        <v>0</v>
      </c>
    </row>
    <row r="73" spans="1:38" hidden="1" x14ac:dyDescent="0.2">
      <c r="A73" t="s">
        <v>199</v>
      </c>
      <c r="B73" t="s">
        <v>200</v>
      </c>
      <c r="C73" t="s">
        <v>199</v>
      </c>
      <c r="D73" t="s">
        <v>5</v>
      </c>
      <c r="E73">
        <v>0</v>
      </c>
      <c r="F73">
        <v>0</v>
      </c>
      <c r="G73">
        <v>1</v>
      </c>
      <c r="H73">
        <v>0</v>
      </c>
      <c r="I73" t="s">
        <v>20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4.9000000000000004</v>
      </c>
      <c r="AE73">
        <v>336</v>
      </c>
      <c r="AF73">
        <v>16.479591836734691</v>
      </c>
      <c r="AG73">
        <v>14.90011000658161</v>
      </c>
      <c r="AH73">
        <f>8.35008109832107*1</f>
        <v>8.3500810983210698</v>
      </c>
      <c r="AI73">
        <f>1.52699653573165*1</f>
        <v>1.52699653573165</v>
      </c>
      <c r="AJ73">
        <v>1</v>
      </c>
      <c r="AK73">
        <v>0</v>
      </c>
      <c r="AL73">
        <v>0</v>
      </c>
    </row>
    <row r="74" spans="1:38" hidden="1" x14ac:dyDescent="0.2">
      <c r="A74" t="s">
        <v>201</v>
      </c>
      <c r="B74" t="s">
        <v>202</v>
      </c>
      <c r="C74" t="s">
        <v>202</v>
      </c>
      <c r="D74" t="s">
        <v>4</v>
      </c>
      <c r="E74">
        <v>0</v>
      </c>
      <c r="F74">
        <v>1</v>
      </c>
      <c r="G74">
        <v>0</v>
      </c>
      <c r="H74">
        <v>0</v>
      </c>
      <c r="I74" t="s">
        <v>20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4.5</v>
      </c>
      <c r="AE74">
        <v>337</v>
      </c>
      <c r="AF74">
        <v>0</v>
      </c>
      <c r="AG74">
        <v>0</v>
      </c>
      <c r="AH74">
        <f>0*1</f>
        <v>0</v>
      </c>
      <c r="AI74">
        <f>0*1</f>
        <v>0</v>
      </c>
      <c r="AJ74">
        <v>1</v>
      </c>
      <c r="AK74">
        <v>0</v>
      </c>
      <c r="AL74">
        <v>0</v>
      </c>
    </row>
    <row r="75" spans="1:38" hidden="1" x14ac:dyDescent="0.2">
      <c r="A75" t="s">
        <v>203</v>
      </c>
      <c r="B75" t="s">
        <v>204</v>
      </c>
      <c r="C75" t="s">
        <v>204</v>
      </c>
      <c r="D75" t="s">
        <v>5</v>
      </c>
      <c r="E75">
        <v>0</v>
      </c>
      <c r="F75">
        <v>0</v>
      </c>
      <c r="G75">
        <v>1</v>
      </c>
      <c r="H75">
        <v>0</v>
      </c>
      <c r="I75" t="s">
        <v>20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5.5</v>
      </c>
      <c r="AE75">
        <v>343</v>
      </c>
      <c r="AF75">
        <v>20.141455669171439</v>
      </c>
      <c r="AG75">
        <v>14.910924946187819</v>
      </c>
      <c r="AH75">
        <f>20.5958193880399*1</f>
        <v>20.595819388039899</v>
      </c>
      <c r="AI75">
        <f>4.15289238457277*1</f>
        <v>4.1528923845727697</v>
      </c>
      <c r="AJ75">
        <v>1</v>
      </c>
      <c r="AK75">
        <v>0</v>
      </c>
      <c r="AL75">
        <v>0</v>
      </c>
    </row>
    <row r="76" spans="1:38" hidden="1" x14ac:dyDescent="0.2">
      <c r="A76" t="s">
        <v>205</v>
      </c>
      <c r="B76" t="s">
        <v>206</v>
      </c>
      <c r="C76" t="s">
        <v>206</v>
      </c>
      <c r="D76" t="s">
        <v>3</v>
      </c>
      <c r="E76">
        <v>1</v>
      </c>
      <c r="F76">
        <v>0</v>
      </c>
      <c r="G76">
        <v>0</v>
      </c>
      <c r="H76">
        <v>0</v>
      </c>
      <c r="I76" t="s">
        <v>20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</v>
      </c>
      <c r="AE76">
        <v>344</v>
      </c>
      <c r="AF76">
        <v>17.861593691037509</v>
      </c>
      <c r="AG76">
        <v>18.328429816328018</v>
      </c>
      <c r="AH76">
        <f>10.0011848635362*1</f>
        <v>10.001184863536199</v>
      </c>
      <c r="AI76">
        <f>2.04160055217437*1</f>
        <v>2.0416005521743701</v>
      </c>
      <c r="AJ76">
        <v>1</v>
      </c>
      <c r="AK76">
        <v>0</v>
      </c>
      <c r="AL76">
        <v>0</v>
      </c>
    </row>
    <row r="77" spans="1:38" hidden="1" x14ac:dyDescent="0.2">
      <c r="A77" t="s">
        <v>207</v>
      </c>
      <c r="B77" t="s">
        <v>208</v>
      </c>
      <c r="C77" t="s">
        <v>208</v>
      </c>
      <c r="D77" t="s">
        <v>5</v>
      </c>
      <c r="E77">
        <v>0</v>
      </c>
      <c r="F77">
        <v>0</v>
      </c>
      <c r="G77">
        <v>1</v>
      </c>
      <c r="H77">
        <v>0</v>
      </c>
      <c r="I77" t="s">
        <v>20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4.8</v>
      </c>
      <c r="AE77">
        <v>345</v>
      </c>
      <c r="AF77">
        <v>0</v>
      </c>
      <c r="AG77">
        <v>0</v>
      </c>
      <c r="AH77">
        <f>0*1</f>
        <v>0</v>
      </c>
      <c r="AI77">
        <f>0*1</f>
        <v>0</v>
      </c>
      <c r="AJ77">
        <v>1</v>
      </c>
      <c r="AK77">
        <v>0</v>
      </c>
      <c r="AL77">
        <v>0</v>
      </c>
    </row>
    <row r="78" spans="1:38" hidden="1" x14ac:dyDescent="0.2">
      <c r="A78" t="s">
        <v>209</v>
      </c>
      <c r="B78" t="s">
        <v>210</v>
      </c>
      <c r="C78" t="s">
        <v>211</v>
      </c>
      <c r="D78" t="s">
        <v>6</v>
      </c>
      <c r="E78">
        <v>0</v>
      </c>
      <c r="F78">
        <v>0</v>
      </c>
      <c r="G78">
        <v>0</v>
      </c>
      <c r="H78">
        <v>1</v>
      </c>
      <c r="I78" t="s">
        <v>20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5.5</v>
      </c>
      <c r="AE78">
        <v>347</v>
      </c>
      <c r="AF78">
        <v>0</v>
      </c>
      <c r="AG78">
        <v>0</v>
      </c>
      <c r="AH78">
        <f>0*1</f>
        <v>0</v>
      </c>
      <c r="AI78">
        <f>0*1</f>
        <v>0</v>
      </c>
      <c r="AJ78">
        <v>1</v>
      </c>
      <c r="AK78">
        <v>0</v>
      </c>
      <c r="AL78">
        <v>0</v>
      </c>
    </row>
    <row r="79" spans="1:38" hidden="1" x14ac:dyDescent="0.2">
      <c r="A79" t="s">
        <v>212</v>
      </c>
      <c r="B79" t="s">
        <v>213</v>
      </c>
      <c r="C79" t="s">
        <v>212</v>
      </c>
      <c r="D79" t="s">
        <v>6</v>
      </c>
      <c r="E79">
        <v>0</v>
      </c>
      <c r="F79">
        <v>0</v>
      </c>
      <c r="G79">
        <v>0</v>
      </c>
      <c r="H79">
        <v>1</v>
      </c>
      <c r="I79" t="s">
        <v>20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5.3</v>
      </c>
      <c r="AE79">
        <v>348</v>
      </c>
      <c r="AF79">
        <v>18.50420404300948</v>
      </c>
      <c r="AG79">
        <v>20.50588933768848</v>
      </c>
      <c r="AH79">
        <f>11.7761030856475*1</f>
        <v>11.776103085647501</v>
      </c>
      <c r="AI79">
        <f>2.31772675026385*1</f>
        <v>2.3177267502638501</v>
      </c>
      <c r="AJ79">
        <v>1</v>
      </c>
      <c r="AK79">
        <v>0</v>
      </c>
      <c r="AL79">
        <v>0</v>
      </c>
    </row>
    <row r="80" spans="1:38" x14ac:dyDescent="0.2">
      <c r="A80" t="s">
        <v>319</v>
      </c>
      <c r="B80" t="s">
        <v>320</v>
      </c>
      <c r="C80" t="s">
        <v>321</v>
      </c>
      <c r="D80" t="s">
        <v>4</v>
      </c>
      <c r="E80">
        <v>0</v>
      </c>
      <c r="F80">
        <v>1</v>
      </c>
      <c r="G80">
        <v>0</v>
      </c>
      <c r="H80">
        <v>0</v>
      </c>
      <c r="I80" t="s">
        <v>27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4.5</v>
      </c>
      <c r="AE80">
        <v>611</v>
      </c>
      <c r="AF80">
        <v>17.51080750177459</v>
      </c>
      <c r="AG80">
        <v>7.0764419886297318</v>
      </c>
      <c r="AH80">
        <f>16.4409317908961*1</f>
        <v>16.440931790896101</v>
      </c>
      <c r="AI80">
        <f>3.32116583107307*1</f>
        <v>3.3211658310730701</v>
      </c>
      <c r="AJ80">
        <v>1</v>
      </c>
      <c r="AK80">
        <v>1</v>
      </c>
      <c r="AL80">
        <v>1</v>
      </c>
    </row>
    <row r="81" spans="1:38" hidden="1" x14ac:dyDescent="0.2">
      <c r="A81" t="s">
        <v>216</v>
      </c>
      <c r="B81" t="s">
        <v>217</v>
      </c>
      <c r="C81" t="s">
        <v>217</v>
      </c>
      <c r="D81" t="s">
        <v>5</v>
      </c>
      <c r="E81">
        <v>0</v>
      </c>
      <c r="F81">
        <v>0</v>
      </c>
      <c r="G81">
        <v>1</v>
      </c>
      <c r="H81">
        <v>0</v>
      </c>
      <c r="I81" t="s">
        <v>20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</v>
      </c>
      <c r="AE81">
        <v>360</v>
      </c>
      <c r="AF81">
        <v>10.50561797752809</v>
      </c>
      <c r="AG81">
        <v>10.730024602435609</v>
      </c>
      <c r="AH81">
        <f>4.63643965867154*1</f>
        <v>4.6364396586715397</v>
      </c>
      <c r="AI81">
        <f>0.87349250744*1</f>
        <v>0.87349250743999995</v>
      </c>
      <c r="AJ81">
        <v>1</v>
      </c>
      <c r="AK81">
        <v>0</v>
      </c>
      <c r="AL81">
        <v>0</v>
      </c>
    </row>
    <row r="82" spans="1:38" hidden="1" x14ac:dyDescent="0.2">
      <c r="A82" t="s">
        <v>218</v>
      </c>
      <c r="B82" t="s">
        <v>219</v>
      </c>
      <c r="C82" t="s">
        <v>219</v>
      </c>
      <c r="D82" t="s">
        <v>4</v>
      </c>
      <c r="E82">
        <v>0</v>
      </c>
      <c r="F82">
        <v>1</v>
      </c>
      <c r="G82">
        <v>0</v>
      </c>
      <c r="H82">
        <v>0</v>
      </c>
      <c r="I82" t="s">
        <v>21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3.9</v>
      </c>
      <c r="AE82">
        <v>396</v>
      </c>
      <c r="AF82">
        <v>8.1818181818181799</v>
      </c>
      <c r="AG82">
        <v>7.9722719647377307</v>
      </c>
      <c r="AH82">
        <f>5.64213921748952*1</f>
        <v>5.64213921748952</v>
      </c>
      <c r="AI82">
        <f>1.18858245255089*1</f>
        <v>1.1885824525508899</v>
      </c>
      <c r="AJ82">
        <v>1</v>
      </c>
      <c r="AK82">
        <v>0</v>
      </c>
      <c r="AL82">
        <v>0</v>
      </c>
    </row>
    <row r="83" spans="1:38" hidden="1" x14ac:dyDescent="0.2">
      <c r="A83" t="s">
        <v>220</v>
      </c>
      <c r="B83" t="s">
        <v>221</v>
      </c>
      <c r="C83" t="s">
        <v>221</v>
      </c>
      <c r="D83" t="s">
        <v>5</v>
      </c>
      <c r="E83">
        <v>0</v>
      </c>
      <c r="F83">
        <v>0</v>
      </c>
      <c r="G83">
        <v>1</v>
      </c>
      <c r="H83">
        <v>0</v>
      </c>
      <c r="I83" t="s">
        <v>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4.5</v>
      </c>
      <c r="AE83">
        <v>403</v>
      </c>
      <c r="AF83">
        <v>0</v>
      </c>
      <c r="AG83">
        <v>0</v>
      </c>
      <c r="AH83">
        <f>0*1</f>
        <v>0</v>
      </c>
      <c r="AI83">
        <f>0*1</f>
        <v>0</v>
      </c>
      <c r="AJ83">
        <v>1</v>
      </c>
      <c r="AK83">
        <v>0</v>
      </c>
      <c r="AL83">
        <v>0</v>
      </c>
    </row>
    <row r="84" spans="1:38" hidden="1" x14ac:dyDescent="0.2">
      <c r="A84" t="s">
        <v>189</v>
      </c>
      <c r="B84" t="s">
        <v>222</v>
      </c>
      <c r="C84" t="s">
        <v>223</v>
      </c>
      <c r="D84" t="s">
        <v>5</v>
      </c>
      <c r="E84">
        <v>0</v>
      </c>
      <c r="F84">
        <v>0</v>
      </c>
      <c r="G84">
        <v>1</v>
      </c>
      <c r="H84">
        <v>0</v>
      </c>
      <c r="I84" t="s">
        <v>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5.0999999999999996</v>
      </c>
      <c r="AE84">
        <v>404</v>
      </c>
      <c r="AF84">
        <v>13.71495327102804</v>
      </c>
      <c r="AG84">
        <v>14.588782154756821</v>
      </c>
      <c r="AH84">
        <f>7.5919202774894*1</f>
        <v>7.5919202774894003</v>
      </c>
      <c r="AI84">
        <f>1.48177008352777*1</f>
        <v>1.4817700835277701</v>
      </c>
      <c r="AJ84">
        <v>1</v>
      </c>
      <c r="AK84">
        <v>0</v>
      </c>
      <c r="AL84">
        <v>0</v>
      </c>
    </row>
    <row r="85" spans="1:38" hidden="1" x14ac:dyDescent="0.2">
      <c r="A85" t="s">
        <v>224</v>
      </c>
      <c r="B85" t="s">
        <v>225</v>
      </c>
      <c r="C85" t="s">
        <v>226</v>
      </c>
      <c r="D85" t="s">
        <v>5</v>
      </c>
      <c r="E85">
        <v>0</v>
      </c>
      <c r="F85">
        <v>0</v>
      </c>
      <c r="G85">
        <v>1</v>
      </c>
      <c r="H85">
        <v>0</v>
      </c>
      <c r="I85" t="s">
        <v>22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4.4000000000000004</v>
      </c>
      <c r="AE85">
        <v>406</v>
      </c>
      <c r="AF85">
        <v>8.3811016915589462</v>
      </c>
      <c r="AG85">
        <v>6.4104838768117736</v>
      </c>
      <c r="AH85">
        <f>3.26242886389988*1</f>
        <v>3.26242886389988</v>
      </c>
      <c r="AI85">
        <f>0.678721689011517*1</f>
        <v>0.67872168901151697</v>
      </c>
      <c r="AJ85">
        <v>1</v>
      </c>
      <c r="AK85">
        <v>0</v>
      </c>
      <c r="AL85">
        <v>0</v>
      </c>
    </row>
    <row r="86" spans="1:38" hidden="1" x14ac:dyDescent="0.2">
      <c r="A86" t="s">
        <v>227</v>
      </c>
      <c r="B86" t="s">
        <v>228</v>
      </c>
      <c r="C86" t="s">
        <v>228</v>
      </c>
      <c r="D86" t="s">
        <v>4</v>
      </c>
      <c r="E86">
        <v>0</v>
      </c>
      <c r="F86">
        <v>1</v>
      </c>
      <c r="G86">
        <v>0</v>
      </c>
      <c r="H86">
        <v>0</v>
      </c>
      <c r="I86" t="s">
        <v>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3.8</v>
      </c>
      <c r="AE86">
        <v>412</v>
      </c>
      <c r="AF86">
        <v>0</v>
      </c>
      <c r="AG86">
        <v>0</v>
      </c>
      <c r="AH86">
        <f>0*1</f>
        <v>0</v>
      </c>
      <c r="AI86">
        <f>0*1</f>
        <v>0</v>
      </c>
      <c r="AJ86">
        <v>1</v>
      </c>
      <c r="AK86">
        <v>0</v>
      </c>
      <c r="AL86">
        <v>0</v>
      </c>
    </row>
    <row r="87" spans="1:38" hidden="1" x14ac:dyDescent="0.2">
      <c r="A87" t="s">
        <v>229</v>
      </c>
      <c r="B87" t="s">
        <v>230</v>
      </c>
      <c r="C87" t="s">
        <v>230</v>
      </c>
      <c r="D87" t="s">
        <v>6</v>
      </c>
      <c r="E87">
        <v>0</v>
      </c>
      <c r="F87">
        <v>0</v>
      </c>
      <c r="G87">
        <v>0</v>
      </c>
      <c r="H87">
        <v>1</v>
      </c>
      <c r="I87" t="s">
        <v>22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5.3</v>
      </c>
      <c r="AE87">
        <v>427</v>
      </c>
      <c r="AF87">
        <v>14.41198575790964</v>
      </c>
      <c r="AG87">
        <v>22.006895952389449</v>
      </c>
      <c r="AH87">
        <f>6.00974923376714*1</f>
        <v>6.0097492337671401</v>
      </c>
      <c r="AI87">
        <f>1.12336369125055*1</f>
        <v>1.12336369125055</v>
      </c>
      <c r="AJ87">
        <v>1</v>
      </c>
      <c r="AK87">
        <v>0</v>
      </c>
      <c r="AL87">
        <v>0</v>
      </c>
    </row>
    <row r="88" spans="1:38" x14ac:dyDescent="0.2">
      <c r="A88" t="s">
        <v>87</v>
      </c>
      <c r="B88" t="s">
        <v>88</v>
      </c>
      <c r="C88" t="s">
        <v>89</v>
      </c>
      <c r="D88" t="s">
        <v>5</v>
      </c>
      <c r="E88">
        <v>0</v>
      </c>
      <c r="F88">
        <v>0</v>
      </c>
      <c r="G88">
        <v>1</v>
      </c>
      <c r="H88">
        <v>0</v>
      </c>
      <c r="I88" t="s">
        <v>14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4.7</v>
      </c>
      <c r="AE88">
        <v>94</v>
      </c>
      <c r="AF88">
        <v>12.6865686965665</v>
      </c>
      <c r="AG88">
        <v>9.1918185771482932</v>
      </c>
      <c r="AH88">
        <f>16.7829141728988*1</f>
        <v>16.782914172898799</v>
      </c>
      <c r="AI88">
        <f>3.22519354254475*1</f>
        <v>3.22519354254475</v>
      </c>
      <c r="AJ88">
        <v>1</v>
      </c>
      <c r="AK88">
        <v>1</v>
      </c>
      <c r="AL88">
        <v>1</v>
      </c>
    </row>
    <row r="89" spans="1:38" hidden="1" x14ac:dyDescent="0.2">
      <c r="A89" t="s">
        <v>233</v>
      </c>
      <c r="B89" t="s">
        <v>234</v>
      </c>
      <c r="C89" t="s">
        <v>234</v>
      </c>
      <c r="D89" t="s">
        <v>6</v>
      </c>
      <c r="E89">
        <v>0</v>
      </c>
      <c r="F89">
        <v>0</v>
      </c>
      <c r="G89">
        <v>0</v>
      </c>
      <c r="H89">
        <v>1</v>
      </c>
      <c r="I89" t="s">
        <v>23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7.2</v>
      </c>
      <c r="AE89">
        <v>453</v>
      </c>
      <c r="AF89">
        <v>16.624999999999989</v>
      </c>
      <c r="AG89">
        <v>14.90801014155042</v>
      </c>
      <c r="AH89">
        <f>10.5625708327682*1</f>
        <v>10.5625708327682</v>
      </c>
      <c r="AI89">
        <f>1.96157691140012*1</f>
        <v>1.96157691140012</v>
      </c>
      <c r="AJ89">
        <v>1</v>
      </c>
      <c r="AK89">
        <v>0</v>
      </c>
      <c r="AL89">
        <v>0</v>
      </c>
    </row>
    <row r="90" spans="1:38" hidden="1" x14ac:dyDescent="0.2">
      <c r="A90" t="s">
        <v>79</v>
      </c>
      <c r="B90" t="s">
        <v>235</v>
      </c>
      <c r="C90" t="s">
        <v>235</v>
      </c>
      <c r="D90" t="s">
        <v>5</v>
      </c>
      <c r="E90">
        <v>0</v>
      </c>
      <c r="F90">
        <v>0</v>
      </c>
      <c r="G90">
        <v>1</v>
      </c>
      <c r="H90">
        <v>0</v>
      </c>
      <c r="I90" t="s">
        <v>23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</v>
      </c>
      <c r="AE90">
        <v>455</v>
      </c>
      <c r="AF90">
        <v>0</v>
      </c>
      <c r="AG90">
        <v>0</v>
      </c>
      <c r="AH90">
        <f>0*1</f>
        <v>0</v>
      </c>
      <c r="AI90">
        <f>0*1</f>
        <v>0</v>
      </c>
      <c r="AJ90">
        <v>1</v>
      </c>
      <c r="AK90">
        <v>0</v>
      </c>
      <c r="AL90">
        <v>0</v>
      </c>
    </row>
    <row r="91" spans="1:38" hidden="1" x14ac:dyDescent="0.2">
      <c r="A91" t="s">
        <v>236</v>
      </c>
      <c r="B91" t="s">
        <v>237</v>
      </c>
      <c r="C91" t="s">
        <v>237</v>
      </c>
      <c r="D91" t="s">
        <v>5</v>
      </c>
      <c r="E91">
        <v>0</v>
      </c>
      <c r="F91">
        <v>0</v>
      </c>
      <c r="G91">
        <v>1</v>
      </c>
      <c r="H91">
        <v>0</v>
      </c>
      <c r="I91" t="s">
        <v>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5.3</v>
      </c>
      <c r="AE91">
        <v>456</v>
      </c>
      <c r="AF91">
        <v>11.46788990825687</v>
      </c>
      <c r="AG91">
        <v>9.3947093917740521</v>
      </c>
      <c r="AH91">
        <f>7.77772265226416*1</f>
        <v>7.7777226522641598</v>
      </c>
      <c r="AI91">
        <f>1.49540839913398*1</f>
        <v>1.4954083991339799</v>
      </c>
      <c r="AJ91">
        <v>1</v>
      </c>
      <c r="AK91">
        <v>0</v>
      </c>
      <c r="AL91">
        <v>0</v>
      </c>
    </row>
    <row r="92" spans="1:38" hidden="1" x14ac:dyDescent="0.2">
      <c r="A92" t="s">
        <v>238</v>
      </c>
      <c r="B92" t="s">
        <v>239</v>
      </c>
      <c r="C92" t="s">
        <v>239</v>
      </c>
      <c r="D92" t="s">
        <v>4</v>
      </c>
      <c r="E92">
        <v>0</v>
      </c>
      <c r="F92">
        <v>1</v>
      </c>
      <c r="G92">
        <v>0</v>
      </c>
      <c r="H92">
        <v>0</v>
      </c>
      <c r="I92" t="s">
        <v>23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5.3</v>
      </c>
      <c r="AE92">
        <v>458</v>
      </c>
      <c r="AF92">
        <v>15.753424657534261</v>
      </c>
      <c r="AG92">
        <v>13.18331158739084</v>
      </c>
      <c r="AH92">
        <f>11.4470380146556*1</f>
        <v>11.4470380146556</v>
      </c>
      <c r="AI92">
        <f>2.13237608762764*1</f>
        <v>2.1323760876276401</v>
      </c>
      <c r="AJ92">
        <v>1</v>
      </c>
      <c r="AK92">
        <v>0</v>
      </c>
      <c r="AL92">
        <v>0</v>
      </c>
    </row>
    <row r="93" spans="1:38" hidden="1" x14ac:dyDescent="0.2">
      <c r="A93" t="s">
        <v>240</v>
      </c>
      <c r="B93" t="s">
        <v>241</v>
      </c>
      <c r="C93" t="s">
        <v>242</v>
      </c>
      <c r="D93" t="s">
        <v>5</v>
      </c>
      <c r="E93">
        <v>0</v>
      </c>
      <c r="F93">
        <v>0</v>
      </c>
      <c r="G93">
        <v>1</v>
      </c>
      <c r="H93">
        <v>0</v>
      </c>
      <c r="I93" t="s">
        <v>23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7.5</v>
      </c>
      <c r="AE93">
        <v>459</v>
      </c>
      <c r="AF93">
        <v>20.277777777777779</v>
      </c>
      <c r="AG93">
        <v>15.552362174480599</v>
      </c>
      <c r="AH93">
        <f>19.2769405921578*1</f>
        <v>19.2769405921578</v>
      </c>
      <c r="AI93">
        <f>3.6914145455739*1</f>
        <v>3.6914145455738998</v>
      </c>
      <c r="AJ93">
        <v>1</v>
      </c>
      <c r="AK93">
        <v>0</v>
      </c>
      <c r="AL93">
        <v>0</v>
      </c>
    </row>
    <row r="94" spans="1:38" x14ac:dyDescent="0.2">
      <c r="A94" t="s">
        <v>135</v>
      </c>
      <c r="B94" t="s">
        <v>136</v>
      </c>
      <c r="C94" t="s">
        <v>137</v>
      </c>
      <c r="D94" t="s">
        <v>4</v>
      </c>
      <c r="E94">
        <v>0</v>
      </c>
      <c r="F94">
        <v>1</v>
      </c>
      <c r="G94">
        <v>0</v>
      </c>
      <c r="H94">
        <v>0</v>
      </c>
      <c r="I94" t="s">
        <v>17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5.4</v>
      </c>
      <c r="AE94">
        <v>223</v>
      </c>
      <c r="AF94">
        <v>14.50704225352113</v>
      </c>
      <c r="AG94">
        <v>14.068790747849681</v>
      </c>
      <c r="AH94">
        <f>13.2139159216739*1</f>
        <v>13.2139159216739</v>
      </c>
      <c r="AI94">
        <f>2.64122800685396*1</f>
        <v>2.64122800685396</v>
      </c>
      <c r="AJ94">
        <v>1</v>
      </c>
      <c r="AK94">
        <v>0</v>
      </c>
      <c r="AL94">
        <v>1</v>
      </c>
    </row>
    <row r="95" spans="1:38" hidden="1" x14ac:dyDescent="0.2">
      <c r="A95" t="s">
        <v>246</v>
      </c>
      <c r="B95" t="s">
        <v>247</v>
      </c>
      <c r="C95" t="s">
        <v>247</v>
      </c>
      <c r="D95" t="s">
        <v>5</v>
      </c>
      <c r="E95">
        <v>0</v>
      </c>
      <c r="F95">
        <v>0</v>
      </c>
      <c r="G95">
        <v>1</v>
      </c>
      <c r="H95">
        <v>0</v>
      </c>
      <c r="I95" t="s">
        <v>23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6.2</v>
      </c>
      <c r="AE95">
        <v>461</v>
      </c>
      <c r="AF95">
        <v>15.46979865771813</v>
      </c>
      <c r="AG95">
        <v>14.9665677310985</v>
      </c>
      <c r="AH95">
        <f>13.2888718093573*1</f>
        <v>13.2888718093573</v>
      </c>
      <c r="AI95">
        <f>2.580924507128*1</f>
        <v>2.580924507128</v>
      </c>
      <c r="AJ95">
        <v>1</v>
      </c>
      <c r="AK95">
        <v>0</v>
      </c>
      <c r="AL95">
        <v>0</v>
      </c>
    </row>
    <row r="96" spans="1:38" hidden="1" x14ac:dyDescent="0.2">
      <c r="A96" t="s">
        <v>248</v>
      </c>
      <c r="B96" t="s">
        <v>249</v>
      </c>
      <c r="C96" t="s">
        <v>249</v>
      </c>
      <c r="D96" t="s">
        <v>4</v>
      </c>
      <c r="E96">
        <v>0</v>
      </c>
      <c r="F96">
        <v>1</v>
      </c>
      <c r="G96">
        <v>0</v>
      </c>
      <c r="H96">
        <v>0</v>
      </c>
      <c r="I96" t="s">
        <v>23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5.8</v>
      </c>
      <c r="AE96">
        <v>467</v>
      </c>
      <c r="AF96">
        <v>14.057106943276519</v>
      </c>
      <c r="AG96">
        <v>25.76729951577984</v>
      </c>
      <c r="AH96">
        <f>8.5144504832807*1</f>
        <v>8.5144504832807009</v>
      </c>
      <c r="AI96">
        <f>1.6633254675855*1</f>
        <v>1.6633254675855</v>
      </c>
      <c r="AJ96">
        <v>1</v>
      </c>
      <c r="AK96">
        <v>0</v>
      </c>
      <c r="AL96">
        <v>0</v>
      </c>
    </row>
    <row r="97" spans="1:38" hidden="1" x14ac:dyDescent="0.2">
      <c r="A97" t="s">
        <v>250</v>
      </c>
      <c r="B97" t="s">
        <v>251</v>
      </c>
      <c r="C97" t="s">
        <v>251</v>
      </c>
      <c r="D97" t="s">
        <v>5</v>
      </c>
      <c r="E97">
        <v>0</v>
      </c>
      <c r="F97">
        <v>0</v>
      </c>
      <c r="G97">
        <v>1</v>
      </c>
      <c r="H97">
        <v>0</v>
      </c>
      <c r="I97" t="s">
        <v>23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6.2</v>
      </c>
      <c r="AE97">
        <v>468</v>
      </c>
      <c r="AF97">
        <v>0</v>
      </c>
      <c r="AG97">
        <v>0</v>
      </c>
      <c r="AH97">
        <f>0*1</f>
        <v>0</v>
      </c>
      <c r="AI97">
        <f>0*1</f>
        <v>0</v>
      </c>
      <c r="AJ97">
        <v>1</v>
      </c>
      <c r="AK97">
        <v>0</v>
      </c>
      <c r="AL97">
        <v>0</v>
      </c>
    </row>
    <row r="98" spans="1:38" hidden="1" x14ac:dyDescent="0.2">
      <c r="A98" t="s">
        <v>252</v>
      </c>
      <c r="B98" t="s">
        <v>253</v>
      </c>
      <c r="C98" t="s">
        <v>252</v>
      </c>
      <c r="D98" t="s">
        <v>4</v>
      </c>
      <c r="E98">
        <v>0</v>
      </c>
      <c r="F98">
        <v>1</v>
      </c>
      <c r="G98">
        <v>0</v>
      </c>
      <c r="H98">
        <v>0</v>
      </c>
      <c r="I98" t="s">
        <v>23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6.6</v>
      </c>
      <c r="AE98">
        <v>470</v>
      </c>
      <c r="AF98">
        <v>18.760151776217828</v>
      </c>
      <c r="AG98">
        <v>24.549017321183481</v>
      </c>
      <c r="AH98">
        <f>10.596511077305*1</f>
        <v>10.596511077304999</v>
      </c>
      <c r="AI98">
        <f>1.87495588259958*1</f>
        <v>1.87495588259958</v>
      </c>
      <c r="AJ98">
        <v>1</v>
      </c>
      <c r="AK98">
        <v>0</v>
      </c>
      <c r="AL98">
        <v>0</v>
      </c>
    </row>
    <row r="99" spans="1:38" hidden="1" x14ac:dyDescent="0.2">
      <c r="A99" t="s">
        <v>254</v>
      </c>
      <c r="B99" t="s">
        <v>255</v>
      </c>
      <c r="C99" t="s">
        <v>254</v>
      </c>
      <c r="D99" t="s">
        <v>5</v>
      </c>
      <c r="E99">
        <v>0</v>
      </c>
      <c r="F99">
        <v>0</v>
      </c>
      <c r="G99">
        <v>1</v>
      </c>
      <c r="H99">
        <v>0</v>
      </c>
      <c r="I99" t="s">
        <v>24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6.1</v>
      </c>
      <c r="AE99">
        <v>480</v>
      </c>
      <c r="AF99">
        <v>14.133333333333329</v>
      </c>
      <c r="AG99">
        <v>14.21151591328052</v>
      </c>
      <c r="AH99">
        <f>7.20523370834383*1</f>
        <v>7.2052337083438296</v>
      </c>
      <c r="AI99">
        <f>0*1</f>
        <v>0</v>
      </c>
      <c r="AJ99">
        <v>1</v>
      </c>
      <c r="AK99">
        <v>0</v>
      </c>
      <c r="AL99">
        <v>0</v>
      </c>
    </row>
    <row r="100" spans="1:38" hidden="1" x14ac:dyDescent="0.2">
      <c r="A100" t="s">
        <v>256</v>
      </c>
      <c r="B100" t="s">
        <v>257</v>
      </c>
      <c r="C100" t="s">
        <v>257</v>
      </c>
      <c r="D100" t="s">
        <v>5</v>
      </c>
      <c r="E100">
        <v>0</v>
      </c>
      <c r="F100">
        <v>0</v>
      </c>
      <c r="G100">
        <v>1</v>
      </c>
      <c r="H100">
        <v>0</v>
      </c>
      <c r="I100" t="s">
        <v>24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9.1</v>
      </c>
      <c r="AE100">
        <v>486</v>
      </c>
      <c r="AF100">
        <v>20.62388381865766</v>
      </c>
      <c r="AG100">
        <v>22.017814057609009</v>
      </c>
      <c r="AH100">
        <f>14.0082967600032*1</f>
        <v>14.0082967600032</v>
      </c>
      <c r="AI100">
        <f>0*1</f>
        <v>0</v>
      </c>
      <c r="AJ100">
        <v>1</v>
      </c>
      <c r="AK100">
        <v>0</v>
      </c>
      <c r="AL100">
        <v>0</v>
      </c>
    </row>
    <row r="101" spans="1:38" hidden="1" x14ac:dyDescent="0.2">
      <c r="A101" t="s">
        <v>258</v>
      </c>
      <c r="B101" t="s">
        <v>259</v>
      </c>
      <c r="C101" t="s">
        <v>259</v>
      </c>
      <c r="D101" t="s">
        <v>4</v>
      </c>
      <c r="E101">
        <v>0</v>
      </c>
      <c r="F101">
        <v>1</v>
      </c>
      <c r="G101">
        <v>0</v>
      </c>
      <c r="H101">
        <v>0</v>
      </c>
      <c r="I101" t="s">
        <v>24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6.3</v>
      </c>
      <c r="AE101">
        <v>488</v>
      </c>
      <c r="AF101">
        <v>0</v>
      </c>
      <c r="AG101">
        <v>0</v>
      </c>
      <c r="AH101">
        <f>0*1</f>
        <v>0</v>
      </c>
      <c r="AI101">
        <f>0*1</f>
        <v>0</v>
      </c>
      <c r="AJ101">
        <v>1</v>
      </c>
      <c r="AK101">
        <v>0</v>
      </c>
      <c r="AL101">
        <v>0</v>
      </c>
    </row>
    <row r="102" spans="1:38" hidden="1" x14ac:dyDescent="0.2">
      <c r="A102" t="s">
        <v>260</v>
      </c>
      <c r="B102" t="s">
        <v>261</v>
      </c>
      <c r="C102" t="s">
        <v>261</v>
      </c>
      <c r="D102" t="s">
        <v>6</v>
      </c>
      <c r="E102">
        <v>0</v>
      </c>
      <c r="F102">
        <v>0</v>
      </c>
      <c r="G102">
        <v>0</v>
      </c>
      <c r="H102">
        <v>1</v>
      </c>
      <c r="I102" t="s">
        <v>24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14.8</v>
      </c>
      <c r="AE102">
        <v>489</v>
      </c>
      <c r="AF102">
        <v>29.136363636363651</v>
      </c>
      <c r="AG102">
        <v>40.65894717763571</v>
      </c>
      <c r="AH102">
        <f>14.3547841013562*1</f>
        <v>14.3547841013562</v>
      </c>
      <c r="AI102">
        <f>0*1</f>
        <v>0</v>
      </c>
      <c r="AJ102">
        <v>1</v>
      </c>
      <c r="AK102">
        <v>0</v>
      </c>
      <c r="AL102">
        <v>0</v>
      </c>
    </row>
    <row r="103" spans="1:38" hidden="1" x14ac:dyDescent="0.2">
      <c r="A103" t="s">
        <v>262</v>
      </c>
      <c r="B103" t="s">
        <v>263</v>
      </c>
      <c r="C103" t="s">
        <v>263</v>
      </c>
      <c r="D103" t="s">
        <v>5</v>
      </c>
      <c r="E103">
        <v>0</v>
      </c>
      <c r="F103">
        <v>0</v>
      </c>
      <c r="G103">
        <v>1</v>
      </c>
      <c r="H103">
        <v>0</v>
      </c>
      <c r="I103" t="s">
        <v>24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5.4</v>
      </c>
      <c r="AE103">
        <v>492</v>
      </c>
      <c r="AF103">
        <v>0</v>
      </c>
      <c r="AG103">
        <v>0</v>
      </c>
      <c r="AH103">
        <f>0*1</f>
        <v>0</v>
      </c>
      <c r="AI103">
        <f>0*1</f>
        <v>0</v>
      </c>
      <c r="AJ103">
        <v>1</v>
      </c>
      <c r="AK103">
        <v>0</v>
      </c>
      <c r="AL103">
        <v>0</v>
      </c>
    </row>
    <row r="104" spans="1:38" hidden="1" x14ac:dyDescent="0.2">
      <c r="A104" t="s">
        <v>264</v>
      </c>
      <c r="B104" t="s">
        <v>81</v>
      </c>
      <c r="C104" t="s">
        <v>81</v>
      </c>
      <c r="D104" t="s">
        <v>4</v>
      </c>
      <c r="E104">
        <v>0</v>
      </c>
      <c r="F104">
        <v>1</v>
      </c>
      <c r="G104">
        <v>0</v>
      </c>
      <c r="H104">
        <v>0</v>
      </c>
      <c r="I104" t="s">
        <v>24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4.3</v>
      </c>
      <c r="AE104">
        <v>493</v>
      </c>
      <c r="AF104">
        <v>0</v>
      </c>
      <c r="AG104">
        <v>0</v>
      </c>
      <c r="AH104">
        <f>0*1</f>
        <v>0</v>
      </c>
      <c r="AI104">
        <f>0*1</f>
        <v>0</v>
      </c>
      <c r="AJ104">
        <v>1</v>
      </c>
      <c r="AK104">
        <v>0</v>
      </c>
      <c r="AL104">
        <v>0</v>
      </c>
    </row>
    <row r="105" spans="1:38" hidden="1" x14ac:dyDescent="0.2">
      <c r="A105" t="s">
        <v>265</v>
      </c>
      <c r="B105" t="s">
        <v>266</v>
      </c>
      <c r="C105" t="s">
        <v>266</v>
      </c>
      <c r="D105" t="s">
        <v>5</v>
      </c>
      <c r="E105">
        <v>0</v>
      </c>
      <c r="F105">
        <v>0</v>
      </c>
      <c r="G105">
        <v>1</v>
      </c>
      <c r="H105">
        <v>0</v>
      </c>
      <c r="I105" t="s">
        <v>24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6.3</v>
      </c>
      <c r="AE105">
        <v>503</v>
      </c>
      <c r="AF105">
        <v>13.454557928923469</v>
      </c>
      <c r="AG105">
        <v>15.44498102055689</v>
      </c>
      <c r="AH105">
        <f>6.56824830328099*1</f>
        <v>6.5682483032809902</v>
      </c>
      <c r="AI105">
        <f>0*1</f>
        <v>0</v>
      </c>
      <c r="AJ105">
        <v>1</v>
      </c>
      <c r="AK105">
        <v>0</v>
      </c>
      <c r="AL105">
        <v>0</v>
      </c>
    </row>
    <row r="106" spans="1:38" hidden="1" x14ac:dyDescent="0.2">
      <c r="A106" t="s">
        <v>267</v>
      </c>
      <c r="B106" t="s">
        <v>268</v>
      </c>
      <c r="C106" t="s">
        <v>269</v>
      </c>
      <c r="D106" t="s">
        <v>5</v>
      </c>
      <c r="E106">
        <v>0</v>
      </c>
      <c r="F106">
        <v>0</v>
      </c>
      <c r="G106">
        <v>1</v>
      </c>
      <c r="H106">
        <v>0</v>
      </c>
      <c r="I106" t="s">
        <v>25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8.5</v>
      </c>
      <c r="AE106">
        <v>519</v>
      </c>
      <c r="AF106">
        <v>23.72448979591837</v>
      </c>
      <c r="AG106">
        <v>25.203095309829632</v>
      </c>
      <c r="AH106">
        <f>20.244571769488*1</f>
        <v>20.244571769488001</v>
      </c>
      <c r="AI106">
        <f>4.14412644269271*1</f>
        <v>4.14412644269271</v>
      </c>
      <c r="AJ106">
        <v>1</v>
      </c>
      <c r="AK106">
        <v>0</v>
      </c>
      <c r="AL106">
        <v>0</v>
      </c>
    </row>
    <row r="107" spans="1:38" hidden="1" x14ac:dyDescent="0.2">
      <c r="A107" t="s">
        <v>270</v>
      </c>
      <c r="B107" t="s">
        <v>271</v>
      </c>
      <c r="C107" t="s">
        <v>272</v>
      </c>
      <c r="D107" t="s">
        <v>4</v>
      </c>
      <c r="E107">
        <v>0</v>
      </c>
      <c r="F107">
        <v>1</v>
      </c>
      <c r="G107">
        <v>0</v>
      </c>
      <c r="H107">
        <v>0</v>
      </c>
      <c r="I107" t="s">
        <v>25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</v>
      </c>
      <c r="AE107">
        <v>522</v>
      </c>
      <c r="AF107">
        <v>16.222222222222211</v>
      </c>
      <c r="AG107">
        <v>17.408616501541712</v>
      </c>
      <c r="AH107">
        <f>11.1088968281387*1</f>
        <v>11.1088968281387</v>
      </c>
      <c r="AI107">
        <f>2.14348907962619*1</f>
        <v>2.1434890796261898</v>
      </c>
      <c r="AJ107">
        <v>1</v>
      </c>
      <c r="AK107">
        <v>0</v>
      </c>
      <c r="AL107">
        <v>0</v>
      </c>
    </row>
    <row r="108" spans="1:38" hidden="1" x14ac:dyDescent="0.2">
      <c r="A108" t="s">
        <v>273</v>
      </c>
      <c r="B108" t="s">
        <v>274</v>
      </c>
      <c r="C108" t="s">
        <v>274</v>
      </c>
      <c r="D108" t="s">
        <v>5</v>
      </c>
      <c r="E108">
        <v>0</v>
      </c>
      <c r="F108">
        <v>0</v>
      </c>
      <c r="G108">
        <v>1</v>
      </c>
      <c r="H108">
        <v>0</v>
      </c>
      <c r="I108" t="s">
        <v>25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5.9</v>
      </c>
      <c r="AE108">
        <v>525</v>
      </c>
      <c r="AF108">
        <v>15.741795003732999</v>
      </c>
      <c r="AG108">
        <v>16.174954198499869</v>
      </c>
      <c r="AH108">
        <f>8.29537421734392*1</f>
        <v>8.2953742173439196</v>
      </c>
      <c r="AI108">
        <f>2.10751361289886*1</f>
        <v>2.1075136128988601</v>
      </c>
      <c r="AJ108">
        <v>1</v>
      </c>
      <c r="AK108">
        <v>0</v>
      </c>
      <c r="AL108">
        <v>0</v>
      </c>
    </row>
    <row r="109" spans="1:38" hidden="1" x14ac:dyDescent="0.2">
      <c r="A109" t="s">
        <v>275</v>
      </c>
      <c r="B109" t="s">
        <v>276</v>
      </c>
      <c r="C109" t="s">
        <v>276</v>
      </c>
      <c r="D109" t="s">
        <v>6</v>
      </c>
      <c r="E109">
        <v>0</v>
      </c>
      <c r="F109">
        <v>0</v>
      </c>
      <c r="G109">
        <v>0</v>
      </c>
      <c r="H109">
        <v>1</v>
      </c>
      <c r="I109" t="s">
        <v>25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6.9</v>
      </c>
      <c r="AE109">
        <v>528</v>
      </c>
      <c r="AF109">
        <v>0</v>
      </c>
      <c r="AG109">
        <v>0</v>
      </c>
      <c r="AH109">
        <f>0*1</f>
        <v>0</v>
      </c>
      <c r="AI109">
        <f>0*1</f>
        <v>0</v>
      </c>
      <c r="AJ109">
        <v>1</v>
      </c>
      <c r="AK109">
        <v>0</v>
      </c>
      <c r="AL109">
        <v>0</v>
      </c>
    </row>
    <row r="110" spans="1:38" x14ac:dyDescent="0.2">
      <c r="A110" t="s">
        <v>189</v>
      </c>
      <c r="B110" t="s">
        <v>190</v>
      </c>
      <c r="C110" t="s">
        <v>190</v>
      </c>
      <c r="D110" t="s">
        <v>3</v>
      </c>
      <c r="E110">
        <v>1</v>
      </c>
      <c r="F110">
        <v>0</v>
      </c>
      <c r="G110">
        <v>0</v>
      </c>
      <c r="H110">
        <v>0</v>
      </c>
      <c r="I110" t="s">
        <v>19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5.0999999999999996</v>
      </c>
      <c r="AE110">
        <v>315</v>
      </c>
      <c r="AF110">
        <v>18.04166666666665</v>
      </c>
      <c r="AG110">
        <v>17.502297553022899</v>
      </c>
      <c r="AH110">
        <f>12.5411460717418*1</f>
        <v>12.5411460717418</v>
      </c>
      <c r="AI110">
        <f>2.52208043592171*1</f>
        <v>2.5220804359217102</v>
      </c>
      <c r="AJ110">
        <v>1</v>
      </c>
      <c r="AK110">
        <v>1</v>
      </c>
      <c r="AL110">
        <v>1</v>
      </c>
    </row>
    <row r="111" spans="1:38" hidden="1" x14ac:dyDescent="0.2">
      <c r="A111" t="s">
        <v>279</v>
      </c>
      <c r="B111" t="s">
        <v>280</v>
      </c>
      <c r="C111" t="s">
        <v>280</v>
      </c>
      <c r="D111" t="s">
        <v>5</v>
      </c>
      <c r="E111">
        <v>0</v>
      </c>
      <c r="F111">
        <v>0</v>
      </c>
      <c r="G111">
        <v>1</v>
      </c>
      <c r="H111">
        <v>0</v>
      </c>
      <c r="I111" t="s">
        <v>26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</v>
      </c>
      <c r="AE111">
        <v>562</v>
      </c>
      <c r="AF111">
        <v>19.103260869565219</v>
      </c>
      <c r="AG111">
        <v>20.295961591804481</v>
      </c>
      <c r="AH111">
        <f>10.6746164985642*1</f>
        <v>10.6746164985642</v>
      </c>
      <c r="AI111">
        <f>2.04167002229321*1</f>
        <v>2.0416700222932098</v>
      </c>
      <c r="AJ111">
        <v>1</v>
      </c>
      <c r="AK111">
        <v>0</v>
      </c>
      <c r="AL111">
        <v>0</v>
      </c>
    </row>
    <row r="112" spans="1:38" hidden="1" x14ac:dyDescent="0.2">
      <c r="A112" t="s">
        <v>267</v>
      </c>
      <c r="B112" t="s">
        <v>281</v>
      </c>
      <c r="C112" t="s">
        <v>282</v>
      </c>
      <c r="D112" t="s">
        <v>5</v>
      </c>
      <c r="E112">
        <v>0</v>
      </c>
      <c r="F112">
        <v>0</v>
      </c>
      <c r="G112">
        <v>1</v>
      </c>
      <c r="H112">
        <v>0</v>
      </c>
      <c r="I112" t="s">
        <v>26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6.2</v>
      </c>
      <c r="AE112">
        <v>564</v>
      </c>
      <c r="AF112">
        <v>18.64864864864866</v>
      </c>
      <c r="AG112">
        <v>18.175031252491902</v>
      </c>
      <c r="AH112">
        <f>15.8772827561303*1</f>
        <v>15.877282756130301</v>
      </c>
      <c r="AI112">
        <f>3.12742039230129*1</f>
        <v>3.12742039230129</v>
      </c>
      <c r="AJ112">
        <v>1</v>
      </c>
      <c r="AK112">
        <v>0</v>
      </c>
      <c r="AL112">
        <v>0</v>
      </c>
    </row>
    <row r="113" spans="1:38" hidden="1" x14ac:dyDescent="0.2">
      <c r="A113" t="s">
        <v>283</v>
      </c>
      <c r="B113" t="s">
        <v>284</v>
      </c>
      <c r="C113" t="s">
        <v>284</v>
      </c>
      <c r="D113" t="s">
        <v>4</v>
      </c>
      <c r="E113">
        <v>0</v>
      </c>
      <c r="F113">
        <v>1</v>
      </c>
      <c r="G113">
        <v>0</v>
      </c>
      <c r="H113">
        <v>0</v>
      </c>
      <c r="I113" t="s">
        <v>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4.5</v>
      </c>
      <c r="AE113">
        <v>565</v>
      </c>
      <c r="AF113">
        <v>14.40217391304348</v>
      </c>
      <c r="AG113">
        <v>13.63330386615527</v>
      </c>
      <c r="AH113">
        <f>8.33294724899417*1</f>
        <v>8.3329472489941701</v>
      </c>
      <c r="AI113">
        <f>1.72386726510507*1</f>
        <v>1.7238672651050699</v>
      </c>
      <c r="AJ113">
        <v>1</v>
      </c>
      <c r="AK113">
        <v>0</v>
      </c>
      <c r="AL113">
        <v>0</v>
      </c>
    </row>
    <row r="114" spans="1:38" hidden="1" x14ac:dyDescent="0.2">
      <c r="A114" t="s">
        <v>285</v>
      </c>
      <c r="B114" t="s">
        <v>286</v>
      </c>
      <c r="C114" t="s">
        <v>286</v>
      </c>
      <c r="D114" t="s">
        <v>5</v>
      </c>
      <c r="E114">
        <v>0</v>
      </c>
      <c r="F114">
        <v>0</v>
      </c>
      <c r="G114">
        <v>1</v>
      </c>
      <c r="H114">
        <v>0</v>
      </c>
      <c r="I114" t="s">
        <v>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7.4</v>
      </c>
      <c r="AE114">
        <v>567</v>
      </c>
      <c r="AF114">
        <v>17.32601377112233</v>
      </c>
      <c r="AG114">
        <v>16.588748161472651</v>
      </c>
      <c r="AH114">
        <f>16.1059093876177*1</f>
        <v>16.1059093876177</v>
      </c>
      <c r="AI114">
        <f>3.44270302357325*1</f>
        <v>3.4427030235732499</v>
      </c>
      <c r="AJ114">
        <v>1</v>
      </c>
      <c r="AK114">
        <v>0</v>
      </c>
      <c r="AL114">
        <v>0</v>
      </c>
    </row>
    <row r="115" spans="1:38" hidden="1" x14ac:dyDescent="0.2">
      <c r="A115" t="s">
        <v>81</v>
      </c>
      <c r="B115" t="s">
        <v>287</v>
      </c>
      <c r="C115" t="s">
        <v>287</v>
      </c>
      <c r="D115" t="s">
        <v>4</v>
      </c>
      <c r="E115">
        <v>0</v>
      </c>
      <c r="F115">
        <v>1</v>
      </c>
      <c r="G115">
        <v>0</v>
      </c>
      <c r="H115">
        <v>0</v>
      </c>
      <c r="I115" t="s">
        <v>26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4.7</v>
      </c>
      <c r="AE115">
        <v>568</v>
      </c>
      <c r="AF115">
        <v>0</v>
      </c>
      <c r="AG115">
        <v>0</v>
      </c>
      <c r="AH115">
        <f>0*1</f>
        <v>0</v>
      </c>
      <c r="AI115">
        <f>0*1</f>
        <v>0</v>
      </c>
      <c r="AJ115">
        <v>1</v>
      </c>
      <c r="AK115">
        <v>0</v>
      </c>
      <c r="AL115">
        <v>0</v>
      </c>
    </row>
    <row r="116" spans="1:38" x14ac:dyDescent="0.2">
      <c r="A116" t="s">
        <v>231</v>
      </c>
      <c r="B116" t="s">
        <v>232</v>
      </c>
      <c r="C116" t="s">
        <v>232</v>
      </c>
      <c r="D116" t="s">
        <v>4</v>
      </c>
      <c r="E116">
        <v>0</v>
      </c>
      <c r="F116">
        <v>1</v>
      </c>
      <c r="G116">
        <v>0</v>
      </c>
      <c r="H116">
        <v>0</v>
      </c>
      <c r="I116" t="s">
        <v>23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7.2</v>
      </c>
      <c r="AE116">
        <v>444</v>
      </c>
      <c r="AF116">
        <v>25.741195063860701</v>
      </c>
      <c r="AG116">
        <v>27.919329793968782</v>
      </c>
      <c r="AH116">
        <f>12.9505424451855*1</f>
        <v>12.9505424451855</v>
      </c>
      <c r="AI116">
        <f>2.43565153716122*1</f>
        <v>2.43565153716122</v>
      </c>
      <c r="AJ116">
        <v>1</v>
      </c>
      <c r="AK116">
        <v>1</v>
      </c>
      <c r="AL116">
        <v>1</v>
      </c>
    </row>
    <row r="117" spans="1:38" x14ac:dyDescent="0.2">
      <c r="A117" t="s">
        <v>214</v>
      </c>
      <c r="B117" t="s">
        <v>215</v>
      </c>
      <c r="C117" t="s">
        <v>215</v>
      </c>
      <c r="D117" t="s">
        <v>4</v>
      </c>
      <c r="E117">
        <v>0</v>
      </c>
      <c r="F117">
        <v>1</v>
      </c>
      <c r="G117">
        <v>0</v>
      </c>
      <c r="H117">
        <v>0</v>
      </c>
      <c r="I117" t="s">
        <v>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4.8</v>
      </c>
      <c r="AE117">
        <v>351</v>
      </c>
      <c r="AF117">
        <v>13.44961240310078</v>
      </c>
      <c r="AG117">
        <v>13.005924200732039</v>
      </c>
      <c r="AH117">
        <f>12.4147255576003*1</f>
        <v>12.414725557600301</v>
      </c>
      <c r="AI117">
        <f>2.42684505529538*1</f>
        <v>2.42684505529538</v>
      </c>
      <c r="AJ117">
        <v>1</v>
      </c>
      <c r="AK117">
        <v>1</v>
      </c>
      <c r="AL117">
        <v>1</v>
      </c>
    </row>
    <row r="118" spans="1:38" hidden="1" x14ac:dyDescent="0.2">
      <c r="A118" t="s">
        <v>293</v>
      </c>
      <c r="B118" t="s">
        <v>294</v>
      </c>
      <c r="C118" t="s">
        <v>295</v>
      </c>
      <c r="D118" t="s">
        <v>5</v>
      </c>
      <c r="E118">
        <v>0</v>
      </c>
      <c r="F118">
        <v>0</v>
      </c>
      <c r="G118">
        <v>1</v>
      </c>
      <c r="H118">
        <v>0</v>
      </c>
      <c r="I118" t="s">
        <v>26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</v>
      </c>
      <c r="AE118">
        <v>572</v>
      </c>
      <c r="AF118">
        <v>15.67447010938837</v>
      </c>
      <c r="AG118">
        <v>12.934747279012081</v>
      </c>
      <c r="AH118">
        <f>11.5188870334106*1</f>
        <v>11.5188870334106</v>
      </c>
      <c r="AI118">
        <f>2.35054257386493*1</f>
        <v>2.3505425738649302</v>
      </c>
      <c r="AJ118">
        <v>1</v>
      </c>
      <c r="AK118">
        <v>0</v>
      </c>
      <c r="AL118">
        <v>0</v>
      </c>
    </row>
    <row r="119" spans="1:38" hidden="1" x14ac:dyDescent="0.2">
      <c r="A119" t="s">
        <v>296</v>
      </c>
      <c r="B119" t="s">
        <v>297</v>
      </c>
      <c r="C119" t="s">
        <v>297</v>
      </c>
      <c r="D119" t="s">
        <v>4</v>
      </c>
      <c r="E119">
        <v>0</v>
      </c>
      <c r="F119">
        <v>1</v>
      </c>
      <c r="G119">
        <v>0</v>
      </c>
      <c r="H119">
        <v>0</v>
      </c>
      <c r="I119" t="s">
        <v>26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4.5999999999999996</v>
      </c>
      <c r="AE119">
        <v>578</v>
      </c>
      <c r="AF119">
        <v>12.142857142857141</v>
      </c>
      <c r="AG119">
        <v>11.404369951503281</v>
      </c>
      <c r="AH119">
        <f>10.3552788167777*1</f>
        <v>10.3552788167777</v>
      </c>
      <c r="AI119">
        <f>1.94682779852374*1</f>
        <v>1.9468277985237401</v>
      </c>
      <c r="AJ119">
        <v>1</v>
      </c>
      <c r="AK119">
        <v>0</v>
      </c>
      <c r="AL119">
        <v>0</v>
      </c>
    </row>
    <row r="120" spans="1:38" hidden="1" x14ac:dyDescent="0.2">
      <c r="A120" t="s">
        <v>298</v>
      </c>
      <c r="B120" t="s">
        <v>299</v>
      </c>
      <c r="C120" t="s">
        <v>299</v>
      </c>
      <c r="D120" t="s">
        <v>4</v>
      </c>
      <c r="E120">
        <v>0</v>
      </c>
      <c r="F120">
        <v>1</v>
      </c>
      <c r="G120">
        <v>0</v>
      </c>
      <c r="H120">
        <v>0</v>
      </c>
      <c r="I120" t="s">
        <v>26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5.5</v>
      </c>
      <c r="AE120">
        <v>584</v>
      </c>
      <c r="AF120">
        <v>18.23080751288084</v>
      </c>
      <c r="AG120">
        <v>15.726567896149239</v>
      </c>
      <c r="AH120">
        <f>11.3722879538033*1</f>
        <v>11.372287953803299</v>
      </c>
      <c r="AI120">
        <f>1.84827863721621*1</f>
        <v>1.8482786372162101</v>
      </c>
      <c r="AJ120">
        <v>1</v>
      </c>
      <c r="AK120">
        <v>0</v>
      </c>
      <c r="AL120">
        <v>0</v>
      </c>
    </row>
    <row r="121" spans="1:38" hidden="1" x14ac:dyDescent="0.2">
      <c r="A121" t="s">
        <v>300</v>
      </c>
      <c r="B121" t="s">
        <v>301</v>
      </c>
      <c r="C121" t="s">
        <v>301</v>
      </c>
      <c r="D121" t="s">
        <v>5</v>
      </c>
      <c r="E121">
        <v>0</v>
      </c>
      <c r="F121">
        <v>0</v>
      </c>
      <c r="G121">
        <v>1</v>
      </c>
      <c r="H121">
        <v>0</v>
      </c>
      <c r="I121" t="s">
        <v>26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5.5</v>
      </c>
      <c r="AE121">
        <v>586</v>
      </c>
      <c r="AF121">
        <v>0</v>
      </c>
      <c r="AG121">
        <v>0</v>
      </c>
      <c r="AH121">
        <f>0*1</f>
        <v>0</v>
      </c>
      <c r="AI121">
        <f>0*1</f>
        <v>0</v>
      </c>
      <c r="AJ121">
        <v>1</v>
      </c>
      <c r="AK121">
        <v>0</v>
      </c>
      <c r="AL121">
        <v>0</v>
      </c>
    </row>
    <row r="122" spans="1:38" hidden="1" x14ac:dyDescent="0.2">
      <c r="A122" t="s">
        <v>302</v>
      </c>
      <c r="B122" t="s">
        <v>303</v>
      </c>
      <c r="C122" t="s">
        <v>303</v>
      </c>
      <c r="D122" t="s">
        <v>5</v>
      </c>
      <c r="E122">
        <v>0</v>
      </c>
      <c r="F122">
        <v>0</v>
      </c>
      <c r="G122">
        <v>1</v>
      </c>
      <c r="H122">
        <v>0</v>
      </c>
      <c r="I122" t="s">
        <v>26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4.7</v>
      </c>
      <c r="AE122">
        <v>589</v>
      </c>
      <c r="AF122">
        <v>5</v>
      </c>
      <c r="AG122">
        <v>16.516864598519049</v>
      </c>
      <c r="AH122">
        <f>1.68664576824061*1</f>
        <v>1.68664576824061</v>
      </c>
      <c r="AI122">
        <f>0.266375980644066*1</f>
        <v>0.26637598064406598</v>
      </c>
      <c r="AJ122">
        <v>1</v>
      </c>
      <c r="AK122">
        <v>0</v>
      </c>
      <c r="AL122">
        <v>0</v>
      </c>
    </row>
    <row r="123" spans="1:38" hidden="1" x14ac:dyDescent="0.2">
      <c r="A123" t="s">
        <v>304</v>
      </c>
      <c r="B123" t="s">
        <v>305</v>
      </c>
      <c r="C123" t="s">
        <v>305</v>
      </c>
      <c r="D123" t="s">
        <v>4</v>
      </c>
      <c r="E123">
        <v>0</v>
      </c>
      <c r="F123">
        <v>1</v>
      </c>
      <c r="G123">
        <v>0</v>
      </c>
      <c r="H123">
        <v>0</v>
      </c>
      <c r="I123" t="s">
        <v>27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5.2</v>
      </c>
      <c r="AE123">
        <v>596</v>
      </c>
      <c r="AF123">
        <v>0</v>
      </c>
      <c r="AG123">
        <v>0</v>
      </c>
      <c r="AH123">
        <f>0*1</f>
        <v>0</v>
      </c>
      <c r="AI123">
        <f>0*1</f>
        <v>0</v>
      </c>
      <c r="AJ123">
        <v>1</v>
      </c>
      <c r="AK123">
        <v>0</v>
      </c>
      <c r="AL123">
        <v>0</v>
      </c>
    </row>
    <row r="124" spans="1:38" hidden="1" x14ac:dyDescent="0.2">
      <c r="A124" t="s">
        <v>306</v>
      </c>
      <c r="B124" t="s">
        <v>307</v>
      </c>
      <c r="C124" t="s">
        <v>307</v>
      </c>
      <c r="D124" t="s">
        <v>5</v>
      </c>
      <c r="E124">
        <v>0</v>
      </c>
      <c r="F124">
        <v>0</v>
      </c>
      <c r="G124">
        <v>1</v>
      </c>
      <c r="H124">
        <v>0</v>
      </c>
      <c r="I124" t="s">
        <v>27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5</v>
      </c>
      <c r="AE124">
        <v>597</v>
      </c>
      <c r="AF124">
        <v>18.85008232304941</v>
      </c>
      <c r="AG124">
        <v>9.4924687060522643</v>
      </c>
      <c r="AH124">
        <f>17.9484369840562*1</f>
        <v>17.948436984056201</v>
      </c>
      <c r="AI124">
        <f>3.80268180529971*1</f>
        <v>3.8026818052997098</v>
      </c>
      <c r="AJ124">
        <v>1</v>
      </c>
      <c r="AK124">
        <v>0</v>
      </c>
      <c r="AL124">
        <v>0</v>
      </c>
    </row>
    <row r="125" spans="1:38" hidden="1" x14ac:dyDescent="0.2">
      <c r="A125" t="s">
        <v>308</v>
      </c>
      <c r="B125" t="s">
        <v>309</v>
      </c>
      <c r="C125" t="s">
        <v>309</v>
      </c>
      <c r="D125" t="s">
        <v>6</v>
      </c>
      <c r="E125">
        <v>0</v>
      </c>
      <c r="F125">
        <v>0</v>
      </c>
      <c r="G125">
        <v>0</v>
      </c>
      <c r="H125">
        <v>1</v>
      </c>
      <c r="I125" t="s">
        <v>27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5.5</v>
      </c>
      <c r="AE125">
        <v>598</v>
      </c>
      <c r="AF125">
        <v>5.6703870420743598</v>
      </c>
      <c r="AG125">
        <v>16.873595078648648</v>
      </c>
      <c r="AH125">
        <f>1.85295164503309*1</f>
        <v>1.8529516450330901</v>
      </c>
      <c r="AI125">
        <f>0.289937084475101*1</f>
        <v>0.28993708447510103</v>
      </c>
      <c r="AJ125">
        <v>1</v>
      </c>
      <c r="AK125">
        <v>0</v>
      </c>
      <c r="AL125">
        <v>0</v>
      </c>
    </row>
    <row r="126" spans="1:38" hidden="1" x14ac:dyDescent="0.2">
      <c r="A126" t="s">
        <v>310</v>
      </c>
      <c r="B126" t="s">
        <v>311</v>
      </c>
      <c r="C126" t="s">
        <v>312</v>
      </c>
      <c r="D126" t="s">
        <v>5</v>
      </c>
      <c r="E126">
        <v>0</v>
      </c>
      <c r="F126">
        <v>0</v>
      </c>
      <c r="G126">
        <v>1</v>
      </c>
      <c r="H126">
        <v>0</v>
      </c>
      <c r="I126" t="s">
        <v>27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4.8</v>
      </c>
      <c r="AE126">
        <v>605</v>
      </c>
      <c r="AF126">
        <v>0</v>
      </c>
      <c r="AG126">
        <v>0</v>
      </c>
      <c r="AH126">
        <f>0*1</f>
        <v>0</v>
      </c>
      <c r="AI126">
        <f>0*1</f>
        <v>0</v>
      </c>
      <c r="AJ126">
        <v>1</v>
      </c>
      <c r="AK126">
        <v>0</v>
      </c>
      <c r="AL126">
        <v>0</v>
      </c>
    </row>
    <row r="127" spans="1:38" x14ac:dyDescent="0.2">
      <c r="A127" t="s">
        <v>277</v>
      </c>
      <c r="B127" t="s">
        <v>278</v>
      </c>
      <c r="C127" t="s">
        <v>278</v>
      </c>
      <c r="D127" t="s">
        <v>3</v>
      </c>
      <c r="E127">
        <v>1</v>
      </c>
      <c r="F127">
        <v>0</v>
      </c>
      <c r="G127">
        <v>0</v>
      </c>
      <c r="H127">
        <v>0</v>
      </c>
      <c r="I127" t="s">
        <v>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4.9000000000000004</v>
      </c>
      <c r="AE127">
        <v>536</v>
      </c>
      <c r="AF127">
        <v>17.826086956521738</v>
      </c>
      <c r="AG127">
        <v>18.18797208150394</v>
      </c>
      <c r="AH127">
        <f>9.14394268805978*1</f>
        <v>9.1439426880597807</v>
      </c>
      <c r="AI127">
        <f>1.71728932498972*1</f>
        <v>1.7172893249897201</v>
      </c>
      <c r="AJ127">
        <v>1</v>
      </c>
      <c r="AK127">
        <v>1</v>
      </c>
      <c r="AL127">
        <v>1</v>
      </c>
    </row>
    <row r="128" spans="1:38" hidden="1" x14ac:dyDescent="0.2">
      <c r="A128" t="s">
        <v>72</v>
      </c>
      <c r="B128" t="s">
        <v>314</v>
      </c>
      <c r="C128" t="s">
        <v>314</v>
      </c>
      <c r="D128" t="s">
        <v>5</v>
      </c>
      <c r="E128">
        <v>0</v>
      </c>
      <c r="F128">
        <v>0</v>
      </c>
      <c r="G128">
        <v>1</v>
      </c>
      <c r="H128">
        <v>0</v>
      </c>
      <c r="I128" t="s">
        <v>27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6.4</v>
      </c>
      <c r="AE128">
        <v>607</v>
      </c>
      <c r="AF128">
        <v>22.210066130332731</v>
      </c>
      <c r="AG128">
        <v>16.181456192514329</v>
      </c>
      <c r="AH128">
        <f>19.4239513004143*1</f>
        <v>19.423951300414299</v>
      </c>
      <c r="AI128">
        <f>3.98573134456796*1</f>
        <v>3.9857313445679599</v>
      </c>
      <c r="AJ128">
        <v>1</v>
      </c>
      <c r="AK128">
        <v>0</v>
      </c>
      <c r="AL128">
        <v>0</v>
      </c>
    </row>
    <row r="129" spans="1:38" hidden="1" x14ac:dyDescent="0.2">
      <c r="A129" t="s">
        <v>315</v>
      </c>
      <c r="B129" t="s">
        <v>316</v>
      </c>
      <c r="C129" t="s">
        <v>316</v>
      </c>
      <c r="D129" t="s">
        <v>5</v>
      </c>
      <c r="E129">
        <v>0</v>
      </c>
      <c r="F129">
        <v>0</v>
      </c>
      <c r="G129">
        <v>1</v>
      </c>
      <c r="H129">
        <v>0</v>
      </c>
      <c r="I129" t="s">
        <v>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5.0999999999999996</v>
      </c>
      <c r="AE129">
        <v>608</v>
      </c>
      <c r="AF129">
        <v>19.376349305384469</v>
      </c>
      <c r="AG129">
        <v>13.231272165477399</v>
      </c>
      <c r="AH129">
        <f>19.2991416799778*1</f>
        <v>19.299141679977801</v>
      </c>
      <c r="AI129">
        <f>3.77978443086647*1</f>
        <v>3.7797844308664699</v>
      </c>
      <c r="AJ129">
        <v>1</v>
      </c>
      <c r="AK129">
        <v>0</v>
      </c>
      <c r="AL129">
        <v>0</v>
      </c>
    </row>
    <row r="130" spans="1:38" hidden="1" x14ac:dyDescent="0.2">
      <c r="A130" t="s">
        <v>317</v>
      </c>
      <c r="B130" t="s">
        <v>318</v>
      </c>
      <c r="C130" t="s">
        <v>317</v>
      </c>
      <c r="D130" t="s">
        <v>4</v>
      </c>
      <c r="E130">
        <v>0</v>
      </c>
      <c r="F130">
        <v>1</v>
      </c>
      <c r="G130">
        <v>0</v>
      </c>
      <c r="H130">
        <v>0</v>
      </c>
      <c r="I130" t="s">
        <v>27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4.7</v>
      </c>
      <c r="AE130">
        <v>610</v>
      </c>
      <c r="AF130">
        <v>0</v>
      </c>
      <c r="AG130">
        <v>0</v>
      </c>
      <c r="AH130">
        <f>0*1</f>
        <v>0</v>
      </c>
      <c r="AI130">
        <f>0*1</f>
        <v>0</v>
      </c>
      <c r="AJ130">
        <v>1</v>
      </c>
      <c r="AK130">
        <v>0</v>
      </c>
      <c r="AL130">
        <v>0</v>
      </c>
    </row>
    <row r="131" spans="1:38" x14ac:dyDescent="0.2">
      <c r="A131" t="s">
        <v>56</v>
      </c>
      <c r="B131" t="s">
        <v>57</v>
      </c>
      <c r="C131" t="s">
        <v>57</v>
      </c>
      <c r="D131" t="s">
        <v>4</v>
      </c>
      <c r="E131">
        <v>0</v>
      </c>
      <c r="F131">
        <v>1</v>
      </c>
      <c r="G131">
        <v>0</v>
      </c>
      <c r="H131">
        <v>0</v>
      </c>
      <c r="I131" t="s">
        <v>12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6.6</v>
      </c>
      <c r="AE131">
        <v>14</v>
      </c>
      <c r="AF131">
        <v>17.223118735796628</v>
      </c>
      <c r="AG131">
        <v>15.427365330786589</v>
      </c>
      <c r="AH131">
        <f>11.842578391948*1</f>
        <v>11.842578391948001</v>
      </c>
      <c r="AI131">
        <f>0*1</f>
        <v>0</v>
      </c>
      <c r="AJ131">
        <v>1</v>
      </c>
      <c r="AK131">
        <v>1</v>
      </c>
      <c r="AL131">
        <v>1</v>
      </c>
    </row>
    <row r="132" spans="1:38" hidden="1" x14ac:dyDescent="0.2">
      <c r="A132" t="s">
        <v>322</v>
      </c>
      <c r="B132" t="s">
        <v>323</v>
      </c>
      <c r="C132" t="s">
        <v>323</v>
      </c>
      <c r="D132" t="s">
        <v>3</v>
      </c>
      <c r="E132">
        <v>1</v>
      </c>
      <c r="F132">
        <v>0</v>
      </c>
      <c r="G132">
        <v>0</v>
      </c>
      <c r="H132">
        <v>0</v>
      </c>
      <c r="I132" t="s">
        <v>27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5.0999999999999996</v>
      </c>
      <c r="AE132">
        <v>617</v>
      </c>
      <c r="AF132">
        <v>0</v>
      </c>
      <c r="AG132">
        <v>0</v>
      </c>
      <c r="AH132">
        <f>0*1</f>
        <v>0</v>
      </c>
      <c r="AI132">
        <f>0*1</f>
        <v>0</v>
      </c>
      <c r="AJ132">
        <v>1</v>
      </c>
      <c r="AK132">
        <v>0</v>
      </c>
      <c r="AL132">
        <v>0</v>
      </c>
    </row>
    <row r="133" spans="1:38" x14ac:dyDescent="0.2">
      <c r="A133" t="s">
        <v>168</v>
      </c>
      <c r="B133" t="s">
        <v>169</v>
      </c>
      <c r="C133" t="s">
        <v>169</v>
      </c>
      <c r="D133" t="s">
        <v>6</v>
      </c>
      <c r="E133">
        <v>0</v>
      </c>
      <c r="F133">
        <v>0</v>
      </c>
      <c r="G133">
        <v>0</v>
      </c>
      <c r="H133">
        <v>1</v>
      </c>
      <c r="I133" t="s">
        <v>18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7.8</v>
      </c>
      <c r="AE133">
        <v>276</v>
      </c>
      <c r="AF133">
        <v>23.555243116339891</v>
      </c>
      <c r="AG133">
        <v>11.37569736042764</v>
      </c>
      <c r="AH133">
        <f>24.0891341860143*1</f>
        <v>24.089134186014299</v>
      </c>
      <c r="AI133">
        <f>0*1</f>
        <v>0</v>
      </c>
      <c r="AJ133">
        <v>1</v>
      </c>
      <c r="AK133">
        <v>1</v>
      </c>
      <c r="AL133">
        <v>1</v>
      </c>
    </row>
    <row r="134" spans="1:38" hidden="1" x14ac:dyDescent="0.2">
      <c r="A134" t="s">
        <v>79</v>
      </c>
      <c r="B134" t="s">
        <v>326</v>
      </c>
      <c r="C134" t="s">
        <v>326</v>
      </c>
      <c r="D134" t="s">
        <v>5</v>
      </c>
      <c r="E134">
        <v>0</v>
      </c>
      <c r="F134">
        <v>0</v>
      </c>
      <c r="G134">
        <v>1</v>
      </c>
      <c r="H134">
        <v>0</v>
      </c>
      <c r="I134" t="s">
        <v>27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4.8</v>
      </c>
      <c r="AE134">
        <v>622</v>
      </c>
      <c r="AF134">
        <v>9.6111111111111072</v>
      </c>
      <c r="AG134">
        <v>11.137074378468149</v>
      </c>
      <c r="AH134">
        <f>8.85627670988136*1</f>
        <v>8.8562767098813602</v>
      </c>
      <c r="AI134">
        <f>1.81549386567772*1</f>
        <v>1.81549386567772</v>
      </c>
      <c r="AJ134">
        <v>1</v>
      </c>
      <c r="AK134">
        <v>0</v>
      </c>
      <c r="AL134">
        <v>0</v>
      </c>
    </row>
    <row r="135" spans="1:38" hidden="1" x14ac:dyDescent="0.2">
      <c r="A135" t="s">
        <v>327</v>
      </c>
      <c r="B135" t="s">
        <v>328</v>
      </c>
      <c r="C135" t="s">
        <v>328</v>
      </c>
      <c r="D135" t="s">
        <v>3</v>
      </c>
      <c r="E135">
        <v>1</v>
      </c>
      <c r="F135">
        <v>0</v>
      </c>
      <c r="G135">
        <v>0</v>
      </c>
      <c r="H135">
        <v>0</v>
      </c>
      <c r="I135" t="s">
        <v>28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4.4000000000000004</v>
      </c>
      <c r="AE135">
        <v>630</v>
      </c>
      <c r="AF135">
        <v>17.20588235294117</v>
      </c>
      <c r="AG135">
        <v>17.289952992174111</v>
      </c>
      <c r="AH135">
        <f>9.35375045840131*1</f>
        <v>9.3537504584013096</v>
      </c>
      <c r="AI135">
        <f>1.83646075041201*1</f>
        <v>1.8364607504120101</v>
      </c>
      <c r="AJ135">
        <v>1</v>
      </c>
      <c r="AK135">
        <v>0</v>
      </c>
      <c r="AL135">
        <v>0</v>
      </c>
    </row>
    <row r="136" spans="1:38" hidden="1" x14ac:dyDescent="0.2">
      <c r="A136" t="s">
        <v>329</v>
      </c>
      <c r="B136" t="s">
        <v>330</v>
      </c>
      <c r="C136" t="s">
        <v>330</v>
      </c>
      <c r="D136" t="s">
        <v>6</v>
      </c>
      <c r="E136">
        <v>0</v>
      </c>
      <c r="F136">
        <v>0</v>
      </c>
      <c r="G136">
        <v>0</v>
      </c>
      <c r="H136">
        <v>1</v>
      </c>
      <c r="I136" t="s">
        <v>28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4.9000000000000004</v>
      </c>
      <c r="AE136">
        <v>631</v>
      </c>
      <c r="AF136">
        <v>10.44776119402985</v>
      </c>
      <c r="AG136">
        <v>13.82261310134845</v>
      </c>
      <c r="AH136">
        <f>5.606650427999*1</f>
        <v>5.6066504279989999</v>
      </c>
      <c r="AI136">
        <f>1.09922550427262*1</f>
        <v>1.09922550427262</v>
      </c>
      <c r="AJ136">
        <v>1</v>
      </c>
      <c r="AK136">
        <v>0</v>
      </c>
      <c r="AL136">
        <v>0</v>
      </c>
    </row>
    <row r="137" spans="1:38" hidden="1" x14ac:dyDescent="0.2">
      <c r="A137" t="s">
        <v>331</v>
      </c>
      <c r="B137" t="s">
        <v>332</v>
      </c>
      <c r="C137" t="s">
        <v>332</v>
      </c>
      <c r="D137" t="s">
        <v>4</v>
      </c>
      <c r="E137">
        <v>0</v>
      </c>
      <c r="F137">
        <v>1</v>
      </c>
      <c r="G137">
        <v>0</v>
      </c>
      <c r="H137">
        <v>0</v>
      </c>
      <c r="I137" t="s">
        <v>28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4</v>
      </c>
      <c r="AE137">
        <v>638</v>
      </c>
      <c r="AF137">
        <v>9.8218852695753611</v>
      </c>
      <c r="AG137">
        <v>11.33469055623921</v>
      </c>
      <c r="AH137">
        <f>4.60203360502309*1</f>
        <v>4.6020336050230899</v>
      </c>
      <c r="AI137">
        <f>0.849993706698945*1</f>
        <v>0.84999370669894503</v>
      </c>
      <c r="AJ137">
        <v>1</v>
      </c>
      <c r="AK137">
        <v>0</v>
      </c>
      <c r="AL137">
        <v>0</v>
      </c>
    </row>
    <row r="138" spans="1:38" hidden="1" x14ac:dyDescent="0.2">
      <c r="A138" t="s">
        <v>333</v>
      </c>
      <c r="B138" t="s">
        <v>334</v>
      </c>
      <c r="C138" t="s">
        <v>334</v>
      </c>
      <c r="D138" t="s">
        <v>4</v>
      </c>
      <c r="E138">
        <v>0</v>
      </c>
      <c r="F138">
        <v>1</v>
      </c>
      <c r="G138">
        <v>0</v>
      </c>
      <c r="H138">
        <v>0</v>
      </c>
      <c r="I138" t="s">
        <v>28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4.2</v>
      </c>
      <c r="AE138">
        <v>659</v>
      </c>
      <c r="AF138">
        <v>7.7408268330234691</v>
      </c>
      <c r="AG138">
        <v>12.4298651140797</v>
      </c>
      <c r="AH138">
        <f>3.27277339998633*1</f>
        <v>3.2727733999863302</v>
      </c>
      <c r="AI138">
        <f>0.673985056707038*1</f>
        <v>0.67398505670703801</v>
      </c>
      <c r="AJ138">
        <v>1</v>
      </c>
      <c r="AK138">
        <v>0</v>
      </c>
      <c r="AL138">
        <v>0</v>
      </c>
    </row>
    <row r="139" spans="1:38" hidden="1" x14ac:dyDescent="0.2">
      <c r="A139" t="s">
        <v>335</v>
      </c>
      <c r="B139" t="s">
        <v>336</v>
      </c>
      <c r="C139" t="s">
        <v>336</v>
      </c>
      <c r="D139" t="s">
        <v>5</v>
      </c>
      <c r="E139">
        <v>0</v>
      </c>
      <c r="F139">
        <v>0</v>
      </c>
      <c r="G139">
        <v>1</v>
      </c>
      <c r="H139">
        <v>0</v>
      </c>
      <c r="I139" t="s">
        <v>29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6.2</v>
      </c>
      <c r="AE139">
        <v>686</v>
      </c>
      <c r="AF139">
        <v>18.535353535353529</v>
      </c>
      <c r="AG139">
        <v>16.942674761724358</v>
      </c>
      <c r="AH139">
        <f>18.264815368823*1</f>
        <v>18.264815368823001</v>
      </c>
      <c r="AI139">
        <f>3.6616164378921*1</f>
        <v>3.6616164378920999</v>
      </c>
      <c r="AJ139">
        <v>1</v>
      </c>
      <c r="AK139">
        <v>0</v>
      </c>
      <c r="AL139">
        <v>0</v>
      </c>
    </row>
    <row r="140" spans="1:38" hidden="1" x14ac:dyDescent="0.2">
      <c r="A140" t="s">
        <v>337</v>
      </c>
      <c r="B140" t="s">
        <v>338</v>
      </c>
      <c r="C140" t="s">
        <v>338</v>
      </c>
      <c r="D140" t="s">
        <v>5</v>
      </c>
      <c r="E140">
        <v>0</v>
      </c>
      <c r="F140">
        <v>0</v>
      </c>
      <c r="G140">
        <v>1</v>
      </c>
      <c r="H140">
        <v>0</v>
      </c>
      <c r="I140" t="s">
        <v>29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6.2</v>
      </c>
      <c r="AE140">
        <v>687</v>
      </c>
      <c r="AF140">
        <v>19.52830188679247</v>
      </c>
      <c r="AG140">
        <v>18.663036139852</v>
      </c>
      <c r="AH140">
        <f>10.7414249301014*1</f>
        <v>10.741424930101401</v>
      </c>
      <c r="AI140">
        <f>2.13612255405516*1</f>
        <v>2.1361225540551598</v>
      </c>
      <c r="AJ140">
        <v>1</v>
      </c>
      <c r="AK140">
        <v>0</v>
      </c>
      <c r="AL140">
        <v>0</v>
      </c>
    </row>
    <row r="141" spans="1:38" hidden="1" x14ac:dyDescent="0.2">
      <c r="A141" t="s">
        <v>191</v>
      </c>
      <c r="B141" t="s">
        <v>339</v>
      </c>
      <c r="C141" t="s">
        <v>339</v>
      </c>
      <c r="D141" t="s">
        <v>5</v>
      </c>
      <c r="E141">
        <v>0</v>
      </c>
      <c r="F141">
        <v>0</v>
      </c>
      <c r="G141">
        <v>1</v>
      </c>
      <c r="H141">
        <v>0</v>
      </c>
      <c r="I141" t="s">
        <v>29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7.4</v>
      </c>
      <c r="AE141">
        <v>689</v>
      </c>
      <c r="AF141">
        <v>19.426608603285999</v>
      </c>
      <c r="AG141">
        <v>24.77093434016501</v>
      </c>
      <c r="AH141">
        <f>12.9634237834801*1</f>
        <v>12.963423783480099</v>
      </c>
      <c r="AI141">
        <f>2.42156744737037*1</f>
        <v>2.4215674473703701</v>
      </c>
      <c r="AJ141">
        <v>1</v>
      </c>
      <c r="AK141">
        <v>0</v>
      </c>
      <c r="AL141">
        <v>0</v>
      </c>
    </row>
    <row r="142" spans="1:38" hidden="1" x14ac:dyDescent="0.2">
      <c r="A142" t="s">
        <v>155</v>
      </c>
      <c r="B142" t="s">
        <v>340</v>
      </c>
      <c r="C142" t="s">
        <v>341</v>
      </c>
      <c r="D142" t="s">
        <v>4</v>
      </c>
      <c r="E142">
        <v>0</v>
      </c>
      <c r="F142">
        <v>1</v>
      </c>
      <c r="G142">
        <v>0</v>
      </c>
      <c r="H142">
        <v>0</v>
      </c>
      <c r="I142" t="s">
        <v>29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5.3</v>
      </c>
      <c r="AE142">
        <v>690</v>
      </c>
      <c r="AF142">
        <v>18.78540764449119</v>
      </c>
      <c r="AG142">
        <v>20.87889972791832</v>
      </c>
      <c r="AH142">
        <f>12.7347449862551*1</f>
        <v>12.7347449862551</v>
      </c>
      <c r="AI142">
        <f>2.97024781031047*1</f>
        <v>2.9702478103104699</v>
      </c>
      <c r="AJ142">
        <v>1</v>
      </c>
      <c r="AK142">
        <v>0</v>
      </c>
      <c r="AL142">
        <v>0</v>
      </c>
    </row>
    <row r="143" spans="1:38" hidden="1" x14ac:dyDescent="0.2">
      <c r="A143" t="s">
        <v>342</v>
      </c>
      <c r="B143" t="s">
        <v>175</v>
      </c>
      <c r="C143" t="s">
        <v>343</v>
      </c>
      <c r="D143" t="s">
        <v>5</v>
      </c>
      <c r="E143">
        <v>0</v>
      </c>
      <c r="F143">
        <v>0</v>
      </c>
      <c r="G143">
        <v>1</v>
      </c>
      <c r="H143">
        <v>0</v>
      </c>
      <c r="I143" t="s">
        <v>29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4.7</v>
      </c>
      <c r="AE143">
        <v>694</v>
      </c>
      <c r="AF143">
        <v>11.07065465127679</v>
      </c>
      <c r="AG143">
        <v>9.5886815723146714</v>
      </c>
      <c r="AH143">
        <f>4.49510564530443*1</f>
        <v>4.49510564530443</v>
      </c>
      <c r="AI143">
        <f>0.84627635810237*1</f>
        <v>0.84627635810237001</v>
      </c>
      <c r="AJ143">
        <v>1</v>
      </c>
      <c r="AK143">
        <v>0</v>
      </c>
      <c r="AL143">
        <v>0</v>
      </c>
    </row>
    <row r="144" spans="1:38" hidden="1" x14ac:dyDescent="0.2">
      <c r="A144" t="s">
        <v>344</v>
      </c>
      <c r="B144" t="s">
        <v>345</v>
      </c>
      <c r="C144" t="s">
        <v>344</v>
      </c>
      <c r="D144" t="s">
        <v>5</v>
      </c>
      <c r="E144">
        <v>0</v>
      </c>
      <c r="F144">
        <v>0</v>
      </c>
      <c r="G144">
        <v>1</v>
      </c>
      <c r="H144">
        <v>0</v>
      </c>
      <c r="I144" t="s">
        <v>29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9.6999999999999993</v>
      </c>
      <c r="AE144">
        <v>697</v>
      </c>
      <c r="AF144">
        <v>25.60664423638767</v>
      </c>
      <c r="AG144">
        <v>30.459292306358289</v>
      </c>
      <c r="AH144">
        <f>14.4453853357785*1</f>
        <v>14.4453853357785</v>
      </c>
      <c r="AI144">
        <f>3.14588110695341*1</f>
        <v>3.1458811069534098</v>
      </c>
      <c r="AJ144">
        <v>1</v>
      </c>
      <c r="AK144">
        <v>0</v>
      </c>
      <c r="AL144">
        <v>0</v>
      </c>
    </row>
    <row r="145" spans="1:38" hidden="1" x14ac:dyDescent="0.2">
      <c r="A145" t="s">
        <v>327</v>
      </c>
      <c r="B145" t="s">
        <v>346</v>
      </c>
      <c r="C145" t="s">
        <v>346</v>
      </c>
      <c r="D145" t="s">
        <v>4</v>
      </c>
      <c r="E145">
        <v>0</v>
      </c>
      <c r="F145">
        <v>1</v>
      </c>
      <c r="G145">
        <v>0</v>
      </c>
      <c r="H145">
        <v>0</v>
      </c>
      <c r="I145" t="s">
        <v>30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4.5</v>
      </c>
      <c r="AE145">
        <v>721</v>
      </c>
      <c r="AF145">
        <v>16.315219845385311</v>
      </c>
      <c r="AG145">
        <v>13.871235951886449</v>
      </c>
      <c r="AH145">
        <f>9.36139684357197*1</f>
        <v>9.3613968435719705</v>
      </c>
      <c r="AI145">
        <f>1.72637319889811*1</f>
        <v>1.7263731988981099</v>
      </c>
      <c r="AJ145">
        <v>1</v>
      </c>
      <c r="AK145">
        <v>0</v>
      </c>
      <c r="AL145">
        <v>0</v>
      </c>
    </row>
    <row r="146" spans="1:38" hidden="1" x14ac:dyDescent="0.2">
      <c r="A146" t="s">
        <v>347</v>
      </c>
      <c r="B146" t="s">
        <v>348</v>
      </c>
      <c r="C146" t="s">
        <v>349</v>
      </c>
      <c r="D146" t="s">
        <v>5</v>
      </c>
      <c r="E146">
        <v>0</v>
      </c>
      <c r="F146">
        <v>0</v>
      </c>
      <c r="G146">
        <v>1</v>
      </c>
      <c r="H146">
        <v>0</v>
      </c>
      <c r="I146" t="s">
        <v>30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5</v>
      </c>
      <c r="AE146">
        <v>722</v>
      </c>
      <c r="AF146">
        <v>0</v>
      </c>
      <c r="AG146">
        <v>0</v>
      </c>
      <c r="AH146">
        <f>0*1</f>
        <v>0</v>
      </c>
      <c r="AI146">
        <f>0*1</f>
        <v>0</v>
      </c>
      <c r="AJ146">
        <v>1</v>
      </c>
      <c r="AK146">
        <v>0</v>
      </c>
      <c r="AL146">
        <v>0</v>
      </c>
    </row>
    <row r="147" spans="1:38" hidden="1" x14ac:dyDescent="0.2">
      <c r="A147" t="s">
        <v>350</v>
      </c>
      <c r="B147" t="s">
        <v>351</v>
      </c>
      <c r="C147" t="s">
        <v>351</v>
      </c>
      <c r="D147" t="s">
        <v>5</v>
      </c>
      <c r="E147">
        <v>0</v>
      </c>
      <c r="F147">
        <v>0</v>
      </c>
      <c r="G147">
        <v>1</v>
      </c>
      <c r="H147">
        <v>0</v>
      </c>
      <c r="I147" t="s">
        <v>30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7.5</v>
      </c>
      <c r="AE147">
        <v>725</v>
      </c>
      <c r="AF147">
        <v>22.29968436472689</v>
      </c>
      <c r="AG147">
        <v>22.860879095457641</v>
      </c>
      <c r="AH147">
        <f>15.9359435743084*1</f>
        <v>15.9359435743084</v>
      </c>
      <c r="AI147">
        <f>3.32990519768817*1</f>
        <v>3.3299051976881699</v>
      </c>
      <c r="AJ147">
        <v>1</v>
      </c>
      <c r="AK147">
        <v>0</v>
      </c>
      <c r="AL147">
        <v>0</v>
      </c>
    </row>
    <row r="148" spans="1:38" hidden="1" x14ac:dyDescent="0.2">
      <c r="A148" t="s">
        <v>352</v>
      </c>
      <c r="B148" t="s">
        <v>353</v>
      </c>
      <c r="C148" t="s">
        <v>352</v>
      </c>
      <c r="D148" t="s">
        <v>4</v>
      </c>
      <c r="E148">
        <v>0</v>
      </c>
      <c r="F148">
        <v>1</v>
      </c>
      <c r="G148">
        <v>0</v>
      </c>
      <c r="H148">
        <v>0</v>
      </c>
      <c r="I148" t="s">
        <v>30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4.4000000000000004</v>
      </c>
      <c r="AE148">
        <v>729</v>
      </c>
      <c r="AF148">
        <v>11.73050670576659</v>
      </c>
      <c r="AG148">
        <v>9.501325184426376</v>
      </c>
      <c r="AH148">
        <f>9.00377395181427*1</f>
        <v>9.0037739518142708</v>
      </c>
      <c r="AI148">
        <f>2.35929237404566*1</f>
        <v>2.3592923740456602</v>
      </c>
      <c r="AJ148">
        <v>1</v>
      </c>
      <c r="AK148">
        <v>0</v>
      </c>
      <c r="AL148">
        <v>0</v>
      </c>
    </row>
    <row r="149" spans="1:38" hidden="1" x14ac:dyDescent="0.2">
      <c r="A149" t="s">
        <v>354</v>
      </c>
      <c r="B149" t="s">
        <v>355</v>
      </c>
      <c r="C149" t="s">
        <v>355</v>
      </c>
      <c r="D149" t="s">
        <v>4</v>
      </c>
      <c r="E149">
        <v>0</v>
      </c>
      <c r="F149">
        <v>1</v>
      </c>
      <c r="G149">
        <v>0</v>
      </c>
      <c r="H149">
        <v>0</v>
      </c>
      <c r="I149" t="s">
        <v>30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4.3</v>
      </c>
      <c r="AE149">
        <v>733</v>
      </c>
      <c r="AF149">
        <v>13.685897435897431</v>
      </c>
      <c r="AG149">
        <v>12.787139345598369</v>
      </c>
      <c r="AH149">
        <f>6.80952219084957*1</f>
        <v>6.8095221908495702</v>
      </c>
      <c r="AI149">
        <f>1.33654027951578*1</f>
        <v>1.3365402795157799</v>
      </c>
      <c r="AJ149">
        <v>1</v>
      </c>
      <c r="AK149">
        <v>0</v>
      </c>
      <c r="AL149">
        <v>0</v>
      </c>
    </row>
    <row r="150" spans="1:38" hidden="1" x14ac:dyDescent="0.2">
      <c r="A150" t="s">
        <v>356</v>
      </c>
      <c r="B150" t="s">
        <v>357</v>
      </c>
      <c r="C150" t="s">
        <v>357</v>
      </c>
      <c r="D150" t="s">
        <v>5</v>
      </c>
      <c r="E150">
        <v>0</v>
      </c>
      <c r="F150">
        <v>0</v>
      </c>
      <c r="G150">
        <v>1</v>
      </c>
      <c r="H150">
        <v>0</v>
      </c>
      <c r="I150" t="s">
        <v>30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6.2</v>
      </c>
      <c r="AE150">
        <v>734</v>
      </c>
      <c r="AF150">
        <v>0</v>
      </c>
      <c r="AG150">
        <v>0</v>
      </c>
      <c r="AH150">
        <f>0*1</f>
        <v>0</v>
      </c>
      <c r="AI150">
        <f>0*1</f>
        <v>0</v>
      </c>
      <c r="AJ150">
        <v>1</v>
      </c>
      <c r="AK150">
        <v>0</v>
      </c>
      <c r="AL150">
        <v>0</v>
      </c>
    </row>
    <row r="151" spans="1:38" hidden="1" x14ac:dyDescent="0.2">
      <c r="A151" t="s">
        <v>62</v>
      </c>
      <c r="B151" t="s">
        <v>358</v>
      </c>
      <c r="C151" t="s">
        <v>359</v>
      </c>
      <c r="D151" t="s">
        <v>5</v>
      </c>
      <c r="E151">
        <v>0</v>
      </c>
      <c r="F151">
        <v>0</v>
      </c>
      <c r="G151">
        <v>1</v>
      </c>
      <c r="H151">
        <v>0</v>
      </c>
      <c r="I151" t="s">
        <v>30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5.7</v>
      </c>
      <c r="AE151">
        <v>736</v>
      </c>
      <c r="AF151">
        <v>13.75592433905361</v>
      </c>
      <c r="AG151">
        <v>18.824061102058401</v>
      </c>
      <c r="AH151">
        <f>6.60860254689916*1</f>
        <v>6.60860254689916</v>
      </c>
      <c r="AI151">
        <f>1.36737964989279*1</f>
        <v>1.3673796498927899</v>
      </c>
      <c r="AJ151">
        <v>1</v>
      </c>
      <c r="AK151">
        <v>0</v>
      </c>
      <c r="AL151">
        <v>0</v>
      </c>
    </row>
    <row r="152" spans="1:38" hidden="1" x14ac:dyDescent="0.2">
      <c r="A152" t="s">
        <v>360</v>
      </c>
      <c r="B152" t="s">
        <v>361</v>
      </c>
      <c r="C152" t="s">
        <v>361</v>
      </c>
      <c r="D152" t="s">
        <v>4</v>
      </c>
      <c r="E152">
        <v>0</v>
      </c>
      <c r="F152">
        <v>1</v>
      </c>
      <c r="G152">
        <v>0</v>
      </c>
      <c r="H152">
        <v>0</v>
      </c>
      <c r="I152" t="s">
        <v>30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4.3</v>
      </c>
      <c r="AE152">
        <v>737</v>
      </c>
      <c r="AF152">
        <v>0</v>
      </c>
      <c r="AG152">
        <v>0</v>
      </c>
      <c r="AH152">
        <f>0*1</f>
        <v>0</v>
      </c>
      <c r="AI152">
        <f>0*1</f>
        <v>0</v>
      </c>
      <c r="AJ152">
        <v>1</v>
      </c>
      <c r="AK152">
        <v>0</v>
      </c>
      <c r="AL152">
        <v>0</v>
      </c>
    </row>
    <row r="153" spans="1:38" hidden="1" x14ac:dyDescent="0.2">
      <c r="A153" t="s">
        <v>362</v>
      </c>
      <c r="B153" t="s">
        <v>363</v>
      </c>
      <c r="C153" t="s">
        <v>363</v>
      </c>
      <c r="D153" t="s">
        <v>5</v>
      </c>
      <c r="E153">
        <v>0</v>
      </c>
      <c r="F153">
        <v>0</v>
      </c>
      <c r="G153">
        <v>1</v>
      </c>
      <c r="H153">
        <v>0</v>
      </c>
      <c r="I153" t="s">
        <v>30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4.8</v>
      </c>
      <c r="AE153">
        <v>739</v>
      </c>
      <c r="AF153">
        <v>18.22121065560691</v>
      </c>
      <c r="AG153">
        <v>15.99491781652789</v>
      </c>
      <c r="AH153">
        <f>8.75938711358155*1</f>
        <v>8.7593871135815498</v>
      </c>
      <c r="AI153">
        <f>1.6199773073135*1</f>
        <v>1.6199773073135</v>
      </c>
      <c r="AJ153">
        <v>1</v>
      </c>
      <c r="AK153">
        <v>0</v>
      </c>
      <c r="AL153">
        <v>0</v>
      </c>
    </row>
    <row r="154" spans="1:38" hidden="1" x14ac:dyDescent="0.2">
      <c r="A154" t="s">
        <v>364</v>
      </c>
      <c r="B154" t="s">
        <v>365</v>
      </c>
      <c r="C154" t="s">
        <v>365</v>
      </c>
      <c r="D154" t="s">
        <v>4</v>
      </c>
      <c r="E154">
        <v>0</v>
      </c>
      <c r="F154">
        <v>1</v>
      </c>
      <c r="G154">
        <v>0</v>
      </c>
      <c r="H154">
        <v>0</v>
      </c>
      <c r="I154" t="s">
        <v>31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5</v>
      </c>
      <c r="AE154">
        <v>754</v>
      </c>
      <c r="AF154">
        <v>12.61904761904762</v>
      </c>
      <c r="AG154">
        <v>9.0429253571395645</v>
      </c>
      <c r="AH154">
        <f>11.859148807604*1</f>
        <v>11.859148807604001</v>
      </c>
      <c r="AI154">
        <f>2.20352277582465*1</f>
        <v>2.2035227758246498</v>
      </c>
      <c r="AJ154">
        <v>1</v>
      </c>
      <c r="AK154">
        <v>0</v>
      </c>
      <c r="AL154">
        <v>0</v>
      </c>
    </row>
    <row r="155" spans="1:38" hidden="1" x14ac:dyDescent="0.2">
      <c r="A155" t="s">
        <v>366</v>
      </c>
      <c r="B155" t="s">
        <v>367</v>
      </c>
      <c r="C155" t="s">
        <v>367</v>
      </c>
      <c r="D155" t="s">
        <v>5</v>
      </c>
      <c r="E155">
        <v>0</v>
      </c>
      <c r="F155">
        <v>0</v>
      </c>
      <c r="G155">
        <v>1</v>
      </c>
      <c r="H155">
        <v>0</v>
      </c>
      <c r="I155" t="s">
        <v>31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4.9000000000000004</v>
      </c>
      <c r="AE155">
        <v>756</v>
      </c>
      <c r="AF155">
        <v>0</v>
      </c>
      <c r="AG155">
        <v>0</v>
      </c>
      <c r="AH155">
        <f>0*1</f>
        <v>0</v>
      </c>
      <c r="AI155">
        <f>0*1</f>
        <v>0</v>
      </c>
      <c r="AJ155">
        <v>1</v>
      </c>
      <c r="AK155">
        <v>0</v>
      </c>
      <c r="AL155">
        <v>0</v>
      </c>
    </row>
    <row r="156" spans="1:38" hidden="1" x14ac:dyDescent="0.2">
      <c r="A156" t="s">
        <v>368</v>
      </c>
      <c r="B156" t="s">
        <v>369</v>
      </c>
      <c r="C156" t="s">
        <v>370</v>
      </c>
      <c r="D156" t="s">
        <v>6</v>
      </c>
      <c r="E156">
        <v>0</v>
      </c>
      <c r="F156">
        <v>0</v>
      </c>
      <c r="G156">
        <v>0</v>
      </c>
      <c r="H156">
        <v>1</v>
      </c>
      <c r="I156" t="s">
        <v>31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6.9</v>
      </c>
      <c r="AE156">
        <v>762</v>
      </c>
      <c r="AF156">
        <v>27.713642562313851</v>
      </c>
      <c r="AG156">
        <v>19.73357907502275</v>
      </c>
      <c r="AH156">
        <f>24.4768944471248*1</f>
        <v>24.476894447124799</v>
      </c>
      <c r="AI156">
        <f>4.92508439864861*1</f>
        <v>4.9250843986486101</v>
      </c>
      <c r="AJ156">
        <v>1</v>
      </c>
      <c r="AK156">
        <v>0</v>
      </c>
      <c r="AL156">
        <v>0</v>
      </c>
    </row>
    <row r="157" spans="1:38" hidden="1" x14ac:dyDescent="0.2">
      <c r="A157" t="s">
        <v>371</v>
      </c>
      <c r="B157" t="s">
        <v>372</v>
      </c>
      <c r="C157" t="s">
        <v>372</v>
      </c>
      <c r="D157" t="s">
        <v>4</v>
      </c>
      <c r="E157">
        <v>0</v>
      </c>
      <c r="F157">
        <v>1</v>
      </c>
      <c r="G157">
        <v>0</v>
      </c>
      <c r="H157">
        <v>0</v>
      </c>
      <c r="I157" t="s">
        <v>31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4.3</v>
      </c>
      <c r="AE157">
        <v>764</v>
      </c>
      <c r="AF157">
        <v>12.1733733109238</v>
      </c>
      <c r="AG157">
        <v>19.00172179035507</v>
      </c>
      <c r="AH157">
        <f>4.45230636049672*1</f>
        <v>4.4523063604967197</v>
      </c>
      <c r="AI157">
        <f>0.682092179759657*1</f>
        <v>0.68209217975965697</v>
      </c>
      <c r="AJ157">
        <v>1</v>
      </c>
      <c r="AK157">
        <v>0</v>
      </c>
      <c r="AL157">
        <v>0</v>
      </c>
    </row>
    <row r="158" spans="1:38" hidden="1" x14ac:dyDescent="0.2">
      <c r="A158" t="s">
        <v>373</v>
      </c>
      <c r="B158" t="s">
        <v>374</v>
      </c>
      <c r="C158" t="s">
        <v>374</v>
      </c>
      <c r="D158" t="s">
        <v>5</v>
      </c>
      <c r="E158">
        <v>0</v>
      </c>
      <c r="F158">
        <v>0</v>
      </c>
      <c r="G158">
        <v>1</v>
      </c>
      <c r="H158">
        <v>0</v>
      </c>
      <c r="I158" t="s">
        <v>31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4.7</v>
      </c>
      <c r="AE158">
        <v>765</v>
      </c>
      <c r="AF158">
        <v>0</v>
      </c>
      <c r="AG158">
        <v>0</v>
      </c>
      <c r="AH158">
        <f>0*1</f>
        <v>0</v>
      </c>
      <c r="AI158">
        <f>0*1</f>
        <v>0</v>
      </c>
      <c r="AJ158">
        <v>1</v>
      </c>
      <c r="AK158">
        <v>0</v>
      </c>
      <c r="AL158">
        <v>0</v>
      </c>
    </row>
    <row r="159" spans="1:38" hidden="1" x14ac:dyDescent="0.2">
      <c r="A159" t="s">
        <v>375</v>
      </c>
      <c r="B159" t="s">
        <v>376</v>
      </c>
      <c r="C159" t="s">
        <v>377</v>
      </c>
      <c r="D159" t="s">
        <v>5</v>
      </c>
      <c r="E159">
        <v>0</v>
      </c>
      <c r="F159">
        <v>0</v>
      </c>
      <c r="G159">
        <v>1</v>
      </c>
      <c r="H159">
        <v>0</v>
      </c>
      <c r="I159" t="s">
        <v>31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5.3</v>
      </c>
      <c r="AE159">
        <v>769</v>
      </c>
      <c r="AF159">
        <v>0</v>
      </c>
      <c r="AG159">
        <v>0</v>
      </c>
      <c r="AH159">
        <f>0*1</f>
        <v>0</v>
      </c>
      <c r="AI159">
        <f>0*1</f>
        <v>0</v>
      </c>
      <c r="AJ159">
        <v>1</v>
      </c>
      <c r="AK159">
        <v>0</v>
      </c>
      <c r="AL159">
        <v>0</v>
      </c>
    </row>
    <row r="160" spans="1:38" hidden="1" x14ac:dyDescent="0.2">
      <c r="A160" t="s">
        <v>378</v>
      </c>
      <c r="B160" t="s">
        <v>379</v>
      </c>
      <c r="C160" t="s">
        <v>380</v>
      </c>
      <c r="D160" t="s">
        <v>5</v>
      </c>
      <c r="E160">
        <v>0</v>
      </c>
      <c r="F160">
        <v>0</v>
      </c>
      <c r="G160">
        <v>1</v>
      </c>
      <c r="H160">
        <v>0</v>
      </c>
      <c r="I160" t="s">
        <v>31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4.9000000000000004</v>
      </c>
      <c r="AE160">
        <v>774</v>
      </c>
      <c r="AF160">
        <v>11.76254591538356</v>
      </c>
      <c r="AG160">
        <v>11.65173171249489</v>
      </c>
      <c r="AH160">
        <f>6.97444283181833*1</f>
        <v>6.9744428318183296</v>
      </c>
      <c r="AI160">
        <f>1.24917792528069*1</f>
        <v>1.24917792528069</v>
      </c>
      <c r="AJ160">
        <v>1</v>
      </c>
      <c r="AK160">
        <v>0</v>
      </c>
      <c r="AL160">
        <v>0</v>
      </c>
    </row>
    <row r="161" spans="1:38" hidden="1" x14ac:dyDescent="0.2">
      <c r="A161" t="s">
        <v>381</v>
      </c>
      <c r="B161" t="s">
        <v>382</v>
      </c>
      <c r="C161" t="s">
        <v>383</v>
      </c>
      <c r="D161" t="s">
        <v>3</v>
      </c>
      <c r="E161">
        <v>1</v>
      </c>
      <c r="F161">
        <v>0</v>
      </c>
      <c r="G161">
        <v>0</v>
      </c>
      <c r="H161">
        <v>0</v>
      </c>
      <c r="I161" t="s">
        <v>31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4.4000000000000004</v>
      </c>
      <c r="AE161">
        <v>775</v>
      </c>
      <c r="AF161">
        <v>16.459431257877618</v>
      </c>
      <c r="AG161">
        <v>18.286022283652969</v>
      </c>
      <c r="AH161">
        <f>8.3851288562174*1</f>
        <v>8.3851288562173991</v>
      </c>
      <c r="AI161">
        <f>1.64702688471152*1</f>
        <v>1.6470268847115199</v>
      </c>
      <c r="AJ161">
        <v>1</v>
      </c>
      <c r="AK161">
        <v>0</v>
      </c>
      <c r="AL161">
        <v>0</v>
      </c>
    </row>
    <row r="162" spans="1:38" hidden="1" x14ac:dyDescent="0.2">
      <c r="A162" t="s">
        <v>384</v>
      </c>
      <c r="B162" t="s">
        <v>385</v>
      </c>
      <c r="C162" t="s">
        <v>386</v>
      </c>
      <c r="D162" t="s">
        <v>4</v>
      </c>
      <c r="E162">
        <v>0</v>
      </c>
      <c r="F162">
        <v>1</v>
      </c>
      <c r="G162">
        <v>0</v>
      </c>
      <c r="H162">
        <v>0</v>
      </c>
      <c r="I162" t="s">
        <v>31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4.5</v>
      </c>
      <c r="AE162">
        <v>780</v>
      </c>
      <c r="AF162">
        <v>13.07692307692307</v>
      </c>
      <c r="AG162">
        <v>13.01116632780513</v>
      </c>
      <c r="AH162">
        <f>7.00113878543259*1</f>
        <v>7.0011387854325902</v>
      </c>
      <c r="AI162">
        <f>1.25355112788587*1</f>
        <v>1.25355112788587</v>
      </c>
      <c r="AJ162">
        <v>1</v>
      </c>
      <c r="AK162">
        <v>0</v>
      </c>
      <c r="AL162">
        <v>0</v>
      </c>
    </row>
    <row r="163" spans="1:38" hidden="1" x14ac:dyDescent="0.2">
      <c r="A163" t="s">
        <v>387</v>
      </c>
      <c r="B163" t="s">
        <v>388</v>
      </c>
      <c r="C163" t="s">
        <v>389</v>
      </c>
      <c r="D163" t="s">
        <v>4</v>
      </c>
      <c r="E163">
        <v>0</v>
      </c>
      <c r="F163">
        <v>1</v>
      </c>
      <c r="G163">
        <v>0</v>
      </c>
      <c r="H163">
        <v>0</v>
      </c>
      <c r="I163" t="s">
        <v>31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4.3</v>
      </c>
      <c r="AE163">
        <v>784</v>
      </c>
      <c r="AF163">
        <v>0</v>
      </c>
      <c r="AG163">
        <v>0</v>
      </c>
      <c r="AH163">
        <f>0*1</f>
        <v>0</v>
      </c>
      <c r="AI163">
        <f>0*1</f>
        <v>0</v>
      </c>
      <c r="AJ163">
        <v>1</v>
      </c>
      <c r="AK163">
        <v>0</v>
      </c>
      <c r="AL163">
        <v>0</v>
      </c>
    </row>
    <row r="164" spans="1:38" hidden="1" x14ac:dyDescent="0.2">
      <c r="A164" t="s">
        <v>390</v>
      </c>
      <c r="B164" t="s">
        <v>391</v>
      </c>
      <c r="C164" t="s">
        <v>392</v>
      </c>
      <c r="D164" t="s">
        <v>4</v>
      </c>
      <c r="E164">
        <v>0</v>
      </c>
      <c r="F164">
        <v>1</v>
      </c>
      <c r="G164">
        <v>0</v>
      </c>
      <c r="H164">
        <v>0</v>
      </c>
      <c r="I164" t="s">
        <v>31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4.3</v>
      </c>
      <c r="AE164">
        <v>787</v>
      </c>
      <c r="AF164">
        <v>12.5625</v>
      </c>
      <c r="AG164">
        <v>10.33476531441911</v>
      </c>
      <c r="AH164">
        <f>9.69329557736618*1</f>
        <v>9.6932955773661806</v>
      </c>
      <c r="AI164">
        <f>1.84525388556624*1</f>
        <v>1.8452538855662399</v>
      </c>
      <c r="AJ164">
        <v>1</v>
      </c>
      <c r="AK164">
        <v>0</v>
      </c>
      <c r="AL164">
        <v>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Gabe Corridore</cp:lastModifiedBy>
  <dcterms:created xsi:type="dcterms:W3CDTF">2025-04-25T17:39:39Z</dcterms:created>
  <dcterms:modified xsi:type="dcterms:W3CDTF">2025-04-25T17:43:19Z</dcterms:modified>
</cp:coreProperties>
</file>