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6CC36505-5A19-D14F-B839-C4EAF14FE60C}" xr6:coauthVersionLast="47" xr6:coauthVersionMax="47" xr10:uidLastSave="{00000000-0000-0000-0000-000000000000}"/>
  <bookViews>
    <workbookView xWindow="160" yWindow="660" windowWidth="33360" windowHeight="36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99" i="1" l="1"/>
  <c r="AH199" i="1"/>
  <c r="AI198" i="1"/>
  <c r="AH198" i="1"/>
  <c r="AI197" i="1"/>
  <c r="AH197" i="1"/>
  <c r="AI196" i="1"/>
  <c r="AH196" i="1"/>
  <c r="AI195" i="1"/>
  <c r="AH195" i="1"/>
  <c r="AI194" i="1"/>
  <c r="AH194" i="1"/>
  <c r="AI193" i="1"/>
  <c r="AH193" i="1"/>
  <c r="AI192" i="1"/>
  <c r="AH192" i="1"/>
  <c r="AI191" i="1"/>
  <c r="AH191" i="1"/>
  <c r="AI190" i="1"/>
  <c r="AH190" i="1"/>
  <c r="AI142" i="1"/>
  <c r="AH142" i="1"/>
  <c r="AI188" i="1"/>
  <c r="AH188" i="1"/>
  <c r="AI187" i="1"/>
  <c r="AH187" i="1"/>
  <c r="AI186" i="1"/>
  <c r="AH186" i="1"/>
  <c r="AI185" i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177" i="1"/>
  <c r="AH17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82" i="1"/>
  <c r="AH82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43" i="1"/>
  <c r="AH143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83" i="1"/>
  <c r="AH83" i="1"/>
  <c r="AI29" i="1"/>
  <c r="AH29" i="1"/>
  <c r="AI189" i="1"/>
  <c r="AH189" i="1"/>
  <c r="AI141" i="1"/>
  <c r="AH141" i="1"/>
  <c r="AI140" i="1"/>
  <c r="AH140" i="1"/>
  <c r="AI139" i="1"/>
  <c r="AH139" i="1"/>
  <c r="AI138" i="1"/>
  <c r="AH138" i="1"/>
  <c r="AI151" i="1"/>
  <c r="AH151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27" i="1"/>
  <c r="AH27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158" i="1"/>
  <c r="AH158" i="1"/>
  <c r="AI144" i="1"/>
  <c r="AH144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137" i="1"/>
  <c r="AH137" i="1"/>
  <c r="AI43" i="1"/>
  <c r="AH43" i="1"/>
  <c r="AI42" i="1"/>
  <c r="AH42" i="1"/>
  <c r="AI41" i="1"/>
  <c r="AH41" i="1"/>
  <c r="AI115" i="1"/>
  <c r="AH115" i="1"/>
  <c r="AI39" i="1"/>
  <c r="AH39" i="1"/>
  <c r="AO38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8" i="1"/>
  <c r="AH28" i="1"/>
  <c r="AO28" i="1"/>
  <c r="AI44" i="1"/>
  <c r="AH44" i="1"/>
  <c r="AO27" i="1"/>
  <c r="AI40" i="1"/>
  <c r="AH40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10" i="1"/>
  <c r="AH10" i="1"/>
  <c r="AP9" i="1"/>
  <c r="AI9" i="1"/>
  <c r="AH9" i="1"/>
  <c r="AP8" i="1"/>
  <c r="AI8" i="1"/>
  <c r="AH8" i="1"/>
  <c r="AP7" i="1"/>
  <c r="AI7" i="1"/>
  <c r="AH7" i="1"/>
  <c r="AP6" i="1"/>
  <c r="AI6" i="1"/>
  <c r="AH6" i="1"/>
  <c r="AI5" i="1"/>
  <c r="AH5" i="1"/>
  <c r="AO4" i="1"/>
  <c r="AI4" i="1"/>
  <c r="AH4" i="1"/>
  <c r="AI3" i="1"/>
  <c r="AH3" i="1"/>
  <c r="AI2" i="1"/>
  <c r="AH2" i="1"/>
  <c r="AO2" i="1" s="1"/>
  <c r="AO17" i="1" l="1"/>
</calcChain>
</file>

<file path=xl/sharedStrings.xml><?xml version="1.0" encoding="utf-8"?>
<sst xmlns="http://schemas.openxmlformats.org/spreadsheetml/2006/main" count="1060" uniqueCount="464">
  <si>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</si>
  <si>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</si>
  <si>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</si>
  <si>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</si>
  <si>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</si>
  <si>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</si>
  <si>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</si>
  <si>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</si>
  <si>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</si>
  <si>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</si>
  <si>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</si>
  <si>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</si>
  <si>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</si>
  <si>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</si>
  <si>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</si>
  <si>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</si>
  <si>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</si>
  <si>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</si>
  <si>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</si>
  <si>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</si>
  <si>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</si>
  <si>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</si>
  <si>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</si>
  <si>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</si>
  <si>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</si>
  <si>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</si>
  <si>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</si>
  <si>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</si>
  <si>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</si>
  <si>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</si>
  <si>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</si>
  <si>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</si>
  <si>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</si>
  <si>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</si>
  <si>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</si>
  <si>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</si>
  <si>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</si>
  <si>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</si>
  <si>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</si>
  <si>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</si>
  <si>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</si>
  <si>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</si>
  <si>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</si>
  <si>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</si>
  <si>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</si>
  <si>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</si>
  <si>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Fernando de Jesus</t>
  </si>
  <si>
    <t>G.Jesus</t>
  </si>
  <si>
    <t>dos Santos Magalhães</t>
  </si>
  <si>
    <t>Kai</t>
  </si>
  <si>
    <t>Havertz</t>
  </si>
  <si>
    <t>Martinelli Silva</t>
  </si>
  <si>
    <t>Martinelli</t>
  </si>
  <si>
    <t>David</t>
  </si>
  <si>
    <t>Raya Martin</t>
  </si>
  <si>
    <t>Raya</t>
  </si>
  <si>
    <t>Declan</t>
  </si>
  <si>
    <t>Rice</t>
  </si>
  <si>
    <t>William</t>
  </si>
  <si>
    <t>Saliba</t>
  </si>
  <si>
    <t>Thomas</t>
  </si>
  <si>
    <t>Partey</t>
  </si>
  <si>
    <t>Leandro</t>
  </si>
  <si>
    <t>Trossard</t>
  </si>
  <si>
    <t>Leon</t>
  </si>
  <si>
    <t>Bailey</t>
  </si>
  <si>
    <t>Lucas</t>
  </si>
  <si>
    <t>Digne</t>
  </si>
  <si>
    <t>Jhon</t>
  </si>
  <si>
    <t>Durán</t>
  </si>
  <si>
    <t>Duran</t>
  </si>
  <si>
    <t>Ezri</t>
  </si>
  <si>
    <t>Konsa Ngoyo</t>
  </si>
  <si>
    <t>Konsa</t>
  </si>
  <si>
    <t>Ian</t>
  </si>
  <si>
    <t>Maatsen</t>
  </si>
  <si>
    <t>Emiliano</t>
  </si>
  <si>
    <t>Martínez Romero</t>
  </si>
  <si>
    <t>Martinez</t>
  </si>
  <si>
    <t>John</t>
  </si>
  <si>
    <t>McGinn</t>
  </si>
  <si>
    <t>Pau</t>
  </si>
  <si>
    <t>Torres</t>
  </si>
  <si>
    <t>Morgan</t>
  </si>
  <si>
    <t>Rogers</t>
  </si>
  <si>
    <t>Youri</t>
  </si>
  <si>
    <t>Tielemans</t>
  </si>
  <si>
    <t>Ollie</t>
  </si>
  <si>
    <t>Watkins</t>
  </si>
  <si>
    <t>Amadou</t>
  </si>
  <si>
    <t>Onana</t>
  </si>
  <si>
    <t>Brooks</t>
  </si>
  <si>
    <t>Ryan</t>
  </si>
  <si>
    <t>Christie</t>
  </si>
  <si>
    <t>Lewis</t>
  </si>
  <si>
    <t>Cook</t>
  </si>
  <si>
    <t>Enes</t>
  </si>
  <si>
    <t>Ünal</t>
  </si>
  <si>
    <t>Enes Ünal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</si>
  <si>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</si>
  <si>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</si>
  <si>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</si>
  <si>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</si>
  <si>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</si>
  <si>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</si>
  <si>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</si>
  <si>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</si>
  <si>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</si>
  <si>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Adam</t>
  </si>
  <si>
    <t>Smith</t>
  </si>
  <si>
    <t>Marcus</t>
  </si>
  <si>
    <t>Tavernier</t>
  </si>
  <si>
    <t>Illia</t>
  </si>
  <si>
    <t>Zabarnyi</t>
  </si>
  <si>
    <t>Kepa</t>
  </si>
  <si>
    <t>Arrizabalaga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</si>
  <si>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</si>
  <si>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</si>
  <si>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</si>
  <si>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</si>
  <si>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</si>
  <si>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</si>
  <si>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</si>
  <si>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</si>
  <si>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</si>
  <si>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</si>
  <si>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</si>
  <si>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</si>
  <si>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Christian</t>
  </si>
  <si>
    <t>Nørgaard</t>
  </si>
  <si>
    <t>Mads</t>
  </si>
  <si>
    <t>Roerslev Rasmussen</t>
  </si>
  <si>
    <t>Roerslev</t>
  </si>
  <si>
    <t>Kevin</t>
  </si>
  <si>
    <t>Schade</t>
  </si>
  <si>
    <t>Yoane</t>
  </si>
  <si>
    <t>Wissa</t>
  </si>
  <si>
    <t>Fábio</t>
  </si>
  <si>
    <t>Freitas Gouveia Carvalho</t>
  </si>
  <si>
    <t>Carvalho</t>
  </si>
  <si>
    <t>Carlos</t>
  </si>
  <si>
    <t>Baleba</t>
  </si>
  <si>
    <t>Dunk</t>
  </si>
  <si>
    <t>Pervis</t>
  </si>
  <si>
    <t>Estupiñán</t>
  </si>
  <si>
    <t>Estupiñan</t>
  </si>
  <si>
    <t>João Pedro</t>
  </si>
  <si>
    <t>Junqueira de Jesus</t>
  </si>
  <si>
    <t>Jan Paul</t>
  </si>
  <si>
    <t>van Hecke</t>
  </si>
  <si>
    <t>Van Hecke</t>
  </si>
  <si>
    <t>Joël</t>
  </si>
  <si>
    <t>Veltman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</si>
  <si>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</si>
  <si>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</si>
  <si>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</si>
  <si>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</si>
  <si>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</si>
  <si>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</si>
  <si>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</si>
  <si>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</si>
  <si>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</si>
  <si>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</si>
  <si>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</si>
  <si>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</si>
  <si>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</si>
  <si>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</si>
  <si>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</si>
  <si>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</si>
  <si>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Malo</t>
  </si>
  <si>
    <t>Gusto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</si>
  <si>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</si>
  <si>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</si>
  <si>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</si>
  <si>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</si>
  <si>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</si>
  <si>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</si>
  <si>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</si>
  <si>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</si>
  <si>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</si>
  <si>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</si>
  <si>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</si>
  <si>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Jadon</t>
  </si>
  <si>
    <t>Sancho</t>
  </si>
  <si>
    <t>Pedro</t>
  </si>
  <si>
    <t>Lomba Neto</t>
  </si>
  <si>
    <t>Neto</t>
  </si>
  <si>
    <t>Eddie</t>
  </si>
  <si>
    <t>Nketiah</t>
  </si>
  <si>
    <t>Eberechi</t>
  </si>
  <si>
    <t>Eze</t>
  </si>
  <si>
    <t>Guéhi</t>
  </si>
  <si>
    <t>Dean</t>
  </si>
  <si>
    <t>Henderson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</si>
  <si>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</si>
  <si>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</si>
  <si>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</si>
  <si>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</si>
  <si>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</si>
  <si>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</si>
  <si>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</si>
  <si>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</si>
  <si>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</si>
  <si>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</si>
  <si>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</si>
  <si>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</si>
  <si>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</si>
  <si>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</si>
  <si>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Abdoulaye</t>
  </si>
  <si>
    <t>Doucouré</t>
  </si>
  <si>
    <t>A.Doucoure</t>
  </si>
  <si>
    <t>Dominic</t>
  </si>
  <si>
    <t>Calvert-Lewin</t>
  </si>
  <si>
    <t>Idrissa</t>
  </si>
  <si>
    <t>Gueye</t>
  </si>
  <si>
    <t>Gana</t>
  </si>
  <si>
    <t>Jack</t>
  </si>
  <si>
    <t>Harrison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</si>
  <si>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</si>
  <si>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</si>
  <si>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</si>
  <si>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</si>
  <si>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</si>
  <si>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</si>
  <si>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</si>
  <si>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</si>
  <si>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Orel</t>
  </si>
  <si>
    <t>Mangala</t>
  </si>
  <si>
    <t>Emile</t>
  </si>
  <si>
    <t>Smith Rowe</t>
  </si>
  <si>
    <t>Adama</t>
  </si>
  <si>
    <t>Traoré</t>
  </si>
  <si>
    <t>Andreas</t>
  </si>
  <si>
    <t>Hoelgebaum Pereira</t>
  </si>
  <si>
    <t>Calvin</t>
  </si>
  <si>
    <t>Bassey</t>
  </si>
  <si>
    <t>Tom</t>
  </si>
  <si>
    <t>Cairney</t>
  </si>
  <si>
    <t>Issa</t>
  </si>
  <si>
    <t>Diop</t>
  </si>
  <si>
    <t>Alex</t>
  </si>
  <si>
    <t>Iwobi</t>
  </si>
  <si>
    <t>Bernd</t>
  </si>
  <si>
    <t>Leno</t>
  </si>
  <si>
    <t>Saša</t>
  </si>
  <si>
    <t>Lukić</t>
  </si>
  <si>
    <t>Rodrigo</t>
  </si>
  <si>
    <t>Muniz Carvalho</t>
  </si>
  <si>
    <t>Muniz</t>
  </si>
  <si>
    <t>Raúl</t>
  </si>
  <si>
    <t>Jiménez</t>
  </si>
  <si>
    <t>Antonee</t>
  </si>
  <si>
    <t>Robinson</t>
  </si>
  <si>
    <t>Harry</t>
  </si>
  <si>
    <t>Wilson</t>
  </si>
  <si>
    <t>Sander</t>
  </si>
  <si>
    <t>Berge</t>
  </si>
  <si>
    <t>Arijanet</t>
  </si>
  <si>
    <t>Muric</t>
  </si>
  <si>
    <t>Dara</t>
  </si>
  <si>
    <t>O'Shea</t>
  </si>
  <si>
    <t>Facundo</t>
  </si>
  <si>
    <t>Buonanotte</t>
  </si>
  <si>
    <t>Ayew</t>
  </si>
  <si>
    <t>J.Ayew</t>
  </si>
  <si>
    <t>Boubakary</t>
  </si>
  <si>
    <t>Soumaré</t>
  </si>
  <si>
    <t>B.Soumaré</t>
  </si>
  <si>
    <t>Victor</t>
  </si>
  <si>
    <t>Kristiansen</t>
  </si>
  <si>
    <t>Jamie</t>
  </si>
  <si>
    <t>Vardy</t>
  </si>
  <si>
    <t>Winks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</si>
  <si>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</si>
  <si>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</si>
  <si>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</si>
  <si>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</si>
  <si>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</si>
  <si>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</si>
  <si>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</si>
  <si>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</si>
  <si>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</si>
  <si>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Ibrahima</t>
  </si>
  <si>
    <t>Konaté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</si>
  <si>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</si>
  <si>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</si>
  <si>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</si>
  <si>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</si>
  <si>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</si>
  <si>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</si>
  <si>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</si>
  <si>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</si>
  <si>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</si>
  <si>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</si>
  <si>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</si>
  <si>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</si>
  <si>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</si>
  <si>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</si>
  <si>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Manuel</t>
  </si>
  <si>
    <t>Akanji</t>
  </si>
  <si>
    <t>Bernardo</t>
  </si>
  <si>
    <t>Veiga de Carvalho e Silva</t>
  </si>
  <si>
    <t>De Bruyne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</si>
  <si>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</si>
  <si>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</si>
  <si>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</si>
  <si>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</si>
  <si>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</si>
  <si>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</si>
  <si>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</si>
  <si>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</si>
  <si>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Rico</t>
  </si>
  <si>
    <t>Ilkay</t>
  </si>
  <si>
    <t>Gündogan</t>
  </si>
  <si>
    <t>Amad</t>
  </si>
  <si>
    <t>Diallo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</si>
  <si>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</si>
  <si>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</si>
  <si>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</si>
  <si>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</si>
  <si>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</si>
  <si>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</si>
  <si>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</si>
  <si>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</si>
  <si>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Rasmus</t>
  </si>
  <si>
    <t>Højlund</t>
  </si>
  <si>
    <t>Maguire</t>
  </si>
  <si>
    <t>Kobbie</t>
  </si>
  <si>
    <t>Mainoo</t>
  </si>
  <si>
    <t>Lisandro</t>
  </si>
  <si>
    <t>Martínez</t>
  </si>
  <si>
    <t>André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</si>
  <si>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</si>
  <si>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</si>
  <si>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</si>
  <si>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</si>
  <si>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</si>
  <si>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</si>
  <si>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</si>
  <si>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</si>
  <si>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</si>
  <si>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</si>
  <si>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</si>
  <si>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Jacob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</si>
  <si>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</si>
  <si>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</si>
  <si>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</si>
  <si>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</si>
  <si>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</si>
  <si>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</si>
  <si>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</si>
  <si>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Sean</t>
  </si>
  <si>
    <t>Longstaff</t>
  </si>
  <si>
    <t>Fabian</t>
  </si>
  <si>
    <t>Schär</t>
  </si>
  <si>
    <t>Sandro</t>
  </si>
  <si>
    <t>Tonali</t>
  </si>
  <si>
    <t>Joe</t>
  </si>
  <si>
    <t>Willock</t>
  </si>
  <si>
    <t>Ola</t>
  </si>
  <si>
    <t>Aina</t>
  </si>
  <si>
    <t>Elliot</t>
  </si>
  <si>
    <t>Anderson</t>
  </si>
  <si>
    <t>Taiwo</t>
  </si>
  <si>
    <t>Awoniyi</t>
  </si>
  <si>
    <t>Nicolás</t>
  </si>
  <si>
    <t>Domínguez</t>
  </si>
  <si>
    <t>Dominguez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</si>
  <si>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</si>
  <si>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</si>
  <si>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</si>
  <si>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</si>
  <si>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</si>
  <si>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</si>
  <si>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</si>
  <si>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</si>
  <si>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</si>
  <si>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</si>
  <si>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</si>
  <si>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</si>
  <si>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</si>
  <si>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Yates</t>
  </si>
  <si>
    <t>Cameron</t>
  </si>
  <si>
    <t>Archer</t>
  </si>
  <si>
    <t>Armstrong</t>
  </si>
  <si>
    <t>Jan</t>
  </si>
  <si>
    <t>Bednarek</t>
  </si>
  <si>
    <t>Kyle</t>
  </si>
  <si>
    <t>Walker-Peters</t>
  </si>
  <si>
    <t>Flynn</t>
  </si>
  <si>
    <t>Downes</t>
  </si>
  <si>
    <t>Yves</t>
  </si>
  <si>
    <t>Bissouma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</si>
  <si>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</si>
  <si>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</si>
  <si>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</si>
  <si>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</si>
  <si>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</si>
  <si>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</si>
  <si>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</si>
  <si>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</si>
  <si>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</si>
  <si>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</si>
  <si>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</si>
  <si>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Destiny</t>
  </si>
  <si>
    <t>Udogie</t>
  </si>
  <si>
    <t>Timo</t>
  </si>
  <si>
    <t>Werner</t>
  </si>
  <si>
    <t>Aaron</t>
  </si>
  <si>
    <t>Wan-Bissaka</t>
  </si>
  <si>
    <t>Edson</t>
  </si>
  <si>
    <t>Álvarez Velázquez</t>
  </si>
  <si>
    <t>Álvarez</t>
  </si>
  <si>
    <t>Jarrod</t>
  </si>
  <si>
    <t>Bowen</t>
  </si>
  <si>
    <t>Emerson</t>
  </si>
  <si>
    <t>Palmieri dos Santos</t>
  </si>
  <si>
    <t>Max</t>
  </si>
  <si>
    <t>Kilman</t>
  </si>
  <si>
    <t>Mohammed</t>
  </si>
  <si>
    <t>Kudus</t>
  </si>
  <si>
    <t>Tolentino Coelho de Lima</t>
  </si>
  <si>
    <t>L.Paquetá</t>
  </si>
  <si>
    <t>Konstantinos</t>
  </si>
  <si>
    <t>Mavropanos</t>
  </si>
  <si>
    <t>Tomáš</t>
  </si>
  <si>
    <t>Souček</t>
  </si>
  <si>
    <t>Crysencio</t>
  </si>
  <si>
    <t>Summerville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</si>
  <si>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</si>
  <si>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</si>
  <si>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</si>
  <si>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</si>
  <si>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</si>
  <si>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</si>
  <si>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</si>
  <si>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Matt</t>
  </si>
  <si>
    <t>Doherty</t>
  </si>
  <si>
    <t>Tommy</t>
  </si>
  <si>
    <t>Doyle</t>
  </si>
  <si>
    <t>Gonçalo Manuel</t>
  </si>
  <si>
    <t>Ganchinho Guedes</t>
  </si>
  <si>
    <t>Guedes</t>
  </si>
  <si>
    <t>Hwang</t>
  </si>
  <si>
    <t>Hee-chan</t>
  </si>
  <si>
    <t>Hee Chan</t>
  </si>
  <si>
    <t>João Victor</t>
  </si>
  <si>
    <t>Gomes da Silva</t>
  </si>
  <si>
    <t>J.Gomes</t>
  </si>
  <si>
    <t>José</t>
  </si>
  <si>
    <t>Malheiro de Sá</t>
  </si>
  <si>
    <t>José Sá</t>
  </si>
  <si>
    <t>Mario</t>
  </si>
  <si>
    <t>Lemina</t>
  </si>
  <si>
    <t>Mario Jr.</t>
  </si>
  <si>
    <t>Nélson</t>
  </si>
  <si>
    <t>Cabral Semedo</t>
  </si>
  <si>
    <t>N.Semedo</t>
  </si>
  <si>
    <t>Santiago</t>
  </si>
  <si>
    <t>Bueno</t>
  </si>
  <si>
    <t>S.Bueno</t>
  </si>
  <si>
    <t>Toti António</t>
  </si>
  <si>
    <t>Gomes</t>
  </si>
  <si>
    <t>Toti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</si>
</sst>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99" totalsRowShown="0">
  <autoFilter ref="A1:AL199" xr:uid="{00000000-0009-0000-0100-000001000000}">
    <filterColumn colId="37">
      <filters>
        <filter val="1"/>
      </filters>
    </filterColumn>
  </autoFilter>
  <sortState xmlns:xlrd2="http://schemas.microsoft.com/office/spreadsheetml/2017/richdata2" ref="A27:AL189">
    <sortCondition descending="1" ref="AI1:AI199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99"/>
  <sheetViews>
    <sheetView tabSelected="1" workbookViewId="0">
      <selection activeCell="C28" sqref="C28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hidden="1" x14ac:dyDescent="0.2">
      <c r="A2" t="s">
        <v>45</v>
      </c>
      <c r="B2" t="s">
        <v>46</v>
      </c>
      <c r="C2" t="s">
        <v>47</v>
      </c>
      <c r="D2" t="s">
        <v>6</v>
      </c>
      <c r="E2">
        <v>0</v>
      </c>
      <c r="F2">
        <v>0</v>
      </c>
      <c r="G2">
        <v>0</v>
      </c>
      <c r="H2">
        <v>1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6.6</v>
      </c>
      <c r="AE2">
        <v>1</v>
      </c>
      <c r="AF2">
        <v>53.398907103825152</v>
      </c>
      <c r="AG2">
        <v>54.257708007652347</v>
      </c>
      <c r="AH2">
        <f>21.2280790768837*1</f>
        <v>21.228079076883699</v>
      </c>
      <c r="AI2">
        <f>1.50551340790155*1</f>
        <v>1.50551340790155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1098.0582230480352</v>
      </c>
      <c r="AP2" t="s">
        <v>1</v>
      </c>
    </row>
    <row r="3" spans="1:43" hidden="1" x14ac:dyDescent="0.2">
      <c r="A3" t="s">
        <v>45</v>
      </c>
      <c r="B3" t="s">
        <v>48</v>
      </c>
      <c r="C3" t="s">
        <v>45</v>
      </c>
      <c r="D3" t="s">
        <v>4</v>
      </c>
      <c r="E3">
        <v>0</v>
      </c>
      <c r="F3">
        <v>1</v>
      </c>
      <c r="G3">
        <v>0</v>
      </c>
      <c r="H3">
        <v>0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6.3</v>
      </c>
      <c r="AE3">
        <v>2</v>
      </c>
      <c r="AF3">
        <v>55.485114926823243</v>
      </c>
      <c r="AG3">
        <v>54.367308150436493</v>
      </c>
      <c r="AH3">
        <f>39.6181217953413*1</f>
        <v>39.618121795341303</v>
      </c>
      <c r="AI3">
        <f>2.27479809283583*1</f>
        <v>2.2747980928358298</v>
      </c>
      <c r="AJ3">
        <v>1</v>
      </c>
      <c r="AK3">
        <v>0</v>
      </c>
      <c r="AL3">
        <v>0</v>
      </c>
    </row>
    <row r="4" spans="1:43" hidden="1" x14ac:dyDescent="0.2">
      <c r="A4" t="s">
        <v>49</v>
      </c>
      <c r="B4" t="s">
        <v>50</v>
      </c>
      <c r="C4" t="s">
        <v>50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7.8</v>
      </c>
      <c r="AE4">
        <v>3</v>
      </c>
      <c r="AF4">
        <v>72.081565234788755</v>
      </c>
      <c r="AG4">
        <v>47.440800362030231</v>
      </c>
      <c r="AH4">
        <f>55.2862881389793*1</f>
        <v>55.286288138979302</v>
      </c>
      <c r="AI4">
        <f>4.00632159298294*1</f>
        <v>4.0063215929829399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95.399999999999991</v>
      </c>
      <c r="AP4">
        <v>102.1</v>
      </c>
    </row>
    <row r="5" spans="1:43" hidden="1" x14ac:dyDescent="0.2">
      <c r="A5" t="s">
        <v>45</v>
      </c>
      <c r="B5" t="s">
        <v>51</v>
      </c>
      <c r="C5" t="s">
        <v>52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6.7</v>
      </c>
      <c r="AE5">
        <v>8</v>
      </c>
      <c r="AF5">
        <v>60.822222222222202</v>
      </c>
      <c r="AG5">
        <v>67.009063770487188</v>
      </c>
      <c r="AH5">
        <f>28.8894396106662*1</f>
        <v>28.889439610666201</v>
      </c>
      <c r="AI5">
        <f>1.84109440883676*1</f>
        <v>1.84109440883676</v>
      </c>
      <c r="AJ5">
        <v>1</v>
      </c>
      <c r="AK5">
        <v>0</v>
      </c>
      <c r="AL5">
        <v>0</v>
      </c>
    </row>
    <row r="6" spans="1:43" hidden="1" x14ac:dyDescent="0.2">
      <c r="A6" t="s">
        <v>53</v>
      </c>
      <c r="B6" t="s">
        <v>54</v>
      </c>
      <c r="C6" t="s">
        <v>55</v>
      </c>
      <c r="D6" t="s">
        <v>3</v>
      </c>
      <c r="E6">
        <v>1</v>
      </c>
      <c r="F6">
        <v>0</v>
      </c>
      <c r="G6">
        <v>0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5.5</v>
      </c>
      <c r="AE6">
        <v>11</v>
      </c>
      <c r="AF6">
        <v>57.3111718719382</v>
      </c>
      <c r="AG6">
        <v>58.893769957340957</v>
      </c>
      <c r="AH6">
        <f>35.4848618368197*1</f>
        <v>35.484861836819697</v>
      </c>
      <c r="AI6">
        <f>2.54247963509578*1</f>
        <v>2.5424796350957801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hidden="1" x14ac:dyDescent="0.2">
      <c r="A7" t="s">
        <v>56</v>
      </c>
      <c r="B7" t="s">
        <v>57</v>
      </c>
      <c r="C7" t="s">
        <v>57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6.2</v>
      </c>
      <c r="AE7">
        <v>12</v>
      </c>
      <c r="AF7">
        <v>50.978806378287949</v>
      </c>
      <c r="AG7">
        <v>40.988868814397193</v>
      </c>
      <c r="AH7">
        <f>27.6310264220556*1</f>
        <v>27.631026422055601</v>
      </c>
      <c r="AI7">
        <f>1.94862342135234*1</f>
        <v>1.9486234213523399</v>
      </c>
      <c r="AJ7">
        <v>1</v>
      </c>
      <c r="AK7">
        <v>0</v>
      </c>
      <c r="AL7">
        <v>0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59</v>
      </c>
      <c r="D8" t="s">
        <v>4</v>
      </c>
      <c r="E8">
        <v>0</v>
      </c>
      <c r="F8">
        <v>1</v>
      </c>
      <c r="G8">
        <v>0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6.2</v>
      </c>
      <c r="AE8">
        <v>14</v>
      </c>
      <c r="AF8">
        <v>58.666666666666657</v>
      </c>
      <c r="AG8">
        <v>52.074615983756168</v>
      </c>
      <c r="AH8">
        <f>39.4152253889393*1</f>
        <v>39.415225388939298</v>
      </c>
      <c r="AI8">
        <f>2.76277451209022*1</f>
        <v>2.7627745120902198</v>
      </c>
      <c r="AJ8">
        <v>1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60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4.9000000000000004</v>
      </c>
      <c r="AE9">
        <v>15</v>
      </c>
      <c r="AF9">
        <v>34.938053097345161</v>
      </c>
      <c r="AG9">
        <v>26.94471415272135</v>
      </c>
      <c r="AH9">
        <f>27.1812065816923*1</f>
        <v>27.181206581692301</v>
      </c>
      <c r="AI9">
        <f>1.94350418562131*1</f>
        <v>1.94350418562131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6.8</v>
      </c>
      <c r="AE10">
        <v>18</v>
      </c>
      <c r="AF10">
        <v>54.148148148148223</v>
      </c>
      <c r="AG10">
        <v>51.909762278188623</v>
      </c>
      <c r="AH10">
        <f>28.3962723936103*1</f>
        <v>28.3962723936103</v>
      </c>
      <c r="AI10">
        <f>2.00014808768865*1</f>
        <v>2.0001480876886499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64</v>
      </c>
      <c r="B11" t="s">
        <v>65</v>
      </c>
      <c r="C11" t="s">
        <v>65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6.2</v>
      </c>
      <c r="AE11">
        <v>34</v>
      </c>
      <c r="AF11">
        <v>43.733333333333313</v>
      </c>
      <c r="AG11">
        <v>49.260590657184842</v>
      </c>
      <c r="AH11">
        <f>20.7696715080164*1</f>
        <v>20.769671508016401</v>
      </c>
      <c r="AI11">
        <f>2.93644061215515*1</f>
        <v>2.9364406121551498</v>
      </c>
      <c r="AJ11">
        <v>1</v>
      </c>
      <c r="AK11">
        <v>0</v>
      </c>
      <c r="AL11">
        <v>0</v>
      </c>
    </row>
    <row r="12" spans="1:43" hidden="1" x14ac:dyDescent="0.2">
      <c r="A12" t="s">
        <v>66</v>
      </c>
      <c r="B12" t="s">
        <v>67</v>
      </c>
      <c r="C12" t="s">
        <v>67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4.5999999999999996</v>
      </c>
      <c r="AE12">
        <v>42</v>
      </c>
      <c r="AF12">
        <v>34.892035700416322</v>
      </c>
      <c r="AG12">
        <v>45.786482450444232</v>
      </c>
      <c r="AH12">
        <f>21.4526872572039*1</f>
        <v>21.452687257203898</v>
      </c>
      <c r="AI12">
        <f>3.06369493326301*1</f>
        <v>3.0636949332630099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68</v>
      </c>
      <c r="B13" t="s">
        <v>69</v>
      </c>
      <c r="C13" t="s">
        <v>70</v>
      </c>
      <c r="D13" t="s">
        <v>6</v>
      </c>
      <c r="E13">
        <v>0</v>
      </c>
      <c r="F13">
        <v>0</v>
      </c>
      <c r="G13">
        <v>0</v>
      </c>
      <c r="H13">
        <v>1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5.7</v>
      </c>
      <c r="AE13">
        <v>44</v>
      </c>
      <c r="AF13">
        <v>29.01818181818183</v>
      </c>
      <c r="AG13">
        <v>27.043453469176221</v>
      </c>
      <c r="AH13">
        <f>39.0476081972817*1</f>
        <v>39.047608197281697</v>
      </c>
      <c r="AI13">
        <f>5.56164720621178*1</f>
        <v>5.5616472062117799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71</v>
      </c>
      <c r="B14" t="s">
        <v>72</v>
      </c>
      <c r="C14" t="s">
        <v>73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4.4000000000000004</v>
      </c>
      <c r="AE14">
        <v>50</v>
      </c>
      <c r="AF14">
        <v>38.324022346368771</v>
      </c>
      <c r="AG14">
        <v>40.383924228247182</v>
      </c>
      <c r="AH14">
        <f>19.8808774667154*1</f>
        <v>19.8808774667154</v>
      </c>
      <c r="AI14">
        <f>2.82232442762983*1</f>
        <v>2.8223244276298298</v>
      </c>
      <c r="AJ14">
        <v>1</v>
      </c>
      <c r="AK14">
        <v>0</v>
      </c>
      <c r="AL14">
        <v>0</v>
      </c>
    </row>
    <row r="15" spans="1:43" hidden="1" x14ac:dyDescent="0.2">
      <c r="A15" t="s">
        <v>74</v>
      </c>
      <c r="B15" t="s">
        <v>75</v>
      </c>
      <c r="C15" t="s">
        <v>75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</v>
      </c>
      <c r="AE15">
        <v>51</v>
      </c>
      <c r="AF15">
        <v>0</v>
      </c>
      <c r="AG15">
        <v>0</v>
      </c>
      <c r="AH15">
        <f>0*1</f>
        <v>0</v>
      </c>
      <c r="AI15">
        <f>0*1</f>
        <v>0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76</v>
      </c>
      <c r="B16" t="s">
        <v>77</v>
      </c>
      <c r="C16" t="s">
        <v>78</v>
      </c>
      <c r="D16" t="s">
        <v>3</v>
      </c>
      <c r="E16">
        <v>1</v>
      </c>
      <c r="F16">
        <v>0</v>
      </c>
      <c r="G16">
        <v>0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</v>
      </c>
      <c r="AE16">
        <v>53</v>
      </c>
      <c r="AF16">
        <v>45.76344086021502</v>
      </c>
      <c r="AG16">
        <v>50.377248357851848</v>
      </c>
      <c r="AH16">
        <f>23.7156658270567*1</f>
        <v>23.7156658270567</v>
      </c>
      <c r="AI16">
        <f>3.33024556155546*1</f>
        <v>3.33024556155546</v>
      </c>
      <c r="AJ16">
        <v>1</v>
      </c>
      <c r="AK16">
        <v>0</v>
      </c>
      <c r="AL16">
        <v>0</v>
      </c>
    </row>
    <row r="17" spans="1:42" hidden="1" x14ac:dyDescent="0.2">
      <c r="A17" t="s">
        <v>79</v>
      </c>
      <c r="B17" t="s">
        <v>80</v>
      </c>
      <c r="C17" t="s">
        <v>80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5.2</v>
      </c>
      <c r="AE17">
        <v>54</v>
      </c>
      <c r="AF17">
        <v>41.153846153846096</v>
      </c>
      <c r="AG17">
        <v>41.754343397170899</v>
      </c>
      <c r="AH17">
        <f>20.003966496698*1</f>
        <v>20.003966496697998</v>
      </c>
      <c r="AI17">
        <f>2.84174265683236*1</f>
        <v>2.84174265683236</v>
      </c>
      <c r="AJ17">
        <v>1</v>
      </c>
      <c r="AK17">
        <v>0</v>
      </c>
      <c r="AL17">
        <v>0</v>
      </c>
      <c r="AN17" t="s">
        <v>11</v>
      </c>
      <c r="AO17">
        <f>AO2-AO15*14</f>
        <v>1098.0582230480352</v>
      </c>
    </row>
    <row r="18" spans="1:42" hidden="1" x14ac:dyDescent="0.2">
      <c r="A18" t="s">
        <v>81</v>
      </c>
      <c r="B18" t="s">
        <v>82</v>
      </c>
      <c r="C18" t="s">
        <v>81</v>
      </c>
      <c r="D18" t="s">
        <v>4</v>
      </c>
      <c r="E18">
        <v>0</v>
      </c>
      <c r="F18">
        <v>1</v>
      </c>
      <c r="G18">
        <v>0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4.2</v>
      </c>
      <c r="AE18">
        <v>58</v>
      </c>
      <c r="AF18">
        <v>0</v>
      </c>
      <c r="AG18">
        <v>0</v>
      </c>
      <c r="AH18">
        <f>0*1</f>
        <v>0</v>
      </c>
      <c r="AI18">
        <f>0*1</f>
        <v>0</v>
      </c>
      <c r="AJ18">
        <v>1</v>
      </c>
      <c r="AK18">
        <v>0</v>
      </c>
      <c r="AL18">
        <v>0</v>
      </c>
    </row>
    <row r="19" spans="1:42" hidden="1" x14ac:dyDescent="0.2">
      <c r="A19" t="s">
        <v>83</v>
      </c>
      <c r="B19" t="s">
        <v>84</v>
      </c>
      <c r="C19" t="s">
        <v>84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5.6</v>
      </c>
      <c r="AE19">
        <v>60</v>
      </c>
      <c r="AF19">
        <v>0</v>
      </c>
      <c r="AG19">
        <v>0</v>
      </c>
      <c r="AH19">
        <f>0*1</f>
        <v>0</v>
      </c>
      <c r="AI19">
        <f>0*1</f>
        <v>0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0</v>
      </c>
      <c r="AP19">
        <v>3</v>
      </c>
    </row>
    <row r="20" spans="1:42" hidden="1" x14ac:dyDescent="0.2">
      <c r="A20" t="s">
        <v>85</v>
      </c>
      <c r="B20" t="s">
        <v>86</v>
      </c>
      <c r="C20" t="s">
        <v>86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5.5</v>
      </c>
      <c r="AE20">
        <v>63</v>
      </c>
      <c r="AF20">
        <v>38.08890215047056</v>
      </c>
      <c r="AG20">
        <v>48.650048176936238</v>
      </c>
      <c r="AH20">
        <f>20.978972013453*1</f>
        <v>20.978972013452999</v>
      </c>
      <c r="AI20">
        <f>2.95650079692706*1</f>
        <v>2.95650079692706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87</v>
      </c>
      <c r="B21" t="s">
        <v>88</v>
      </c>
      <c r="C21" t="s">
        <v>88</v>
      </c>
      <c r="D21" t="s">
        <v>6</v>
      </c>
      <c r="E21">
        <v>0</v>
      </c>
      <c r="F21">
        <v>0</v>
      </c>
      <c r="G21">
        <v>0</v>
      </c>
      <c r="H21">
        <v>1</v>
      </c>
      <c r="I21" t="s">
        <v>13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8.9</v>
      </c>
      <c r="AE21">
        <v>64</v>
      </c>
      <c r="AF21">
        <v>67.012195121951237</v>
      </c>
      <c r="AG21">
        <v>74.005752193189977</v>
      </c>
      <c r="AH21">
        <f>46.6316868449225*1</f>
        <v>46.631686844922498</v>
      </c>
      <c r="AI21">
        <f>6.68172588952698*1</f>
        <v>6.6817258895269802</v>
      </c>
      <c r="AJ21">
        <v>1</v>
      </c>
      <c r="AK21">
        <v>0</v>
      </c>
      <c r="AL21">
        <v>0</v>
      </c>
      <c r="AN21" t="s">
        <v>14</v>
      </c>
      <c r="AO21">
        <f>SUMPRODUCT(Table1[Selected],Table1[BOU])</f>
        <v>3</v>
      </c>
      <c r="AP21">
        <v>3</v>
      </c>
    </row>
    <row r="22" spans="1:42" hidden="1" x14ac:dyDescent="0.2">
      <c r="A22" t="s">
        <v>89</v>
      </c>
      <c r="B22" t="s">
        <v>90</v>
      </c>
      <c r="C22" t="s">
        <v>90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4.8</v>
      </c>
      <c r="AE22">
        <v>66</v>
      </c>
      <c r="AF22">
        <v>32.665689067602479</v>
      </c>
      <c r="AG22">
        <v>34.847341297581949</v>
      </c>
      <c r="AH22">
        <f>18.810405161066*1</f>
        <v>18.810405161066001</v>
      </c>
      <c r="AI22">
        <f>2.76826134093569*1</f>
        <v>2.7682613409356902</v>
      </c>
      <c r="AJ22">
        <v>1</v>
      </c>
      <c r="AK22">
        <v>0</v>
      </c>
      <c r="AL22">
        <v>0</v>
      </c>
      <c r="AN22" t="s">
        <v>15</v>
      </c>
      <c r="AO22">
        <f>SUMPRODUCT(Table1[Selected],Table1[BRE])</f>
        <v>2</v>
      </c>
      <c r="AP22">
        <v>3</v>
      </c>
    </row>
    <row r="23" spans="1:42" hidden="1" x14ac:dyDescent="0.2">
      <c r="A23" t="s">
        <v>53</v>
      </c>
      <c r="B23" t="s">
        <v>91</v>
      </c>
      <c r="C23" t="s">
        <v>91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14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4.9000000000000004</v>
      </c>
      <c r="AE23">
        <v>81</v>
      </c>
      <c r="AF23">
        <v>32.227037625088407</v>
      </c>
      <c r="AG23">
        <v>43.543558054664807</v>
      </c>
      <c r="AH23">
        <f>12.4961266414593*1</f>
        <v>12.4961266414593</v>
      </c>
      <c r="AI23">
        <f>0.659679223095652*1</f>
        <v>0.65967922309565197</v>
      </c>
      <c r="AJ23">
        <v>1</v>
      </c>
      <c r="AK23">
        <v>0</v>
      </c>
      <c r="AL23">
        <v>0</v>
      </c>
      <c r="AN23" t="s">
        <v>16</v>
      </c>
      <c r="AO23">
        <f>SUMPRODUCT(Table1[Selected],Table1[BHA])</f>
        <v>0</v>
      </c>
      <c r="AP23">
        <v>3</v>
      </c>
    </row>
    <row r="24" spans="1:42" hidden="1" x14ac:dyDescent="0.2">
      <c r="A24" t="s">
        <v>92</v>
      </c>
      <c r="B24" t="s">
        <v>93</v>
      </c>
      <c r="C24" t="s">
        <v>93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14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4.9000000000000004</v>
      </c>
      <c r="AE24">
        <v>82</v>
      </c>
      <c r="AF24">
        <v>30.9887640449438</v>
      </c>
      <c r="AG24">
        <v>23.986381511868121</v>
      </c>
      <c r="AH24">
        <f>23.7889666709308*1</f>
        <v>23.788966670930801</v>
      </c>
      <c r="AI24">
        <f>1.68417417051723*1</f>
        <v>1.68417417051723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0</v>
      </c>
      <c r="AP24">
        <v>3</v>
      </c>
    </row>
    <row r="25" spans="1:42" hidden="1" x14ac:dyDescent="0.2">
      <c r="A25" t="s">
        <v>94</v>
      </c>
      <c r="B25" t="s">
        <v>95</v>
      </c>
      <c r="C25" t="s">
        <v>95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14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83</v>
      </c>
      <c r="AF25">
        <v>32.106455308512821</v>
      </c>
      <c r="AG25">
        <v>0</v>
      </c>
      <c r="AH25">
        <f>27.7594373768854*1</f>
        <v>27.759437376885401</v>
      </c>
      <c r="AI25">
        <f>1.95211689175167*1</f>
        <v>1.95211689175167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0</v>
      </c>
      <c r="AP25">
        <v>3</v>
      </c>
    </row>
    <row r="26" spans="1:42" hidden="1" x14ac:dyDescent="0.2">
      <c r="A26" t="s">
        <v>96</v>
      </c>
      <c r="B26" t="s">
        <v>97</v>
      </c>
      <c r="C26" t="s">
        <v>98</v>
      </c>
      <c r="D26" t="s">
        <v>6</v>
      </c>
      <c r="E26">
        <v>0</v>
      </c>
      <c r="F26">
        <v>0</v>
      </c>
      <c r="G26">
        <v>0</v>
      </c>
      <c r="H26">
        <v>1</v>
      </c>
      <c r="I26" t="s">
        <v>14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5.4</v>
      </c>
      <c r="AE26">
        <v>84</v>
      </c>
      <c r="AF26">
        <v>0</v>
      </c>
      <c r="AG26">
        <v>0</v>
      </c>
      <c r="AH26">
        <f>0*1</f>
        <v>0</v>
      </c>
      <c r="AI26">
        <f>0*1</f>
        <v>0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2</v>
      </c>
      <c r="AP26">
        <v>3</v>
      </c>
    </row>
    <row r="27" spans="1:42" x14ac:dyDescent="0.2">
      <c r="A27" t="s">
        <v>287</v>
      </c>
      <c r="B27" t="s">
        <v>288</v>
      </c>
      <c r="C27" t="s">
        <v>289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23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13.7</v>
      </c>
      <c r="AE27">
        <v>444</v>
      </c>
      <c r="AF27">
        <v>100.4159292035398</v>
      </c>
      <c r="AG27">
        <v>104.8689740740603</v>
      </c>
      <c r="AH27">
        <f>92.1852904299641*1</f>
        <v>92.185290429964098</v>
      </c>
      <c r="AI27">
        <f>13.1988166778654*1</f>
        <v>13.1988166778654</v>
      </c>
      <c r="AJ27">
        <v>1</v>
      </c>
      <c r="AK27">
        <v>1</v>
      </c>
      <c r="AL27">
        <v>1</v>
      </c>
      <c r="AN27" t="s">
        <v>20</v>
      </c>
      <c r="AO27">
        <f>SUMPRODUCT(Table1[Selected],Table1[FUL])</f>
        <v>0</v>
      </c>
      <c r="AP27">
        <v>3</v>
      </c>
    </row>
    <row r="28" spans="1:42" x14ac:dyDescent="0.2">
      <c r="A28" t="s">
        <v>103</v>
      </c>
      <c r="B28" t="s">
        <v>104</v>
      </c>
      <c r="C28" t="s">
        <v>105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14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5.0999999999999996</v>
      </c>
      <c r="AE28">
        <v>92</v>
      </c>
      <c r="AF28">
        <v>117.32605828841319</v>
      </c>
      <c r="AG28">
        <v>22.84083949606805</v>
      </c>
      <c r="AH28">
        <f>137.791909474179*1</f>
        <v>137.79190947417899</v>
      </c>
      <c r="AI28">
        <f>13.0014506478428*1</f>
        <v>13.0014506478428</v>
      </c>
      <c r="AJ28">
        <v>1</v>
      </c>
      <c r="AK28">
        <v>0</v>
      </c>
      <c r="AL28">
        <v>1</v>
      </c>
      <c r="AN28" t="s">
        <v>21</v>
      </c>
      <c r="AO28">
        <f>SUMPRODUCT(Table1[Selected],Table1[IPS])</f>
        <v>0</v>
      </c>
      <c r="AP28">
        <v>3</v>
      </c>
    </row>
    <row r="29" spans="1:42" x14ac:dyDescent="0.2">
      <c r="A29" t="s">
        <v>341</v>
      </c>
      <c r="B29" t="s">
        <v>342</v>
      </c>
      <c r="C29" t="s">
        <v>342</v>
      </c>
      <c r="D29" t="s">
        <v>6</v>
      </c>
      <c r="E29">
        <v>0</v>
      </c>
      <c r="F29">
        <v>0</v>
      </c>
      <c r="G29">
        <v>0</v>
      </c>
      <c r="H29">
        <v>1</v>
      </c>
      <c r="I29" t="s">
        <v>26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9.5</v>
      </c>
      <c r="AE29">
        <v>547</v>
      </c>
      <c r="AF29">
        <v>93.04546200641812</v>
      </c>
      <c r="AG29">
        <v>65.916802085927003</v>
      </c>
      <c r="AH29">
        <f>106.122712140667*1</f>
        <v>106.12271214066701</v>
      </c>
      <c r="AI29">
        <f>8.25449418442757*1</f>
        <v>8.2544941844275694</v>
      </c>
      <c r="AJ29">
        <v>1</v>
      </c>
      <c r="AK29">
        <v>1</v>
      </c>
      <c r="AL29">
        <v>1</v>
      </c>
      <c r="AN29" t="s">
        <v>22</v>
      </c>
      <c r="AO29">
        <f>SUMPRODUCT(Table1[Selected],Table1[LEI])</f>
        <v>0</v>
      </c>
      <c r="AP29">
        <v>3</v>
      </c>
    </row>
    <row r="30" spans="1:42" hidden="1" x14ac:dyDescent="0.2">
      <c r="A30" t="s">
        <v>106</v>
      </c>
      <c r="B30" t="s">
        <v>107</v>
      </c>
      <c r="C30" t="s">
        <v>107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14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5.7</v>
      </c>
      <c r="AE30">
        <v>96</v>
      </c>
      <c r="AF30">
        <v>63.061893626651532</v>
      </c>
      <c r="AG30">
        <v>35.054811149703802</v>
      </c>
      <c r="AH30">
        <f>41.1828007163055*1</f>
        <v>41.182800716305501</v>
      </c>
      <c r="AI30">
        <f>2.83150228923125*1</f>
        <v>2.83150228923125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1</v>
      </c>
      <c r="AP30">
        <v>3</v>
      </c>
    </row>
    <row r="31" spans="1:42" hidden="1" x14ac:dyDescent="0.2">
      <c r="A31" t="s">
        <v>108</v>
      </c>
      <c r="B31" t="s">
        <v>109</v>
      </c>
      <c r="C31" t="s">
        <v>109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14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4.4000000000000004</v>
      </c>
      <c r="AE31">
        <v>99</v>
      </c>
      <c r="AF31">
        <v>33.359375</v>
      </c>
      <c r="AG31">
        <v>29.312053111488851</v>
      </c>
      <c r="AH31">
        <f>24.0548317497964*1</f>
        <v>24.054831749796399</v>
      </c>
      <c r="AI31">
        <f>1.69322310762935*1</f>
        <v>1.69322310762935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0</v>
      </c>
      <c r="AP31">
        <v>3</v>
      </c>
    </row>
    <row r="32" spans="1:42" hidden="1" x14ac:dyDescent="0.2">
      <c r="A32" t="s">
        <v>110</v>
      </c>
      <c r="B32" t="s">
        <v>111</v>
      </c>
      <c r="C32" t="s">
        <v>111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14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5.4</v>
      </c>
      <c r="AE32">
        <v>100</v>
      </c>
      <c r="AF32">
        <v>47.352941176470573</v>
      </c>
      <c r="AG32">
        <v>57.253748875620182</v>
      </c>
      <c r="AH32">
        <f>19.9030939218087*1</f>
        <v>19.903093921808701</v>
      </c>
      <c r="AI32">
        <f>1.55504045781862*1</f>
        <v>1.5550404578186201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1</v>
      </c>
      <c r="AP32">
        <v>3</v>
      </c>
    </row>
    <row r="33" spans="1:42" hidden="1" x14ac:dyDescent="0.2">
      <c r="A33" t="s">
        <v>112</v>
      </c>
      <c r="B33" t="s">
        <v>113</v>
      </c>
      <c r="C33" t="s">
        <v>113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14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102</v>
      </c>
      <c r="AF33">
        <v>33.687499999999993</v>
      </c>
      <c r="AG33">
        <v>26.864198664645269</v>
      </c>
      <c r="AH33">
        <f>26.8839404197961*1</f>
        <v>26.883940419796101</v>
      </c>
      <c r="AI33">
        <f>1.88804940795127*1</f>
        <v>1.88804940795127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3</v>
      </c>
      <c r="AP33">
        <v>3</v>
      </c>
    </row>
    <row r="34" spans="1:42" hidden="1" x14ac:dyDescent="0.2">
      <c r="A34" t="s">
        <v>114</v>
      </c>
      <c r="B34" t="s">
        <v>115</v>
      </c>
      <c r="C34" t="s">
        <v>115</v>
      </c>
      <c r="D34" t="s">
        <v>3</v>
      </c>
      <c r="E34">
        <v>1</v>
      </c>
      <c r="F34">
        <v>0</v>
      </c>
      <c r="G34">
        <v>0</v>
      </c>
      <c r="H34">
        <v>0</v>
      </c>
      <c r="I34" t="s">
        <v>14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103</v>
      </c>
      <c r="AF34">
        <v>51.950413223140451</v>
      </c>
      <c r="AG34">
        <v>51.390191624589882</v>
      </c>
      <c r="AH34">
        <f>36.7709692467274*1</f>
        <v>36.770969246727397</v>
      </c>
      <c r="AI34">
        <f>2.56262755140737*1</f>
        <v>2.56262755140737</v>
      </c>
      <c r="AJ34">
        <v>1</v>
      </c>
      <c r="AK34">
        <v>0</v>
      </c>
      <c r="AL34">
        <v>0</v>
      </c>
      <c r="AN34" t="s">
        <v>27</v>
      </c>
      <c r="AO34">
        <f>SUMPRODUCT(Table1[Selected],Table1[NFO])</f>
        <v>2</v>
      </c>
      <c r="AP34">
        <v>3</v>
      </c>
    </row>
    <row r="35" spans="1:42" hidden="1" x14ac:dyDescent="0.2">
      <c r="A35" t="s">
        <v>116</v>
      </c>
      <c r="B35" t="s">
        <v>117</v>
      </c>
      <c r="C35" t="s">
        <v>117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15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</v>
      </c>
      <c r="AE35">
        <v>121</v>
      </c>
      <c r="AF35">
        <v>36.202020202020194</v>
      </c>
      <c r="AG35">
        <v>33.741865423743022</v>
      </c>
      <c r="AH35">
        <f>30.9867727042607*1</f>
        <v>30.986772704260702</v>
      </c>
      <c r="AI35">
        <f>2.28046776425125*1</f>
        <v>2.2804677642512501</v>
      </c>
      <c r="AJ35">
        <v>1</v>
      </c>
      <c r="AK35">
        <v>0</v>
      </c>
      <c r="AL35">
        <v>0</v>
      </c>
      <c r="AN35" t="s">
        <v>28</v>
      </c>
      <c r="AO35">
        <f>SUMPRODUCT(Table1[Selected],Table1[SOU])</f>
        <v>0</v>
      </c>
      <c r="AP35">
        <v>3</v>
      </c>
    </row>
    <row r="36" spans="1:42" hidden="1" x14ac:dyDescent="0.2">
      <c r="A36" t="s">
        <v>118</v>
      </c>
      <c r="B36" t="s">
        <v>119</v>
      </c>
      <c r="C36" t="s">
        <v>119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</v>
      </c>
      <c r="AE36">
        <v>122</v>
      </c>
      <c r="AF36">
        <v>53.791607821305391</v>
      </c>
      <c r="AG36">
        <v>23.791141553301181</v>
      </c>
      <c r="AH36">
        <f>74.0351885824298*1</f>
        <v>74.035188582429797</v>
      </c>
      <c r="AI36">
        <f>4.19527491366734*1</f>
        <v>4.1952749136673404</v>
      </c>
      <c r="AJ36">
        <v>1</v>
      </c>
      <c r="AK36">
        <v>1</v>
      </c>
      <c r="AL36">
        <v>0</v>
      </c>
      <c r="AN36" t="s">
        <v>29</v>
      </c>
      <c r="AO36">
        <f>SUMPRODUCT(Table1[Selected],Table1[TOT])</f>
        <v>0</v>
      </c>
      <c r="AP36">
        <v>3</v>
      </c>
    </row>
    <row r="37" spans="1:42" hidden="1" x14ac:dyDescent="0.2">
      <c r="A37" t="s">
        <v>120</v>
      </c>
      <c r="B37" t="s">
        <v>121</v>
      </c>
      <c r="C37" t="s">
        <v>121</v>
      </c>
      <c r="D37" t="s">
        <v>3</v>
      </c>
      <c r="E37">
        <v>1</v>
      </c>
      <c r="F37">
        <v>0</v>
      </c>
      <c r="G37">
        <v>0</v>
      </c>
      <c r="H37">
        <v>0</v>
      </c>
      <c r="I37" t="s">
        <v>15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4.4000000000000004</v>
      </c>
      <c r="AE37">
        <v>124</v>
      </c>
      <c r="AF37">
        <v>44.610169491525419</v>
      </c>
      <c r="AG37">
        <v>41.300338690323827</v>
      </c>
      <c r="AH37">
        <f>15.1405680013407*1</f>
        <v>15.1405680013407</v>
      </c>
      <c r="AI37">
        <f>1.05416969746768*1</f>
        <v>1.05416969746768</v>
      </c>
      <c r="AJ37">
        <v>1</v>
      </c>
      <c r="AK37">
        <v>0</v>
      </c>
      <c r="AL37">
        <v>0</v>
      </c>
      <c r="AN37" t="s">
        <v>30</v>
      </c>
      <c r="AO37">
        <f>SUMPRODUCT(Table1[Selected],Table1[WHU])</f>
        <v>0</v>
      </c>
      <c r="AP37">
        <v>3</v>
      </c>
    </row>
    <row r="38" spans="1:42" hidden="1" x14ac:dyDescent="0.2">
      <c r="A38" t="s">
        <v>122</v>
      </c>
      <c r="B38" t="s">
        <v>123</v>
      </c>
      <c r="C38" t="s">
        <v>123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15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4.9000000000000004</v>
      </c>
      <c r="AE38">
        <v>127</v>
      </c>
      <c r="AF38">
        <v>36.308943089430912</v>
      </c>
      <c r="AG38">
        <v>32.044407313606719</v>
      </c>
      <c r="AH38">
        <f>21.0696740057984*1</f>
        <v>21.069674005798401</v>
      </c>
      <c r="AI38">
        <f>1.46060517125892*1</f>
        <v>1.4606051712589201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1</v>
      </c>
      <c r="AP38">
        <v>3</v>
      </c>
    </row>
    <row r="39" spans="1:42" hidden="1" x14ac:dyDescent="0.2">
      <c r="A39" t="s">
        <v>124</v>
      </c>
      <c r="B39" t="s">
        <v>125</v>
      </c>
      <c r="C39" t="s">
        <v>125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15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  <c r="AE39">
        <v>131</v>
      </c>
      <c r="AF39">
        <v>33.1111111111111</v>
      </c>
      <c r="AG39">
        <v>25.809293562886491</v>
      </c>
      <c r="AH39">
        <f>29.3982611655539*1</f>
        <v>29.398261165553901</v>
      </c>
      <c r="AI39">
        <f>2.09396644185798*1</f>
        <v>2.09396644185798</v>
      </c>
      <c r="AJ39">
        <v>1</v>
      </c>
      <c r="AK39">
        <v>0</v>
      </c>
      <c r="AL39">
        <v>0</v>
      </c>
    </row>
    <row r="40" spans="1:42" x14ac:dyDescent="0.2">
      <c r="A40" t="s">
        <v>99</v>
      </c>
      <c r="B40" t="s">
        <v>100</v>
      </c>
      <c r="C40" t="s">
        <v>100</v>
      </c>
      <c r="D40" t="s">
        <v>4</v>
      </c>
      <c r="E40">
        <v>0</v>
      </c>
      <c r="F40">
        <v>1</v>
      </c>
      <c r="G40">
        <v>0</v>
      </c>
      <c r="H40">
        <v>0</v>
      </c>
      <c r="I40" t="s">
        <v>14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</v>
      </c>
      <c r="AE40">
        <v>89</v>
      </c>
      <c r="AF40">
        <v>65.358790281795066</v>
      </c>
      <c r="AG40">
        <v>34.823982473593198</v>
      </c>
      <c r="AH40">
        <f>92.9727954975531*1</f>
        <v>92.972795497553093</v>
      </c>
      <c r="AI40">
        <f>7.74343971024236*1</f>
        <v>7.7434397102423604</v>
      </c>
      <c r="AJ40">
        <v>1</v>
      </c>
      <c r="AK40">
        <v>1</v>
      </c>
      <c r="AL40">
        <v>1</v>
      </c>
    </row>
    <row r="41" spans="1:42" hidden="1" x14ac:dyDescent="0.2">
      <c r="A41" t="s">
        <v>128</v>
      </c>
      <c r="B41" t="s">
        <v>129</v>
      </c>
      <c r="C41" t="s">
        <v>129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15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4.8</v>
      </c>
      <c r="AE41">
        <v>134</v>
      </c>
      <c r="AF41">
        <v>38.903846153846139</v>
      </c>
      <c r="AG41">
        <v>39.774285911518362</v>
      </c>
      <c r="AH41">
        <f>21.1190388434362*1</f>
        <v>21.119038843436201</v>
      </c>
      <c r="AI41">
        <f>1.49604893173464*1</f>
        <v>1.4960489317346399</v>
      </c>
      <c r="AJ41">
        <v>1</v>
      </c>
      <c r="AK41">
        <v>0</v>
      </c>
      <c r="AL41">
        <v>0</v>
      </c>
    </row>
    <row r="42" spans="1:42" hidden="1" x14ac:dyDescent="0.2">
      <c r="A42" t="s">
        <v>130</v>
      </c>
      <c r="B42" t="s">
        <v>131</v>
      </c>
      <c r="C42" t="s">
        <v>132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15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4.3</v>
      </c>
      <c r="AE42">
        <v>138</v>
      </c>
      <c r="AF42">
        <v>27.678041673855368</v>
      </c>
      <c r="AG42">
        <v>27.610219509805969</v>
      </c>
      <c r="AH42">
        <f>11.7328810719288*1</f>
        <v>11.7328810719288</v>
      </c>
      <c r="AI42">
        <f>0.947358141123641*1</f>
        <v>0.94735814112364103</v>
      </c>
      <c r="AJ42">
        <v>1</v>
      </c>
      <c r="AK42">
        <v>0</v>
      </c>
      <c r="AL42">
        <v>0</v>
      </c>
    </row>
    <row r="43" spans="1:42" hidden="1" x14ac:dyDescent="0.2">
      <c r="A43" t="s">
        <v>133</v>
      </c>
      <c r="B43" t="s">
        <v>134</v>
      </c>
      <c r="C43" t="s">
        <v>134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15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5.0999999999999996</v>
      </c>
      <c r="AE43">
        <v>139</v>
      </c>
      <c r="AF43">
        <v>39.307692307692299</v>
      </c>
      <c r="AG43">
        <v>32.64834950780584</v>
      </c>
      <c r="AH43">
        <f>28.9598923781425*1</f>
        <v>28.959892378142499</v>
      </c>
      <c r="AI43">
        <f>1.98516126579968*1</f>
        <v>1.98516126579968</v>
      </c>
      <c r="AJ43">
        <v>1</v>
      </c>
      <c r="AK43">
        <v>0</v>
      </c>
      <c r="AL43">
        <v>0</v>
      </c>
    </row>
    <row r="44" spans="1:42" x14ac:dyDescent="0.2">
      <c r="A44" t="s">
        <v>101</v>
      </c>
      <c r="B44" t="s">
        <v>102</v>
      </c>
      <c r="C44" t="s">
        <v>102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14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5.9</v>
      </c>
      <c r="AE44">
        <v>90</v>
      </c>
      <c r="AF44">
        <v>98.913874360686194</v>
      </c>
      <c r="AG44">
        <v>36.435600602482509</v>
      </c>
      <c r="AH44">
        <f>100.283257041326*1</f>
        <v>100.283257041326</v>
      </c>
      <c r="AI44">
        <f>7.30172953415538*1</f>
        <v>7.3017295341553803</v>
      </c>
      <c r="AJ44">
        <v>1</v>
      </c>
      <c r="AK44">
        <v>1</v>
      </c>
      <c r="AL44">
        <v>1</v>
      </c>
    </row>
    <row r="45" spans="1:42" hidden="1" x14ac:dyDescent="0.2">
      <c r="A45" t="s">
        <v>137</v>
      </c>
      <c r="B45" t="s">
        <v>138</v>
      </c>
      <c r="C45" t="s">
        <v>139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15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4.5999999999999996</v>
      </c>
      <c r="AE45">
        <v>146</v>
      </c>
      <c r="AF45">
        <v>0</v>
      </c>
      <c r="AG45">
        <v>0</v>
      </c>
      <c r="AH45">
        <f>0*1</f>
        <v>0</v>
      </c>
      <c r="AI45">
        <f>0*1</f>
        <v>0</v>
      </c>
      <c r="AJ45">
        <v>1</v>
      </c>
      <c r="AK45">
        <v>0</v>
      </c>
      <c r="AL45">
        <v>0</v>
      </c>
    </row>
    <row r="46" spans="1:42" hidden="1" x14ac:dyDescent="0.2">
      <c r="A46" t="s">
        <v>140</v>
      </c>
      <c r="B46" t="s">
        <v>141</v>
      </c>
      <c r="C46" t="s">
        <v>141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</v>
      </c>
      <c r="AE46">
        <v>159</v>
      </c>
      <c r="AF46">
        <v>0</v>
      </c>
      <c r="AG46">
        <v>0</v>
      </c>
      <c r="AH46">
        <f>0*1</f>
        <v>0</v>
      </c>
      <c r="AI46">
        <f>0*1</f>
        <v>0</v>
      </c>
      <c r="AJ46">
        <v>1</v>
      </c>
      <c r="AK46">
        <v>0</v>
      </c>
      <c r="AL46">
        <v>0</v>
      </c>
    </row>
    <row r="47" spans="1:42" hidden="1" x14ac:dyDescent="0.2">
      <c r="A47" t="s">
        <v>94</v>
      </c>
      <c r="B47" t="s">
        <v>142</v>
      </c>
      <c r="C47" t="s">
        <v>142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4.2</v>
      </c>
      <c r="AE47">
        <v>163</v>
      </c>
      <c r="AF47">
        <v>42.796208530805693</v>
      </c>
      <c r="AG47">
        <v>48.126541302456758</v>
      </c>
      <c r="AH47">
        <f>17.7046834235744*1</f>
        <v>17.704683423574402</v>
      </c>
      <c r="AI47">
        <f>1.3048585908736*1</f>
        <v>1.3048585908735999</v>
      </c>
      <c r="AJ47">
        <v>1</v>
      </c>
      <c r="AK47">
        <v>0</v>
      </c>
      <c r="AL47">
        <v>0</v>
      </c>
    </row>
    <row r="48" spans="1:42" hidden="1" x14ac:dyDescent="0.2">
      <c r="A48" t="s">
        <v>143</v>
      </c>
      <c r="B48" t="s">
        <v>144</v>
      </c>
      <c r="C48" t="s">
        <v>145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4.9000000000000004</v>
      </c>
      <c r="AE48">
        <v>164</v>
      </c>
      <c r="AF48">
        <v>40.140718024639632</v>
      </c>
      <c r="AG48">
        <v>43.595039990985001</v>
      </c>
      <c r="AH48">
        <f>19.3707244962171*1</f>
        <v>19.3707244962171</v>
      </c>
      <c r="AI48">
        <f>1.14291779192233*1</f>
        <v>1.1429177919223299</v>
      </c>
      <c r="AJ48">
        <v>1</v>
      </c>
      <c r="AK48">
        <v>0</v>
      </c>
      <c r="AL48">
        <v>0</v>
      </c>
    </row>
    <row r="49" spans="1:38" hidden="1" x14ac:dyDescent="0.2">
      <c r="A49" t="s">
        <v>146</v>
      </c>
      <c r="B49" t="s">
        <v>147</v>
      </c>
      <c r="C49" t="s">
        <v>146</v>
      </c>
      <c r="D49" t="s">
        <v>6</v>
      </c>
      <c r="E49">
        <v>0</v>
      </c>
      <c r="F49">
        <v>0</v>
      </c>
      <c r="G49">
        <v>0</v>
      </c>
      <c r="H49">
        <v>1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5.5</v>
      </c>
      <c r="AE49">
        <v>170</v>
      </c>
      <c r="AF49">
        <v>52.389635666506791</v>
      </c>
      <c r="AG49">
        <v>38.649643834883932</v>
      </c>
      <c r="AH49">
        <f>49.8995918062184*1</f>
        <v>49.899591806218403</v>
      </c>
      <c r="AI49">
        <f>3.59171465351913*1</f>
        <v>3.59171465351913</v>
      </c>
      <c r="AJ49">
        <v>1</v>
      </c>
      <c r="AK49">
        <v>0</v>
      </c>
      <c r="AL49">
        <v>0</v>
      </c>
    </row>
    <row r="50" spans="1:38" hidden="1" x14ac:dyDescent="0.2">
      <c r="A50" t="s">
        <v>148</v>
      </c>
      <c r="B50" t="s">
        <v>149</v>
      </c>
      <c r="C50" t="s">
        <v>150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16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4.5</v>
      </c>
      <c r="AE50">
        <v>185</v>
      </c>
      <c r="AF50">
        <v>29.228070175438621</v>
      </c>
      <c r="AG50">
        <v>27.283132016320401</v>
      </c>
      <c r="AH50">
        <f>20.4388863856037*1</f>
        <v>20.438886385603698</v>
      </c>
      <c r="AI50">
        <f>1.45507573306846*1</f>
        <v>1.4550757330684601</v>
      </c>
      <c r="AJ50">
        <v>1</v>
      </c>
      <c r="AK50">
        <v>0</v>
      </c>
      <c r="AL50">
        <v>0</v>
      </c>
    </row>
    <row r="51" spans="1:38" hidden="1" x14ac:dyDescent="0.2">
      <c r="A51" t="s">
        <v>151</v>
      </c>
      <c r="B51" t="s">
        <v>152</v>
      </c>
      <c r="C51" t="s">
        <v>152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16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4.4000000000000004</v>
      </c>
      <c r="AE51">
        <v>186</v>
      </c>
      <c r="AF51">
        <v>38.677028893445637</v>
      </c>
      <c r="AG51">
        <v>35.450951840167392</v>
      </c>
      <c r="AH51">
        <f>21.9724782104197*1</f>
        <v>21.972478210419698</v>
      </c>
      <c r="AI51">
        <f>1.28538463976587*1</f>
        <v>1.2853846397658699</v>
      </c>
      <c r="AJ51">
        <v>1</v>
      </c>
      <c r="AK51">
        <v>0</v>
      </c>
      <c r="AL51">
        <v>0</v>
      </c>
    </row>
    <row r="52" spans="1:38" hidden="1" x14ac:dyDescent="0.2">
      <c r="A52" t="s">
        <v>153</v>
      </c>
      <c r="B52" t="s">
        <v>154</v>
      </c>
      <c r="C52" t="s">
        <v>154</v>
      </c>
      <c r="D52" t="s">
        <v>3</v>
      </c>
      <c r="E52">
        <v>1</v>
      </c>
      <c r="F52">
        <v>0</v>
      </c>
      <c r="G52">
        <v>0</v>
      </c>
      <c r="H52">
        <v>0</v>
      </c>
      <c r="I52" t="s">
        <v>16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4.5</v>
      </c>
      <c r="AE52">
        <v>187</v>
      </c>
      <c r="AF52">
        <v>0</v>
      </c>
      <c r="AG52">
        <v>0</v>
      </c>
      <c r="AH52">
        <f>0*1</f>
        <v>0</v>
      </c>
      <c r="AI52">
        <f>0*1</f>
        <v>0</v>
      </c>
      <c r="AJ52">
        <v>1</v>
      </c>
      <c r="AK52">
        <v>0</v>
      </c>
      <c r="AL52">
        <v>0</v>
      </c>
    </row>
    <row r="53" spans="1:38" hidden="1" x14ac:dyDescent="0.2">
      <c r="A53" t="s">
        <v>155</v>
      </c>
      <c r="B53" t="s">
        <v>156</v>
      </c>
      <c r="C53" t="s">
        <v>156</v>
      </c>
      <c r="D53" t="s">
        <v>6</v>
      </c>
      <c r="E53">
        <v>0</v>
      </c>
      <c r="F53">
        <v>0</v>
      </c>
      <c r="G53">
        <v>0</v>
      </c>
      <c r="H53">
        <v>1</v>
      </c>
      <c r="I53" t="s">
        <v>16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5.5</v>
      </c>
      <c r="AE53">
        <v>189</v>
      </c>
      <c r="AF53">
        <v>43.408908197576011</v>
      </c>
      <c r="AG53">
        <v>39.970720669760702</v>
      </c>
      <c r="AH53">
        <f>31.477317375175*1</f>
        <v>31.477317375175002</v>
      </c>
      <c r="AI53">
        <f>2.16943006722054*1</f>
        <v>2.16943006722054</v>
      </c>
      <c r="AJ53">
        <v>1</v>
      </c>
      <c r="AK53">
        <v>0</v>
      </c>
      <c r="AL53">
        <v>0</v>
      </c>
    </row>
    <row r="54" spans="1:38" hidden="1" x14ac:dyDescent="0.2">
      <c r="A54" t="s">
        <v>157</v>
      </c>
      <c r="B54" t="s">
        <v>158</v>
      </c>
      <c r="C54" t="s">
        <v>157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16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5.0999999999999996</v>
      </c>
      <c r="AE54">
        <v>195</v>
      </c>
      <c r="AF54">
        <v>0</v>
      </c>
      <c r="AG54">
        <v>0</v>
      </c>
      <c r="AH54">
        <f>0*1</f>
        <v>0</v>
      </c>
      <c r="AI54">
        <f>0*1</f>
        <v>0</v>
      </c>
      <c r="AJ54">
        <v>1</v>
      </c>
      <c r="AK54">
        <v>0</v>
      </c>
      <c r="AL54">
        <v>0</v>
      </c>
    </row>
    <row r="55" spans="1:38" hidden="1" x14ac:dyDescent="0.2">
      <c r="A55" t="s">
        <v>159</v>
      </c>
      <c r="B55" t="s">
        <v>160</v>
      </c>
      <c r="C55" t="s">
        <v>161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4.9000000000000004</v>
      </c>
      <c r="AE55">
        <v>211</v>
      </c>
      <c r="AF55">
        <v>32.363284168615067</v>
      </c>
      <c r="AG55">
        <v>25.953082315936491</v>
      </c>
      <c r="AH55">
        <f>30.2333799182069*1</f>
        <v>30.2333799182069</v>
      </c>
      <c r="AI55">
        <f>2.05402723503332*1</f>
        <v>2.05402723503332</v>
      </c>
      <c r="AJ55">
        <v>1</v>
      </c>
      <c r="AK55">
        <v>0</v>
      </c>
      <c r="AL55">
        <v>0</v>
      </c>
    </row>
    <row r="56" spans="1:38" hidden="1" x14ac:dyDescent="0.2">
      <c r="A56" t="s">
        <v>162</v>
      </c>
      <c r="B56" t="s">
        <v>163</v>
      </c>
      <c r="C56" t="s">
        <v>163</v>
      </c>
      <c r="D56" t="s">
        <v>4</v>
      </c>
      <c r="E56">
        <v>0</v>
      </c>
      <c r="F56">
        <v>1</v>
      </c>
      <c r="G56">
        <v>0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4.4000000000000004</v>
      </c>
      <c r="AE56">
        <v>215</v>
      </c>
      <c r="AF56">
        <v>35.344262295081982</v>
      </c>
      <c r="AG56">
        <v>43.045120601661147</v>
      </c>
      <c r="AH56">
        <f>17.0139384164365*1</f>
        <v>17.013938416436499</v>
      </c>
      <c r="AI56">
        <f>1.17347992876711*1</f>
        <v>1.17347992876711</v>
      </c>
      <c r="AJ56">
        <v>1</v>
      </c>
      <c r="AK56">
        <v>0</v>
      </c>
      <c r="AL56">
        <v>0</v>
      </c>
    </row>
    <row r="57" spans="1:38" hidden="1" x14ac:dyDescent="0.2">
      <c r="A57" t="s">
        <v>164</v>
      </c>
      <c r="B57" t="s">
        <v>165</v>
      </c>
      <c r="C57" t="s">
        <v>166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5.0999999999999996</v>
      </c>
      <c r="AE57">
        <v>216</v>
      </c>
      <c r="AF57">
        <v>36.66666666666665</v>
      </c>
      <c r="AG57">
        <v>32.396671526199171</v>
      </c>
      <c r="AH57">
        <f>26.6170956954528*1</f>
        <v>26.6170956954528</v>
      </c>
      <c r="AI57">
        <f>1.88547094383582*1</f>
        <v>1.8854709438358199</v>
      </c>
      <c r="AJ57">
        <v>1</v>
      </c>
      <c r="AK57">
        <v>0</v>
      </c>
      <c r="AL57">
        <v>0</v>
      </c>
    </row>
    <row r="58" spans="1:38" hidden="1" x14ac:dyDescent="0.2">
      <c r="A58" t="s">
        <v>167</v>
      </c>
      <c r="B58" t="s">
        <v>168</v>
      </c>
      <c r="C58" t="s">
        <v>167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4.8</v>
      </c>
      <c r="AE58">
        <v>220</v>
      </c>
      <c r="AF58">
        <v>41.026838033050758</v>
      </c>
      <c r="AG58">
        <v>28.070181118753379</v>
      </c>
      <c r="AH58">
        <f>39.2239728329608*1</f>
        <v>39.223972832960797</v>
      </c>
      <c r="AI58">
        <f>2.99389197314624*1</f>
        <v>2.9938919731462401</v>
      </c>
      <c r="AJ58">
        <v>1</v>
      </c>
      <c r="AK58">
        <v>0</v>
      </c>
      <c r="AL58">
        <v>0</v>
      </c>
    </row>
    <row r="59" spans="1:38" hidden="1" x14ac:dyDescent="0.2">
      <c r="A59" t="s">
        <v>169</v>
      </c>
      <c r="B59" t="s">
        <v>170</v>
      </c>
      <c r="C59" t="s">
        <v>170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4.9000000000000004</v>
      </c>
      <c r="AE59">
        <v>223</v>
      </c>
      <c r="AF59">
        <v>0</v>
      </c>
      <c r="AG59">
        <v>0</v>
      </c>
      <c r="AH59">
        <f>0*1</f>
        <v>0</v>
      </c>
      <c r="AI59">
        <f>0*1</f>
        <v>0</v>
      </c>
      <c r="AJ59">
        <v>1</v>
      </c>
      <c r="AK59">
        <v>0</v>
      </c>
      <c r="AL59">
        <v>0</v>
      </c>
    </row>
    <row r="60" spans="1:38" hidden="1" x14ac:dyDescent="0.2">
      <c r="A60" t="s">
        <v>171</v>
      </c>
      <c r="B60" t="s">
        <v>172</v>
      </c>
      <c r="C60" t="s">
        <v>172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6.1</v>
      </c>
      <c r="AE60">
        <v>229</v>
      </c>
      <c r="AF60">
        <v>48.481481481481467</v>
      </c>
      <c r="AG60">
        <v>39.025847181357157</v>
      </c>
      <c r="AH60">
        <f>56.4312564663028*1</f>
        <v>56.431256466302798</v>
      </c>
      <c r="AI60">
        <f>3.9166547151376*1</f>
        <v>3.9166547151376001</v>
      </c>
      <c r="AJ60">
        <v>1</v>
      </c>
      <c r="AK60">
        <v>0</v>
      </c>
      <c r="AL60">
        <v>0</v>
      </c>
    </row>
    <row r="61" spans="1:38" hidden="1" x14ac:dyDescent="0.2">
      <c r="A61" t="s">
        <v>173</v>
      </c>
      <c r="B61" t="s">
        <v>174</v>
      </c>
      <c r="C61" t="s">
        <v>175</v>
      </c>
      <c r="D61" t="s">
        <v>6</v>
      </c>
      <c r="E61">
        <v>0</v>
      </c>
      <c r="F61">
        <v>0</v>
      </c>
      <c r="G61">
        <v>0</v>
      </c>
      <c r="H61">
        <v>1</v>
      </c>
      <c r="I61" t="s">
        <v>17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7.8</v>
      </c>
      <c r="AE61">
        <v>232</v>
      </c>
      <c r="AF61">
        <v>60.997047908870691</v>
      </c>
      <c r="AG61">
        <v>74.764261730485231</v>
      </c>
      <c r="AH61">
        <f>49.7480892191142*1</f>
        <v>49.748089219114199</v>
      </c>
      <c r="AI61">
        <f>3.26083106298802*1</f>
        <v>3.2608310629880202</v>
      </c>
      <c r="AJ61">
        <v>1</v>
      </c>
      <c r="AK61">
        <v>0</v>
      </c>
      <c r="AL61">
        <v>0</v>
      </c>
    </row>
    <row r="62" spans="1:38" hidden="1" x14ac:dyDescent="0.2">
      <c r="A62" t="s">
        <v>176</v>
      </c>
      <c r="B62" t="s">
        <v>177</v>
      </c>
      <c r="C62" t="s">
        <v>177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17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5.7</v>
      </c>
      <c r="AE62">
        <v>233</v>
      </c>
      <c r="AF62">
        <v>0</v>
      </c>
      <c r="AG62">
        <v>0</v>
      </c>
      <c r="AH62">
        <f>0*1</f>
        <v>0</v>
      </c>
      <c r="AI62">
        <f>0*1</f>
        <v>0</v>
      </c>
      <c r="AJ62">
        <v>1</v>
      </c>
      <c r="AK62">
        <v>0</v>
      </c>
      <c r="AL62">
        <v>0</v>
      </c>
    </row>
    <row r="63" spans="1:38" hidden="1" x14ac:dyDescent="0.2">
      <c r="A63" t="s">
        <v>178</v>
      </c>
      <c r="B63" t="s">
        <v>179</v>
      </c>
      <c r="C63" t="s">
        <v>179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17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11.2</v>
      </c>
      <c r="AE63">
        <v>234</v>
      </c>
      <c r="AF63">
        <v>87.159489490580555</v>
      </c>
      <c r="AG63">
        <v>109.4536418448519</v>
      </c>
      <c r="AH63">
        <f>68.1824513660406*1</f>
        <v>68.182451366040596</v>
      </c>
      <c r="AI63">
        <f>4.67390818414156*1</f>
        <v>4.6739081841415597</v>
      </c>
      <c r="AJ63">
        <v>1</v>
      </c>
      <c r="AK63">
        <v>0</v>
      </c>
      <c r="AL63">
        <v>0</v>
      </c>
    </row>
    <row r="64" spans="1:38" hidden="1" x14ac:dyDescent="0.2">
      <c r="A64" t="s">
        <v>180</v>
      </c>
      <c r="B64" t="s">
        <v>181</v>
      </c>
      <c r="C64" t="s">
        <v>181</v>
      </c>
      <c r="D64" t="s">
        <v>3</v>
      </c>
      <c r="E64">
        <v>1</v>
      </c>
      <c r="F64">
        <v>0</v>
      </c>
      <c r="G64">
        <v>0</v>
      </c>
      <c r="H64">
        <v>0</v>
      </c>
      <c r="I64" t="s">
        <v>17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4.7</v>
      </c>
      <c r="AE64">
        <v>237</v>
      </c>
      <c r="AF64">
        <v>49.583333333333307</v>
      </c>
      <c r="AG64">
        <v>49.668949825823461</v>
      </c>
      <c r="AH64">
        <f>33.8357409176148*1</f>
        <v>33.8357409176148</v>
      </c>
      <c r="AI64">
        <f>2.40259396877504*1</f>
        <v>2.4025939687750402</v>
      </c>
      <c r="AJ64">
        <v>1</v>
      </c>
      <c r="AK64">
        <v>0</v>
      </c>
      <c r="AL64">
        <v>0</v>
      </c>
    </row>
    <row r="65" spans="1:38" hidden="1" x14ac:dyDescent="0.2">
      <c r="A65" t="s">
        <v>182</v>
      </c>
      <c r="B65" t="s">
        <v>183</v>
      </c>
      <c r="C65" t="s">
        <v>183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17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6.2</v>
      </c>
      <c r="AE65">
        <v>240</v>
      </c>
      <c r="AF65">
        <v>46.929577464788743</v>
      </c>
      <c r="AG65">
        <v>54.173671386457087</v>
      </c>
      <c r="AH65">
        <f>40.0964193280106*1</f>
        <v>40.096419328010597</v>
      </c>
      <c r="AI65">
        <f>3.00335241127298*1</f>
        <v>3.0033524112729801</v>
      </c>
      <c r="AJ65">
        <v>1</v>
      </c>
      <c r="AK65">
        <v>0</v>
      </c>
      <c r="AL65">
        <v>0</v>
      </c>
    </row>
    <row r="66" spans="1:38" hidden="1" x14ac:dyDescent="0.2">
      <c r="A66" t="s">
        <v>184</v>
      </c>
      <c r="B66" t="s">
        <v>185</v>
      </c>
      <c r="C66" t="s">
        <v>186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17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6.2</v>
      </c>
      <c r="AE66">
        <v>241</v>
      </c>
      <c r="AF66">
        <v>40.523896630635882</v>
      </c>
      <c r="AG66">
        <v>45.84199207062602</v>
      </c>
      <c r="AH66">
        <f>21.7697184813086*1</f>
        <v>21.769718481308601</v>
      </c>
      <c r="AI66">
        <f>1.62485949175907*1</f>
        <v>1.62485949175907</v>
      </c>
      <c r="AJ66">
        <v>1</v>
      </c>
      <c r="AK66">
        <v>0</v>
      </c>
      <c r="AL66">
        <v>0</v>
      </c>
    </row>
    <row r="67" spans="1:38" hidden="1" x14ac:dyDescent="0.2">
      <c r="A67" t="s">
        <v>187</v>
      </c>
      <c r="B67" t="s">
        <v>188</v>
      </c>
      <c r="C67" t="s">
        <v>188</v>
      </c>
      <c r="D67" t="s">
        <v>6</v>
      </c>
      <c r="E67">
        <v>0</v>
      </c>
      <c r="F67">
        <v>0</v>
      </c>
      <c r="G67">
        <v>0</v>
      </c>
      <c r="H67">
        <v>1</v>
      </c>
      <c r="I67" t="s">
        <v>18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5.9</v>
      </c>
      <c r="AE67">
        <v>250</v>
      </c>
      <c r="AF67">
        <v>28.3472222222222</v>
      </c>
      <c r="AG67">
        <v>35.05587710280475</v>
      </c>
      <c r="AH67">
        <f>9.28967981874606*1</f>
        <v>9.2896798187460607</v>
      </c>
      <c r="AI67">
        <f>0.675595221699863*1</f>
        <v>0.67559522169986297</v>
      </c>
      <c r="AJ67">
        <v>1</v>
      </c>
      <c r="AK67">
        <v>0</v>
      </c>
      <c r="AL67">
        <v>0</v>
      </c>
    </row>
    <row r="68" spans="1:38" hidden="1" x14ac:dyDescent="0.2">
      <c r="A68" t="s">
        <v>189</v>
      </c>
      <c r="B68" t="s">
        <v>190</v>
      </c>
      <c r="C68" t="s">
        <v>190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6.7</v>
      </c>
      <c r="AE68">
        <v>258</v>
      </c>
      <c r="AF68">
        <v>50.865079365079353</v>
      </c>
      <c r="AG68">
        <v>45.95140743412145</v>
      </c>
      <c r="AH68">
        <f>41.3341940221921*1</f>
        <v>41.334194022192101</v>
      </c>
      <c r="AI68">
        <f>3.0892787296316*1</f>
        <v>3.0892787296316002</v>
      </c>
      <c r="AJ68">
        <v>1</v>
      </c>
      <c r="AK68">
        <v>0</v>
      </c>
      <c r="AL68">
        <v>0</v>
      </c>
    </row>
    <row r="69" spans="1:38" hidden="1" x14ac:dyDescent="0.2">
      <c r="A69" t="s">
        <v>164</v>
      </c>
      <c r="B69" t="s">
        <v>191</v>
      </c>
      <c r="C69" t="s">
        <v>191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18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4.5999999999999996</v>
      </c>
      <c r="AE69">
        <v>259</v>
      </c>
      <c r="AF69">
        <v>39.555555555555557</v>
      </c>
      <c r="AG69">
        <v>34.533469993782603</v>
      </c>
      <c r="AH69">
        <f>26.8409325755552*1</f>
        <v>26.8409325755552</v>
      </c>
      <c r="AI69">
        <f>1.90388671162467*1</f>
        <v>1.90388671162467</v>
      </c>
      <c r="AJ69">
        <v>1</v>
      </c>
      <c r="AK69">
        <v>0</v>
      </c>
      <c r="AL69">
        <v>0</v>
      </c>
    </row>
    <row r="70" spans="1:38" hidden="1" x14ac:dyDescent="0.2">
      <c r="A70" t="s">
        <v>192</v>
      </c>
      <c r="B70" t="s">
        <v>193</v>
      </c>
      <c r="C70" t="s">
        <v>193</v>
      </c>
      <c r="D70" t="s">
        <v>3</v>
      </c>
      <c r="E70">
        <v>1</v>
      </c>
      <c r="F70">
        <v>0</v>
      </c>
      <c r="G70">
        <v>0</v>
      </c>
      <c r="H70">
        <v>0</v>
      </c>
      <c r="I70" t="s">
        <v>18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4.5</v>
      </c>
      <c r="AE70">
        <v>260</v>
      </c>
      <c r="AF70">
        <v>49.915094339622669</v>
      </c>
      <c r="AG70">
        <v>53.644895936417889</v>
      </c>
      <c r="AH70">
        <f>27.6546886025583*1</f>
        <v>27.654688602558299</v>
      </c>
      <c r="AI70">
        <f>1.98564598262473*1</f>
        <v>1.9856459826247299</v>
      </c>
      <c r="AJ70">
        <v>1</v>
      </c>
      <c r="AK70">
        <v>0</v>
      </c>
      <c r="AL70">
        <v>0</v>
      </c>
    </row>
    <row r="71" spans="1:38" hidden="1" x14ac:dyDescent="0.2">
      <c r="A71" t="s">
        <v>194</v>
      </c>
      <c r="B71" t="s">
        <v>195</v>
      </c>
      <c r="C71" t="s">
        <v>195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18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4.9000000000000004</v>
      </c>
      <c r="AE71">
        <v>262</v>
      </c>
      <c r="AF71">
        <v>27.625</v>
      </c>
      <c r="AG71">
        <v>26.372898141881169</v>
      </c>
      <c r="AH71">
        <f>17.0662175751696*1</f>
        <v>17.066217575169599</v>
      </c>
      <c r="AI71">
        <f>1.31620858549484*1</f>
        <v>1.31620858549484</v>
      </c>
      <c r="AJ71">
        <v>1</v>
      </c>
      <c r="AK71">
        <v>0</v>
      </c>
      <c r="AL71">
        <v>0</v>
      </c>
    </row>
    <row r="72" spans="1:38" hidden="1" x14ac:dyDescent="0.2">
      <c r="A72" t="s">
        <v>196</v>
      </c>
      <c r="B72" t="s">
        <v>197</v>
      </c>
      <c r="C72" t="s">
        <v>198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4.8</v>
      </c>
      <c r="AE72">
        <v>264</v>
      </c>
      <c r="AF72">
        <v>30.542168674698789</v>
      </c>
      <c r="AG72">
        <v>27.76417308533069</v>
      </c>
      <c r="AH72">
        <f>12.0391937724145*1</f>
        <v>12.0391937724145</v>
      </c>
      <c r="AI72">
        <f>0.884394780451778*1</f>
        <v>0.884394780451778</v>
      </c>
      <c r="AJ72">
        <v>1</v>
      </c>
      <c r="AK72">
        <v>0</v>
      </c>
      <c r="AL72">
        <v>0</v>
      </c>
    </row>
    <row r="73" spans="1:38" hidden="1" x14ac:dyDescent="0.2">
      <c r="A73" t="s">
        <v>199</v>
      </c>
      <c r="B73" t="s">
        <v>200</v>
      </c>
      <c r="C73" t="s">
        <v>200</v>
      </c>
      <c r="D73" t="s">
        <v>6</v>
      </c>
      <c r="E73">
        <v>0</v>
      </c>
      <c r="F73">
        <v>0</v>
      </c>
      <c r="G73">
        <v>0</v>
      </c>
      <c r="H73">
        <v>1</v>
      </c>
      <c r="I73" t="s">
        <v>18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7.3</v>
      </c>
      <c r="AE73">
        <v>265</v>
      </c>
      <c r="AF73">
        <v>72.685160319573043</v>
      </c>
      <c r="AG73">
        <v>39.029404732652303</v>
      </c>
      <c r="AH73">
        <f>37.9850678904462*1</f>
        <v>37.985067890446203</v>
      </c>
      <c r="AI73">
        <f>2.4784591456374*1</f>
        <v>2.4784591456373999</v>
      </c>
      <c r="AJ73">
        <v>1</v>
      </c>
      <c r="AK73">
        <v>0</v>
      </c>
      <c r="AL73">
        <v>0</v>
      </c>
    </row>
    <row r="74" spans="1:38" hidden="1" x14ac:dyDescent="0.2">
      <c r="A74" t="s">
        <v>201</v>
      </c>
      <c r="B74" t="s">
        <v>202</v>
      </c>
      <c r="C74" t="s">
        <v>202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18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4.8</v>
      </c>
      <c r="AE74">
        <v>268</v>
      </c>
      <c r="AF74">
        <v>38.740000000000023</v>
      </c>
      <c r="AG74">
        <v>32.558016330637969</v>
      </c>
      <c r="AH74">
        <f>24.6843217850741*1</f>
        <v>24.684321785074101</v>
      </c>
      <c r="AI74">
        <f>1.82367559088121*1</f>
        <v>1.8236755908812099</v>
      </c>
      <c r="AJ74">
        <v>1</v>
      </c>
      <c r="AK74">
        <v>0</v>
      </c>
      <c r="AL74">
        <v>0</v>
      </c>
    </row>
    <row r="75" spans="1:38" hidden="1" x14ac:dyDescent="0.2">
      <c r="A75" t="s">
        <v>203</v>
      </c>
      <c r="B75" t="s">
        <v>204</v>
      </c>
      <c r="C75" t="s">
        <v>204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18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4.8</v>
      </c>
      <c r="AE75">
        <v>269</v>
      </c>
      <c r="AF75">
        <v>0</v>
      </c>
      <c r="AG75">
        <v>0</v>
      </c>
      <c r="AH75">
        <f>0*1</f>
        <v>0</v>
      </c>
      <c r="AI75">
        <f>0*1</f>
        <v>0</v>
      </c>
      <c r="AJ75">
        <v>1</v>
      </c>
      <c r="AK75">
        <v>0</v>
      </c>
      <c r="AL75">
        <v>0</v>
      </c>
    </row>
    <row r="76" spans="1:38" hidden="1" x14ac:dyDescent="0.2">
      <c r="A76" t="s">
        <v>205</v>
      </c>
      <c r="B76" t="s">
        <v>206</v>
      </c>
      <c r="C76" t="s">
        <v>207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18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5.7</v>
      </c>
      <c r="AE76">
        <v>276</v>
      </c>
      <c r="AF76">
        <v>46.848258535548702</v>
      </c>
      <c r="AG76">
        <v>48.616971374295737</v>
      </c>
      <c r="AH76">
        <f>23.2468535613778*1</f>
        <v>23.246853561377801</v>
      </c>
      <c r="AI76">
        <f>2.09225093007899*1</f>
        <v>2.0922509300789902</v>
      </c>
      <c r="AJ76">
        <v>1</v>
      </c>
      <c r="AK76">
        <v>0</v>
      </c>
      <c r="AL76">
        <v>0</v>
      </c>
    </row>
    <row r="77" spans="1:38" hidden="1" x14ac:dyDescent="0.2">
      <c r="A77" t="s">
        <v>208</v>
      </c>
      <c r="B77" t="s">
        <v>209</v>
      </c>
      <c r="C77" t="s">
        <v>210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5.0999999999999996</v>
      </c>
      <c r="AE77">
        <v>287</v>
      </c>
      <c r="AF77">
        <v>42.773869346733683</v>
      </c>
      <c r="AG77">
        <v>45.833137178560918</v>
      </c>
      <c r="AH77">
        <f>21.8956362106195*1</f>
        <v>21.8956362106195</v>
      </c>
      <c r="AI77">
        <f>1.51370073907465*1</f>
        <v>1.51370073907465</v>
      </c>
      <c r="AJ77">
        <v>1</v>
      </c>
      <c r="AK77">
        <v>0</v>
      </c>
      <c r="AL77">
        <v>0</v>
      </c>
    </row>
    <row r="78" spans="1:38" hidden="1" x14ac:dyDescent="0.2">
      <c r="A78" t="s">
        <v>211</v>
      </c>
      <c r="B78" t="s">
        <v>212</v>
      </c>
      <c r="C78" t="s">
        <v>212</v>
      </c>
      <c r="D78" t="s">
        <v>6</v>
      </c>
      <c r="E78">
        <v>0</v>
      </c>
      <c r="F78">
        <v>0</v>
      </c>
      <c r="G78">
        <v>0</v>
      </c>
      <c r="H78">
        <v>1</v>
      </c>
      <c r="I78" t="s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5.4</v>
      </c>
      <c r="AE78">
        <v>290</v>
      </c>
      <c r="AF78">
        <v>46.313218087183088</v>
      </c>
      <c r="AG78">
        <v>51.631150695131993</v>
      </c>
      <c r="AH78">
        <f>23.7900431990718*1</f>
        <v>23.7900431990718</v>
      </c>
      <c r="AI78">
        <f>1.42769106985355*1</f>
        <v>1.4276910698535501</v>
      </c>
      <c r="AJ78">
        <v>1</v>
      </c>
      <c r="AK78">
        <v>0</v>
      </c>
      <c r="AL78">
        <v>0</v>
      </c>
    </row>
    <row r="79" spans="1:38" hidden="1" x14ac:dyDescent="0.2">
      <c r="A79" t="s">
        <v>213</v>
      </c>
      <c r="B79" t="s">
        <v>214</v>
      </c>
      <c r="C79" t="s">
        <v>215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19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4.8</v>
      </c>
      <c r="AE79">
        <v>292</v>
      </c>
      <c r="AF79">
        <v>32.414414414414431</v>
      </c>
      <c r="AG79">
        <v>31.440334431668809</v>
      </c>
      <c r="AH79">
        <f>27.7445410214708*1</f>
        <v>27.744541021470798</v>
      </c>
      <c r="AI79">
        <f>1.99479664379326*1</f>
        <v>1.99479664379326</v>
      </c>
      <c r="AJ79">
        <v>1</v>
      </c>
      <c r="AK79">
        <v>0</v>
      </c>
      <c r="AL79">
        <v>0</v>
      </c>
    </row>
    <row r="80" spans="1:38" hidden="1" x14ac:dyDescent="0.2">
      <c r="A80" t="s">
        <v>216</v>
      </c>
      <c r="B80" t="s">
        <v>217</v>
      </c>
      <c r="C80" t="s">
        <v>217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5.2</v>
      </c>
      <c r="AE80">
        <v>294</v>
      </c>
      <c r="AF80">
        <v>36.564349674865483</v>
      </c>
      <c r="AG80">
        <v>48.353648899817038</v>
      </c>
      <c r="AH80">
        <f>12.7318285398056*1</f>
        <v>12.731828539805599</v>
      </c>
      <c r="AI80">
        <f>0.896995597987168*1</f>
        <v>0.89699559798716799</v>
      </c>
      <c r="AJ80">
        <v>1</v>
      </c>
      <c r="AK80">
        <v>0</v>
      </c>
      <c r="AL80">
        <v>0</v>
      </c>
    </row>
    <row r="81" spans="1:38" hidden="1" x14ac:dyDescent="0.2">
      <c r="A81" t="s">
        <v>218</v>
      </c>
      <c r="B81" t="s">
        <v>219</v>
      </c>
      <c r="C81" t="s">
        <v>219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4.4000000000000004</v>
      </c>
      <c r="AE81">
        <v>301</v>
      </c>
      <c r="AF81">
        <v>40.488272026474867</v>
      </c>
      <c r="AG81">
        <v>36.716820398719413</v>
      </c>
      <c r="AH81">
        <f>20.0579051273183*1</f>
        <v>20.0579051273183</v>
      </c>
      <c r="AI81">
        <f>1.14630116264638*1</f>
        <v>1.1463011626463799</v>
      </c>
      <c r="AJ81">
        <v>1</v>
      </c>
      <c r="AK81">
        <v>0</v>
      </c>
      <c r="AL81">
        <v>0</v>
      </c>
    </row>
    <row r="82" spans="1:38" x14ac:dyDescent="0.2">
      <c r="A82" t="s">
        <v>372</v>
      </c>
      <c r="B82" t="s">
        <v>373</v>
      </c>
      <c r="C82" t="s">
        <v>372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27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4.7</v>
      </c>
      <c r="AE82">
        <v>586</v>
      </c>
      <c r="AF82">
        <v>48.382599775711938</v>
      </c>
      <c r="AG82">
        <v>35.759700440487123</v>
      </c>
      <c r="AH82">
        <f>92.5465751584519*1</f>
        <v>92.546575158451901</v>
      </c>
      <c r="AI82">
        <f>6.70396568477692*1</f>
        <v>6.7039656847769198</v>
      </c>
      <c r="AJ82">
        <v>1</v>
      </c>
      <c r="AK82">
        <v>1</v>
      </c>
      <c r="AL82">
        <v>1</v>
      </c>
    </row>
    <row r="83" spans="1:38" x14ac:dyDescent="0.2">
      <c r="A83" t="s">
        <v>343</v>
      </c>
      <c r="B83" t="s">
        <v>344</v>
      </c>
      <c r="C83" t="s">
        <v>345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26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5.0999999999999996</v>
      </c>
      <c r="AE83">
        <v>548</v>
      </c>
      <c r="AF83">
        <v>59.665741136411128</v>
      </c>
      <c r="AG83">
        <v>27.798549955267131</v>
      </c>
      <c r="AH83">
        <f>82.1040589363684*1</f>
        <v>82.104058936368403</v>
      </c>
      <c r="AI83">
        <f>6.36472860836472*1</f>
        <v>6.3647286083647199</v>
      </c>
      <c r="AJ83">
        <v>1</v>
      </c>
      <c r="AK83">
        <v>1</v>
      </c>
      <c r="AL83">
        <v>1</v>
      </c>
    </row>
    <row r="84" spans="1:38" hidden="1" x14ac:dyDescent="0.2">
      <c r="A84" t="s">
        <v>224</v>
      </c>
      <c r="B84" t="s">
        <v>225</v>
      </c>
      <c r="C84" t="s">
        <v>225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4.5999999999999996</v>
      </c>
      <c r="AE84">
        <v>307</v>
      </c>
      <c r="AF84">
        <v>36.141843971631197</v>
      </c>
      <c r="AG84">
        <v>31.787854361319521</v>
      </c>
      <c r="AH84">
        <f>35.3649878989021*1</f>
        <v>35.3649878989021</v>
      </c>
      <c r="AI84">
        <f>2.47147320340114*1</f>
        <v>2.47147320340114</v>
      </c>
      <c r="AJ84">
        <v>1</v>
      </c>
      <c r="AK84">
        <v>0</v>
      </c>
      <c r="AL84">
        <v>0</v>
      </c>
    </row>
    <row r="85" spans="1:38" hidden="1" x14ac:dyDescent="0.2">
      <c r="A85" t="s">
        <v>226</v>
      </c>
      <c r="B85" t="s">
        <v>227</v>
      </c>
      <c r="C85" t="s">
        <v>227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</v>
      </c>
      <c r="AE85">
        <v>315</v>
      </c>
      <c r="AF85">
        <v>27.35384615384616</v>
      </c>
      <c r="AG85">
        <v>21.166384323839029</v>
      </c>
      <c r="AH85">
        <f>18.5464612661277*1</f>
        <v>18.5464612661277</v>
      </c>
      <c r="AI85">
        <f>1.31440206124958*1</f>
        <v>1.3144020612495799</v>
      </c>
      <c r="AJ85">
        <v>1</v>
      </c>
      <c r="AK85">
        <v>0</v>
      </c>
      <c r="AL85">
        <v>0</v>
      </c>
    </row>
    <row r="86" spans="1:38" hidden="1" x14ac:dyDescent="0.2">
      <c r="A86" t="s">
        <v>228</v>
      </c>
      <c r="B86" t="s">
        <v>229</v>
      </c>
      <c r="C86" t="s">
        <v>229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5.2</v>
      </c>
      <c r="AE86">
        <v>321</v>
      </c>
      <c r="AF86">
        <v>44.999999999999957</v>
      </c>
      <c r="AG86">
        <v>52.29609591881448</v>
      </c>
      <c r="AH86">
        <f>27.7916020994705*1</f>
        <v>27.791602099470499</v>
      </c>
      <c r="AI86">
        <f>1.95643532547587*1</f>
        <v>1.95643532547587</v>
      </c>
      <c r="AJ86">
        <v>1</v>
      </c>
      <c r="AK86">
        <v>0</v>
      </c>
      <c r="AL86">
        <v>0</v>
      </c>
    </row>
    <row r="87" spans="1:38" hidden="1" x14ac:dyDescent="0.2">
      <c r="A87" t="s">
        <v>230</v>
      </c>
      <c r="B87" t="s">
        <v>231</v>
      </c>
      <c r="C87" t="s">
        <v>230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4.7</v>
      </c>
      <c r="AE87">
        <v>323</v>
      </c>
      <c r="AF87">
        <v>24.372759991969819</v>
      </c>
      <c r="AG87">
        <v>43.633734303556587</v>
      </c>
      <c r="AH87">
        <f>17.8397873106211*1</f>
        <v>17.839787310621102</v>
      </c>
      <c r="AI87">
        <f>1.28199826012305*1</f>
        <v>1.28199826012305</v>
      </c>
      <c r="AJ87">
        <v>1</v>
      </c>
      <c r="AK87">
        <v>0</v>
      </c>
      <c r="AL87">
        <v>0</v>
      </c>
    </row>
    <row r="88" spans="1:38" hidden="1" x14ac:dyDescent="0.2">
      <c r="A88" t="s">
        <v>232</v>
      </c>
      <c r="B88" t="s">
        <v>233</v>
      </c>
      <c r="C88" t="s">
        <v>232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</v>
      </c>
      <c r="AE88">
        <v>324</v>
      </c>
      <c r="AF88">
        <v>47.133333333333333</v>
      </c>
      <c r="AG88">
        <v>52.597976609351171</v>
      </c>
      <c r="AH88">
        <f>25.443811533829*1</f>
        <v>25.443811533828999</v>
      </c>
      <c r="AI88">
        <f>1.77650078379074*1</f>
        <v>1.7765007837907401</v>
      </c>
      <c r="AJ88">
        <v>1</v>
      </c>
      <c r="AK88">
        <v>0</v>
      </c>
      <c r="AL88">
        <v>0</v>
      </c>
    </row>
    <row r="89" spans="1:38" hidden="1" x14ac:dyDescent="0.2">
      <c r="A89" t="s">
        <v>234</v>
      </c>
      <c r="B89" t="s">
        <v>235</v>
      </c>
      <c r="C89" t="s">
        <v>235</v>
      </c>
      <c r="D89" t="s">
        <v>4</v>
      </c>
      <c r="E89">
        <v>0</v>
      </c>
      <c r="F89">
        <v>1</v>
      </c>
      <c r="G89">
        <v>0</v>
      </c>
      <c r="H89">
        <v>0</v>
      </c>
      <c r="I89" t="s">
        <v>20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4.5</v>
      </c>
      <c r="AE89">
        <v>325</v>
      </c>
      <c r="AF89">
        <v>31.77219311890185</v>
      </c>
      <c r="AG89">
        <v>28.228594951273649</v>
      </c>
      <c r="AH89">
        <f>19.3727254252264*1</f>
        <v>19.372725425226399</v>
      </c>
      <c r="AI89">
        <f>1.7637968327789*1</f>
        <v>1.7637968327789</v>
      </c>
      <c r="AJ89">
        <v>1</v>
      </c>
      <c r="AK89">
        <v>0</v>
      </c>
      <c r="AL89">
        <v>0</v>
      </c>
    </row>
    <row r="90" spans="1:38" hidden="1" x14ac:dyDescent="0.2">
      <c r="A90" t="s">
        <v>236</v>
      </c>
      <c r="B90" t="s">
        <v>237</v>
      </c>
      <c r="C90" t="s">
        <v>237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4.8</v>
      </c>
      <c r="AE90">
        <v>327</v>
      </c>
      <c r="AF90">
        <v>27.038184876774231</v>
      </c>
      <c r="AG90">
        <v>28.75477039935706</v>
      </c>
      <c r="AH90">
        <f>11.774506347078*1</f>
        <v>11.774506347078001</v>
      </c>
      <c r="AI90">
        <f>0.761759078793961*1</f>
        <v>0.76175907879396099</v>
      </c>
      <c r="AJ90">
        <v>1</v>
      </c>
      <c r="AK90">
        <v>0</v>
      </c>
      <c r="AL90">
        <v>0</v>
      </c>
    </row>
    <row r="91" spans="1:38" hidden="1" x14ac:dyDescent="0.2">
      <c r="A91" t="s">
        <v>238</v>
      </c>
      <c r="B91" t="s">
        <v>239</v>
      </c>
      <c r="C91" t="s">
        <v>239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20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4.4000000000000004</v>
      </c>
      <c r="AE91">
        <v>329</v>
      </c>
      <c r="AF91">
        <v>35.610535997456623</v>
      </c>
      <c r="AG91">
        <v>41.503123859284123</v>
      </c>
      <c r="AH91">
        <f>15.0720666498989*1</f>
        <v>15.0720666498989</v>
      </c>
      <c r="AI91">
        <f>1.10694048097583*1</f>
        <v>1.1069404809758301</v>
      </c>
      <c r="AJ91">
        <v>1</v>
      </c>
      <c r="AK91">
        <v>0</v>
      </c>
      <c r="AL91">
        <v>0</v>
      </c>
    </row>
    <row r="92" spans="1:38" hidden="1" x14ac:dyDescent="0.2">
      <c r="A92" t="s">
        <v>240</v>
      </c>
      <c r="B92" t="s">
        <v>241</v>
      </c>
      <c r="C92" t="s">
        <v>241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5.8</v>
      </c>
      <c r="AE92">
        <v>331</v>
      </c>
      <c r="AF92">
        <v>53.964915717922423</v>
      </c>
      <c r="AG92">
        <v>38.201173098430267</v>
      </c>
      <c r="AH92">
        <f>47.5533457097563*1</f>
        <v>47.5533457097563</v>
      </c>
      <c r="AI92">
        <f>3.49694648364669*1</f>
        <v>3.4969464836466901</v>
      </c>
      <c r="AJ92">
        <v>1</v>
      </c>
      <c r="AK92">
        <v>0</v>
      </c>
      <c r="AL92">
        <v>0</v>
      </c>
    </row>
    <row r="93" spans="1:38" hidden="1" x14ac:dyDescent="0.2">
      <c r="A93" t="s">
        <v>242</v>
      </c>
      <c r="B93" t="s">
        <v>243</v>
      </c>
      <c r="C93" t="s">
        <v>243</v>
      </c>
      <c r="D93" t="s">
        <v>3</v>
      </c>
      <c r="E93">
        <v>1</v>
      </c>
      <c r="F93">
        <v>0</v>
      </c>
      <c r="G93">
        <v>0</v>
      </c>
      <c r="H93">
        <v>0</v>
      </c>
      <c r="I93" t="s">
        <v>20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</v>
      </c>
      <c r="AE93">
        <v>332</v>
      </c>
      <c r="AF93">
        <v>49.804764359131603</v>
      </c>
      <c r="AG93">
        <v>48.304277151374819</v>
      </c>
      <c r="AH93">
        <f>26.5393190392094*1</f>
        <v>26.539319039209399</v>
      </c>
      <c r="AI93">
        <f>1.90626913780227*1</f>
        <v>1.90626913780227</v>
      </c>
      <c r="AJ93">
        <v>1</v>
      </c>
      <c r="AK93">
        <v>0</v>
      </c>
      <c r="AL93">
        <v>0</v>
      </c>
    </row>
    <row r="94" spans="1:38" hidden="1" x14ac:dyDescent="0.2">
      <c r="A94" t="s">
        <v>244</v>
      </c>
      <c r="B94" t="s">
        <v>245</v>
      </c>
      <c r="C94" t="s">
        <v>245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4.8</v>
      </c>
      <c r="AE94">
        <v>333</v>
      </c>
      <c r="AF94">
        <v>0</v>
      </c>
      <c r="AG94">
        <v>0</v>
      </c>
      <c r="AH94">
        <f>0*1</f>
        <v>0</v>
      </c>
      <c r="AI94">
        <f>0*1</f>
        <v>0</v>
      </c>
      <c r="AJ94">
        <v>1</v>
      </c>
      <c r="AK94">
        <v>0</v>
      </c>
      <c r="AL94">
        <v>0</v>
      </c>
    </row>
    <row r="95" spans="1:38" hidden="1" x14ac:dyDescent="0.2">
      <c r="A95" t="s">
        <v>246</v>
      </c>
      <c r="B95" t="s">
        <v>247</v>
      </c>
      <c r="C95" t="s">
        <v>248</v>
      </c>
      <c r="D95" t="s">
        <v>6</v>
      </c>
      <c r="E95">
        <v>0</v>
      </c>
      <c r="F95">
        <v>0</v>
      </c>
      <c r="G95">
        <v>0</v>
      </c>
      <c r="H95">
        <v>1</v>
      </c>
      <c r="I95" t="s">
        <v>20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5.5</v>
      </c>
      <c r="AE95">
        <v>335</v>
      </c>
      <c r="AF95">
        <v>45.875770328579712</v>
      </c>
      <c r="AG95">
        <v>51.918529084202412</v>
      </c>
      <c r="AH95">
        <f>13.4566228078548*1</f>
        <v>13.456622807854799</v>
      </c>
      <c r="AI95">
        <f>0.895557457948414*1</f>
        <v>0.89555745794841402</v>
      </c>
      <c r="AJ95">
        <v>1</v>
      </c>
      <c r="AK95">
        <v>0</v>
      </c>
      <c r="AL95">
        <v>0</v>
      </c>
    </row>
    <row r="96" spans="1:38" hidden="1" x14ac:dyDescent="0.2">
      <c r="A96" t="s">
        <v>249</v>
      </c>
      <c r="B96" t="s">
        <v>250</v>
      </c>
      <c r="C96" t="s">
        <v>249</v>
      </c>
      <c r="D96" t="s">
        <v>6</v>
      </c>
      <c r="E96">
        <v>0</v>
      </c>
      <c r="F96">
        <v>0</v>
      </c>
      <c r="G96">
        <v>0</v>
      </c>
      <c r="H96">
        <v>1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5.6</v>
      </c>
      <c r="AE96">
        <v>336</v>
      </c>
      <c r="AF96">
        <v>57.950792084969443</v>
      </c>
      <c r="AG96">
        <v>58.022747682435153</v>
      </c>
      <c r="AH96">
        <f>41.2620550868139*1</f>
        <v>41.262055086813902</v>
      </c>
      <c r="AI96">
        <f>3.38355785134774*1</f>
        <v>3.38355785134774</v>
      </c>
      <c r="AJ96">
        <v>1</v>
      </c>
      <c r="AK96">
        <v>0</v>
      </c>
      <c r="AL96">
        <v>0</v>
      </c>
    </row>
    <row r="97" spans="1:38" hidden="1" x14ac:dyDescent="0.2">
      <c r="A97" t="s">
        <v>251</v>
      </c>
      <c r="B97" t="s">
        <v>252</v>
      </c>
      <c r="C97" t="s">
        <v>252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5.0999999999999996</v>
      </c>
      <c r="AE97">
        <v>339</v>
      </c>
      <c r="AF97">
        <v>46.298743545105253</v>
      </c>
      <c r="AG97">
        <v>30.651404372444642</v>
      </c>
      <c r="AH97">
        <f>46.9951343908787*1</f>
        <v>46.995134390878697</v>
      </c>
      <c r="AI97">
        <f>3.20071663382832*1</f>
        <v>3.2007166338283199</v>
      </c>
      <c r="AJ97">
        <v>1</v>
      </c>
      <c r="AK97">
        <v>0</v>
      </c>
      <c r="AL97">
        <v>0</v>
      </c>
    </row>
    <row r="98" spans="1:38" hidden="1" x14ac:dyDescent="0.2">
      <c r="A98" t="s">
        <v>253</v>
      </c>
      <c r="B98" t="s">
        <v>254</v>
      </c>
      <c r="C98" t="s">
        <v>254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5.2</v>
      </c>
      <c r="AE98">
        <v>343</v>
      </c>
      <c r="AF98">
        <v>38.750000000000007</v>
      </c>
      <c r="AG98">
        <v>30.538065376704491</v>
      </c>
      <c r="AH98">
        <f>37.0577306177497*1</f>
        <v>37.057730617749698</v>
      </c>
      <c r="AI98">
        <f>2.59235308506243*1</f>
        <v>2.5923530850624301</v>
      </c>
      <c r="AJ98">
        <v>1</v>
      </c>
      <c r="AK98">
        <v>0</v>
      </c>
      <c r="AL98">
        <v>0</v>
      </c>
    </row>
    <row r="99" spans="1:38" hidden="1" x14ac:dyDescent="0.2">
      <c r="A99" t="s">
        <v>255</v>
      </c>
      <c r="B99" t="s">
        <v>256</v>
      </c>
      <c r="C99" t="s">
        <v>256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</v>
      </c>
      <c r="AE99">
        <v>348</v>
      </c>
      <c r="AF99">
        <v>29.901234567901241</v>
      </c>
      <c r="AG99">
        <v>32.997391489814582</v>
      </c>
      <c r="AH99">
        <f>16.0470190322477*1</f>
        <v>16.0470190322477</v>
      </c>
      <c r="AI99">
        <f>1.13917480551545*1</f>
        <v>1.13917480551545</v>
      </c>
      <c r="AJ99">
        <v>1</v>
      </c>
      <c r="AK99">
        <v>0</v>
      </c>
      <c r="AL99">
        <v>0</v>
      </c>
    </row>
    <row r="100" spans="1:38" hidden="1" x14ac:dyDescent="0.2">
      <c r="A100" t="s">
        <v>257</v>
      </c>
      <c r="B100" t="s">
        <v>258</v>
      </c>
      <c r="C100" t="s">
        <v>258</v>
      </c>
      <c r="D100" t="s">
        <v>3</v>
      </c>
      <c r="E100">
        <v>1</v>
      </c>
      <c r="F100">
        <v>0</v>
      </c>
      <c r="G100">
        <v>0</v>
      </c>
      <c r="H100">
        <v>0</v>
      </c>
      <c r="I100" t="s">
        <v>21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4.4000000000000004</v>
      </c>
      <c r="AE100">
        <v>379</v>
      </c>
      <c r="AF100">
        <v>0</v>
      </c>
      <c r="AG100">
        <v>0</v>
      </c>
      <c r="AH100">
        <f>0*1</f>
        <v>0</v>
      </c>
      <c r="AI100">
        <f>0*1</f>
        <v>0</v>
      </c>
      <c r="AJ100">
        <v>1</v>
      </c>
      <c r="AK100">
        <v>0</v>
      </c>
      <c r="AL100">
        <v>0</v>
      </c>
    </row>
    <row r="101" spans="1:38" hidden="1" x14ac:dyDescent="0.2">
      <c r="A101" t="s">
        <v>259</v>
      </c>
      <c r="B101" t="s">
        <v>260</v>
      </c>
      <c r="C101" t="s">
        <v>260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</v>
      </c>
      <c r="AE101">
        <v>384</v>
      </c>
      <c r="AF101">
        <v>22.92499999999999</v>
      </c>
      <c r="AG101">
        <v>24.08226039678312</v>
      </c>
      <c r="AH101">
        <f>14.0723186004479*1</f>
        <v>14.0723186004479</v>
      </c>
      <c r="AI101">
        <f>0.978608222292691*1</f>
        <v>0.97860822229269095</v>
      </c>
      <c r="AJ101">
        <v>1</v>
      </c>
      <c r="AK101">
        <v>0</v>
      </c>
      <c r="AL101">
        <v>0</v>
      </c>
    </row>
    <row r="102" spans="1:38" hidden="1" x14ac:dyDescent="0.2">
      <c r="A102" t="s">
        <v>261</v>
      </c>
      <c r="B102" t="s">
        <v>262</v>
      </c>
      <c r="C102" t="s">
        <v>262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4.7</v>
      </c>
      <c r="AE102">
        <v>390</v>
      </c>
      <c r="AF102">
        <v>34.249999999999993</v>
      </c>
      <c r="AG102">
        <v>43.708081706539787</v>
      </c>
      <c r="AH102">
        <f>26.2690113145766*1</f>
        <v>26.269011314576598</v>
      </c>
      <c r="AI102">
        <f>1.88512616905911*1</f>
        <v>1.8851261690591099</v>
      </c>
      <c r="AJ102">
        <v>1</v>
      </c>
      <c r="AK102">
        <v>0</v>
      </c>
      <c r="AL102">
        <v>0</v>
      </c>
    </row>
    <row r="103" spans="1:38" hidden="1" x14ac:dyDescent="0.2">
      <c r="A103" t="s">
        <v>220</v>
      </c>
      <c r="B103" t="s">
        <v>263</v>
      </c>
      <c r="C103" t="s">
        <v>264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5.2</v>
      </c>
      <c r="AE103">
        <v>391</v>
      </c>
      <c r="AF103">
        <v>38.799999999999983</v>
      </c>
      <c r="AG103">
        <v>37.520775109694362</v>
      </c>
      <c r="AH103">
        <f>22.7881004194271*1</f>
        <v>22.788100419427099</v>
      </c>
      <c r="AI103">
        <f>1.5715711983515*1</f>
        <v>1.5715711983514999</v>
      </c>
      <c r="AJ103">
        <v>1</v>
      </c>
      <c r="AK103">
        <v>0</v>
      </c>
      <c r="AL103">
        <v>0</v>
      </c>
    </row>
    <row r="104" spans="1:38" hidden="1" x14ac:dyDescent="0.2">
      <c r="A104" t="s">
        <v>265</v>
      </c>
      <c r="B104" t="s">
        <v>266</v>
      </c>
      <c r="C104" t="s">
        <v>267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4.4000000000000004</v>
      </c>
      <c r="AE104">
        <v>393</v>
      </c>
      <c r="AF104">
        <v>22.522452033898698</v>
      </c>
      <c r="AG104">
        <v>23.762124170364331</v>
      </c>
      <c r="AH104">
        <f>9.70582186358907*1</f>
        <v>9.7058218635890707</v>
      </c>
      <c r="AI104">
        <f>0.682029283593512*1</f>
        <v>0.682029283593512</v>
      </c>
      <c r="AJ104">
        <v>1</v>
      </c>
      <c r="AK104">
        <v>0</v>
      </c>
      <c r="AL104">
        <v>0</v>
      </c>
    </row>
    <row r="105" spans="1:38" hidden="1" x14ac:dyDescent="0.2">
      <c r="A105" t="s">
        <v>268</v>
      </c>
      <c r="B105" t="s">
        <v>269</v>
      </c>
      <c r="C105" t="s">
        <v>269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4.5</v>
      </c>
      <c r="AE105">
        <v>404</v>
      </c>
      <c r="AF105">
        <v>0</v>
      </c>
      <c r="AG105">
        <v>0</v>
      </c>
      <c r="AH105">
        <f>0*1</f>
        <v>0</v>
      </c>
      <c r="AI105">
        <f>0*1</f>
        <v>0</v>
      </c>
      <c r="AJ105">
        <v>1</v>
      </c>
      <c r="AK105">
        <v>0</v>
      </c>
      <c r="AL105">
        <v>0</v>
      </c>
    </row>
    <row r="106" spans="1:38" hidden="1" x14ac:dyDescent="0.2">
      <c r="A106" t="s">
        <v>270</v>
      </c>
      <c r="B106" t="s">
        <v>271</v>
      </c>
      <c r="C106" t="s">
        <v>271</v>
      </c>
      <c r="D106" t="s">
        <v>6</v>
      </c>
      <c r="E106">
        <v>0</v>
      </c>
      <c r="F106">
        <v>0</v>
      </c>
      <c r="G106">
        <v>0</v>
      </c>
      <c r="H106">
        <v>1</v>
      </c>
      <c r="I106" t="s">
        <v>22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5.4</v>
      </c>
      <c r="AE106">
        <v>414</v>
      </c>
      <c r="AF106">
        <v>50.454772292928944</v>
      </c>
      <c r="AG106">
        <v>65.524327031333883</v>
      </c>
      <c r="AH106">
        <f>23.0192508000944*1</f>
        <v>23.019250800094401</v>
      </c>
      <c r="AI106">
        <f>1.47306659628836*1</f>
        <v>1.47306659628836</v>
      </c>
      <c r="AJ106">
        <v>1</v>
      </c>
      <c r="AK106">
        <v>0</v>
      </c>
      <c r="AL106">
        <v>0</v>
      </c>
    </row>
    <row r="107" spans="1:38" hidden="1" x14ac:dyDescent="0.2">
      <c r="A107" t="s">
        <v>253</v>
      </c>
      <c r="B107" t="s">
        <v>272</v>
      </c>
      <c r="C107" t="s">
        <v>272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4.4000000000000004</v>
      </c>
      <c r="AE107">
        <v>417</v>
      </c>
      <c r="AF107">
        <v>24.562610990990361</v>
      </c>
      <c r="AG107">
        <v>23.738238932342568</v>
      </c>
      <c r="AH107">
        <f>18.0583904549686*1</f>
        <v>18.058390454968599</v>
      </c>
      <c r="AI107">
        <f>1.23084961943706*1</f>
        <v>1.2308496194370599</v>
      </c>
      <c r="AJ107">
        <v>1</v>
      </c>
      <c r="AK107">
        <v>0</v>
      </c>
      <c r="AL107">
        <v>0</v>
      </c>
    </row>
    <row r="108" spans="1:38" hidden="1" x14ac:dyDescent="0.2">
      <c r="A108" t="s">
        <v>273</v>
      </c>
      <c r="B108" t="s">
        <v>274</v>
      </c>
      <c r="C108" t="s">
        <v>274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7.4</v>
      </c>
      <c r="AE108">
        <v>428</v>
      </c>
      <c r="AF108">
        <v>71.074424965960347</v>
      </c>
      <c r="AG108">
        <v>80.251810947166362</v>
      </c>
      <c r="AH108">
        <f>40.788380323364*1</f>
        <v>40.788380323364002</v>
      </c>
      <c r="AI108">
        <f>5.26552867023021*1</f>
        <v>5.2655286702302098</v>
      </c>
      <c r="AJ108">
        <v>1</v>
      </c>
      <c r="AK108">
        <v>0</v>
      </c>
      <c r="AL108">
        <v>0</v>
      </c>
    </row>
    <row r="109" spans="1:38" hidden="1" x14ac:dyDescent="0.2">
      <c r="A109" t="s">
        <v>275</v>
      </c>
      <c r="B109" t="s">
        <v>276</v>
      </c>
      <c r="C109" t="s">
        <v>275</v>
      </c>
      <c r="D109" t="s">
        <v>6</v>
      </c>
      <c r="E109">
        <v>0</v>
      </c>
      <c r="F109">
        <v>0</v>
      </c>
      <c r="G109">
        <v>0</v>
      </c>
      <c r="H109">
        <v>1</v>
      </c>
      <c r="I109" t="s">
        <v>23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7</v>
      </c>
      <c r="AE109">
        <v>432</v>
      </c>
      <c r="AF109">
        <v>48.124999999999993</v>
      </c>
      <c r="AG109">
        <v>60.564566685051361</v>
      </c>
      <c r="AH109">
        <f>20.7756874332553*1</f>
        <v>20.7756874332553</v>
      </c>
      <c r="AI109">
        <f>2.77466448435842*1</f>
        <v>2.7746644843584201</v>
      </c>
      <c r="AJ109">
        <v>1</v>
      </c>
      <c r="AK109">
        <v>0</v>
      </c>
      <c r="AL109">
        <v>0</v>
      </c>
    </row>
    <row r="110" spans="1:38" hidden="1" x14ac:dyDescent="0.2">
      <c r="A110" t="s">
        <v>277</v>
      </c>
      <c r="B110" t="s">
        <v>278</v>
      </c>
      <c r="C110" t="s">
        <v>278</v>
      </c>
      <c r="D110" t="s">
        <v>6</v>
      </c>
      <c r="E110">
        <v>0</v>
      </c>
      <c r="F110">
        <v>0</v>
      </c>
      <c r="G110">
        <v>0</v>
      </c>
      <c r="H110">
        <v>1</v>
      </c>
      <c r="I110" t="s">
        <v>23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7.6</v>
      </c>
      <c r="AE110">
        <v>437</v>
      </c>
      <c r="AF110">
        <v>49.0093013741836</v>
      </c>
      <c r="AG110">
        <v>37.820010017104678</v>
      </c>
      <c r="AH110">
        <f>36.9542405684466*1</f>
        <v>36.9542405684466</v>
      </c>
      <c r="AI110">
        <f>5.36594992794649*1</f>
        <v>5.36594992794649</v>
      </c>
      <c r="AJ110">
        <v>1</v>
      </c>
      <c r="AK110">
        <v>0</v>
      </c>
      <c r="AL110">
        <v>0</v>
      </c>
    </row>
    <row r="111" spans="1:38" hidden="1" x14ac:dyDescent="0.2">
      <c r="A111" t="s">
        <v>92</v>
      </c>
      <c r="B111" t="s">
        <v>279</v>
      </c>
      <c r="C111" t="s">
        <v>279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</v>
      </c>
      <c r="AE111">
        <v>439</v>
      </c>
      <c r="AF111">
        <v>0</v>
      </c>
      <c r="AG111">
        <v>0</v>
      </c>
      <c r="AH111">
        <f>0*1</f>
        <v>0</v>
      </c>
      <c r="AI111">
        <f>0*1</f>
        <v>0</v>
      </c>
      <c r="AJ111">
        <v>1</v>
      </c>
      <c r="AK111">
        <v>0</v>
      </c>
      <c r="AL111">
        <v>0</v>
      </c>
    </row>
    <row r="112" spans="1:38" hidden="1" x14ac:dyDescent="0.2">
      <c r="A112" t="s">
        <v>280</v>
      </c>
      <c r="B112" t="s">
        <v>281</v>
      </c>
      <c r="C112" t="s">
        <v>281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5.3</v>
      </c>
      <c r="AE112">
        <v>440</v>
      </c>
      <c r="AF112">
        <v>32.529411764705877</v>
      </c>
      <c r="AG112">
        <v>27.42149993886963</v>
      </c>
      <c r="AH112">
        <f>23.0419149750818*1</f>
        <v>23.041914975081799</v>
      </c>
      <c r="AI112">
        <f>3.23451431442155*1</f>
        <v>3.23451431442155</v>
      </c>
      <c r="AJ112">
        <v>1</v>
      </c>
      <c r="AK112">
        <v>0</v>
      </c>
      <c r="AL112">
        <v>0</v>
      </c>
    </row>
    <row r="113" spans="1:38" hidden="1" x14ac:dyDescent="0.2">
      <c r="A113" t="s">
        <v>282</v>
      </c>
      <c r="B113" t="s">
        <v>283</v>
      </c>
      <c r="C113" t="s">
        <v>283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5.2</v>
      </c>
      <c r="AE113">
        <v>442</v>
      </c>
      <c r="AF113">
        <v>42.212121212121218</v>
      </c>
      <c r="AG113">
        <v>39.47245741984473</v>
      </c>
      <c r="AH113">
        <f>30.3740260160869*1</f>
        <v>30.374026016086901</v>
      </c>
      <c r="AI113">
        <f>4.43714485327734*1</f>
        <v>4.4371448532773403</v>
      </c>
      <c r="AJ113">
        <v>1</v>
      </c>
      <c r="AK113">
        <v>0</v>
      </c>
      <c r="AL113">
        <v>0</v>
      </c>
    </row>
    <row r="114" spans="1:38" hidden="1" x14ac:dyDescent="0.2">
      <c r="A114" t="s">
        <v>284</v>
      </c>
      <c r="B114" t="s">
        <v>285</v>
      </c>
      <c r="C114" t="s">
        <v>286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7.5</v>
      </c>
      <c r="AE114">
        <v>443</v>
      </c>
      <c r="AF114">
        <v>55.493975903614448</v>
      </c>
      <c r="AG114">
        <v>71.508203307720947</v>
      </c>
      <c r="AH114">
        <f>59.6973649428824*1</f>
        <v>59.697364942882402</v>
      </c>
      <c r="AI114">
        <f>8.21926287568828*1</f>
        <v>8.2192628756882797</v>
      </c>
      <c r="AJ114">
        <v>1</v>
      </c>
      <c r="AK114">
        <v>0</v>
      </c>
      <c r="AL114">
        <v>0</v>
      </c>
    </row>
    <row r="115" spans="1:38" x14ac:dyDescent="0.2">
      <c r="A115" t="s">
        <v>126</v>
      </c>
      <c r="B115" t="s">
        <v>127</v>
      </c>
      <c r="C115" t="s">
        <v>127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15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7.9</v>
      </c>
      <c r="AE115">
        <v>132</v>
      </c>
      <c r="AF115">
        <v>77.94344828029746</v>
      </c>
      <c r="AG115">
        <v>60.913793408377018</v>
      </c>
      <c r="AH115">
        <f>85.4489217167174*1</f>
        <v>85.448921716717393</v>
      </c>
      <c r="AI115">
        <f>6.25220526891641*1</f>
        <v>6.25220526891641</v>
      </c>
      <c r="AJ115">
        <v>1</v>
      </c>
      <c r="AK115">
        <v>1</v>
      </c>
      <c r="AL115">
        <v>1</v>
      </c>
    </row>
    <row r="116" spans="1:38" hidden="1" x14ac:dyDescent="0.2">
      <c r="A116" t="s">
        <v>290</v>
      </c>
      <c r="B116" t="s">
        <v>291</v>
      </c>
      <c r="C116" t="s">
        <v>291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6.2</v>
      </c>
      <c r="AE116">
        <v>445</v>
      </c>
      <c r="AF116">
        <v>43.403928269326187</v>
      </c>
      <c r="AG116">
        <v>48.355105202668817</v>
      </c>
      <c r="AH116">
        <f>36.0949099122057*1</f>
        <v>36.094909912205701</v>
      </c>
      <c r="AI116">
        <f>5.61985161787238*1</f>
        <v>5.6198516178723796</v>
      </c>
      <c r="AJ116">
        <v>1</v>
      </c>
      <c r="AK116">
        <v>0</v>
      </c>
      <c r="AL116">
        <v>0</v>
      </c>
    </row>
    <row r="117" spans="1:38" hidden="1" x14ac:dyDescent="0.2">
      <c r="A117" t="s">
        <v>292</v>
      </c>
      <c r="B117" t="s">
        <v>293</v>
      </c>
      <c r="C117" t="s">
        <v>293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5.9</v>
      </c>
      <c r="AE117">
        <v>451</v>
      </c>
      <c r="AF117">
        <v>36.245404182583123</v>
      </c>
      <c r="AG117">
        <v>63.853906696637083</v>
      </c>
      <c r="AH117">
        <f>17.8421392286955*1</f>
        <v>17.842139228695501</v>
      </c>
      <c r="AI117">
        <f>2.32315852171774*1</f>
        <v>2.32315852171774</v>
      </c>
      <c r="AJ117">
        <v>1</v>
      </c>
      <c r="AK117">
        <v>0</v>
      </c>
      <c r="AL117">
        <v>0</v>
      </c>
    </row>
    <row r="118" spans="1:38" hidden="1" x14ac:dyDescent="0.2">
      <c r="A118" t="s">
        <v>294</v>
      </c>
      <c r="B118" t="s">
        <v>295</v>
      </c>
      <c r="C118" t="s">
        <v>295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6.3</v>
      </c>
      <c r="AE118">
        <v>452</v>
      </c>
      <c r="AF118">
        <v>48.013977318099371</v>
      </c>
      <c r="AG118">
        <v>33.789242113064141</v>
      </c>
      <c r="AH118">
        <f>25.0506601952111*1</f>
        <v>25.050660195211101</v>
      </c>
      <c r="AI118">
        <f>2.56886004094123*1</f>
        <v>2.5688600409412299</v>
      </c>
      <c r="AJ118">
        <v>1</v>
      </c>
      <c r="AK118">
        <v>0</v>
      </c>
      <c r="AL118">
        <v>0</v>
      </c>
    </row>
    <row r="119" spans="1:38" hidden="1" x14ac:dyDescent="0.2">
      <c r="A119" t="s">
        <v>296</v>
      </c>
      <c r="B119" t="s">
        <v>297</v>
      </c>
      <c r="C119" t="s">
        <v>296</v>
      </c>
      <c r="D119" t="s">
        <v>4</v>
      </c>
      <c r="E119">
        <v>0</v>
      </c>
      <c r="F119">
        <v>1</v>
      </c>
      <c r="G119">
        <v>0</v>
      </c>
      <c r="H119">
        <v>0</v>
      </c>
      <c r="I119" t="s">
        <v>23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6.4</v>
      </c>
      <c r="AE119">
        <v>454</v>
      </c>
      <c r="AF119">
        <v>51.11056952938894</v>
      </c>
      <c r="AG119">
        <v>66.591375213741657</v>
      </c>
      <c r="AH119">
        <f>27.1161403169005*1</f>
        <v>27.116140316900498</v>
      </c>
      <c r="AI119">
        <f>3.52318644229261*1</f>
        <v>3.52318644229261</v>
      </c>
      <c r="AJ119">
        <v>1</v>
      </c>
      <c r="AK119">
        <v>0</v>
      </c>
      <c r="AL119">
        <v>0</v>
      </c>
    </row>
    <row r="120" spans="1:38" hidden="1" x14ac:dyDescent="0.2">
      <c r="A120" t="s">
        <v>298</v>
      </c>
      <c r="B120" t="s">
        <v>299</v>
      </c>
      <c r="C120" t="s">
        <v>299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5.3</v>
      </c>
      <c r="AE120">
        <v>462</v>
      </c>
      <c r="AF120">
        <v>42.713990089310997</v>
      </c>
      <c r="AG120">
        <v>48.07078472033615</v>
      </c>
      <c r="AH120">
        <f>22.3979784770702*1</f>
        <v>22.3979784770702</v>
      </c>
      <c r="AI120">
        <f>1.44315672612733*1</f>
        <v>1.4431567261273299</v>
      </c>
      <c r="AJ120">
        <v>1</v>
      </c>
      <c r="AK120">
        <v>0</v>
      </c>
      <c r="AL120">
        <v>0</v>
      </c>
    </row>
    <row r="121" spans="1:38" hidden="1" x14ac:dyDescent="0.2">
      <c r="A121" t="s">
        <v>300</v>
      </c>
      <c r="B121" t="s">
        <v>301</v>
      </c>
      <c r="C121" t="s">
        <v>300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6.2</v>
      </c>
      <c r="AE121">
        <v>464</v>
      </c>
      <c r="AF121">
        <v>49.905882352941163</v>
      </c>
      <c r="AG121">
        <v>60.626526287543633</v>
      </c>
      <c r="AH121">
        <f>21.273248971183*1</f>
        <v>21.273248971183001</v>
      </c>
      <c r="AI121">
        <f>1.39053388752938*1</f>
        <v>1.39053388752938</v>
      </c>
      <c r="AJ121">
        <v>1</v>
      </c>
      <c r="AK121">
        <v>0</v>
      </c>
      <c r="AL121">
        <v>0</v>
      </c>
    </row>
    <row r="122" spans="1:38" hidden="1" x14ac:dyDescent="0.2">
      <c r="A122" t="s">
        <v>133</v>
      </c>
      <c r="B122" t="s">
        <v>302</v>
      </c>
      <c r="C122" t="s">
        <v>302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9.4</v>
      </c>
      <c r="AE122">
        <v>467</v>
      </c>
      <c r="AF122">
        <v>80.036144578313355</v>
      </c>
      <c r="AG122">
        <v>87.335692565412842</v>
      </c>
      <c r="AH122">
        <f>39.4121298863308*1</f>
        <v>39.412129886330803</v>
      </c>
      <c r="AI122">
        <f>2.67677680538479*1</f>
        <v>2.6767768053847898</v>
      </c>
      <c r="AJ122">
        <v>1</v>
      </c>
      <c r="AK122">
        <v>0</v>
      </c>
      <c r="AL122">
        <v>0</v>
      </c>
    </row>
    <row r="123" spans="1:38" hidden="1" x14ac:dyDescent="0.2">
      <c r="A123" t="s">
        <v>303</v>
      </c>
      <c r="B123" t="s">
        <v>304</v>
      </c>
      <c r="C123" t="s">
        <v>304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9.3000000000000007</v>
      </c>
      <c r="AE123">
        <v>470</v>
      </c>
      <c r="AF123">
        <v>86.451039308736384</v>
      </c>
      <c r="AG123">
        <v>57.80186557471761</v>
      </c>
      <c r="AH123">
        <f>54.9581045558219*1</f>
        <v>54.958104555821897</v>
      </c>
      <c r="AI123">
        <f>3.56719860761699*1</f>
        <v>3.5671986076169899</v>
      </c>
      <c r="AJ123">
        <v>1</v>
      </c>
      <c r="AK123">
        <v>0</v>
      </c>
      <c r="AL123">
        <v>0</v>
      </c>
    </row>
    <row r="124" spans="1:38" hidden="1" x14ac:dyDescent="0.2">
      <c r="A124" t="s">
        <v>305</v>
      </c>
      <c r="B124" t="s">
        <v>306</v>
      </c>
      <c r="C124" t="s">
        <v>306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5.9</v>
      </c>
      <c r="AE124">
        <v>472</v>
      </c>
      <c r="AF124">
        <v>53.480000000000011</v>
      </c>
      <c r="AG124">
        <v>56.003339289559797</v>
      </c>
      <c r="AH124">
        <f>42.9767472716728*1</f>
        <v>42.976747271672799</v>
      </c>
      <c r="AI124">
        <f>2.81108136354384*1</f>
        <v>2.8110813635438401</v>
      </c>
      <c r="AJ124">
        <v>1</v>
      </c>
      <c r="AK124">
        <v>0</v>
      </c>
      <c r="AL124">
        <v>0</v>
      </c>
    </row>
    <row r="125" spans="1:38" hidden="1" x14ac:dyDescent="0.2">
      <c r="A125" t="s">
        <v>307</v>
      </c>
      <c r="B125" t="s">
        <v>308</v>
      </c>
      <c r="C125" t="s">
        <v>308</v>
      </c>
      <c r="D125" t="s">
        <v>6</v>
      </c>
      <c r="E125">
        <v>0</v>
      </c>
      <c r="F125">
        <v>0</v>
      </c>
      <c r="G125">
        <v>0</v>
      </c>
      <c r="H125">
        <v>1</v>
      </c>
      <c r="I125" t="s">
        <v>24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14.7</v>
      </c>
      <c r="AE125">
        <v>473</v>
      </c>
      <c r="AF125">
        <v>103.1666666666667</v>
      </c>
      <c r="AG125">
        <v>144.21570170692331</v>
      </c>
      <c r="AH125">
        <f>51.9948294386862*1</f>
        <v>51.994829438686203</v>
      </c>
      <c r="AI125">
        <f>3.07298218265524*1</f>
        <v>3.0729821826552399</v>
      </c>
      <c r="AJ125">
        <v>1</v>
      </c>
      <c r="AK125">
        <v>0</v>
      </c>
      <c r="AL125">
        <v>0</v>
      </c>
    </row>
    <row r="126" spans="1:38" hidden="1" x14ac:dyDescent="0.2">
      <c r="A126" t="s">
        <v>309</v>
      </c>
      <c r="B126" t="s">
        <v>310</v>
      </c>
      <c r="C126" t="s">
        <v>310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5.4</v>
      </c>
      <c r="AE126">
        <v>476</v>
      </c>
      <c r="AF126">
        <v>37.142857142857153</v>
      </c>
      <c r="AG126">
        <v>32.877676958455069</v>
      </c>
      <c r="AH126">
        <f>48.1089229858194*1</f>
        <v>48.108922985819397</v>
      </c>
      <c r="AI126">
        <f>3.43689604033213*1</f>
        <v>3.43689604033213</v>
      </c>
      <c r="AJ126">
        <v>1</v>
      </c>
      <c r="AK126">
        <v>0</v>
      </c>
      <c r="AL126">
        <v>0</v>
      </c>
    </row>
    <row r="127" spans="1:38" hidden="1" x14ac:dyDescent="0.2">
      <c r="A127" t="s">
        <v>311</v>
      </c>
      <c r="B127" t="s">
        <v>94</v>
      </c>
      <c r="C127" t="s">
        <v>94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4.4000000000000004</v>
      </c>
      <c r="AE127">
        <v>477</v>
      </c>
      <c r="AF127">
        <v>0</v>
      </c>
      <c r="AG127">
        <v>0</v>
      </c>
      <c r="AH127">
        <f>0*1</f>
        <v>0</v>
      </c>
      <c r="AI127">
        <f>0*1</f>
        <v>0</v>
      </c>
      <c r="AJ127">
        <v>1</v>
      </c>
      <c r="AK127">
        <v>0</v>
      </c>
      <c r="AL127">
        <v>0</v>
      </c>
    </row>
    <row r="128" spans="1:38" hidden="1" x14ac:dyDescent="0.2">
      <c r="A128" t="s">
        <v>312</v>
      </c>
      <c r="B128" t="s">
        <v>313</v>
      </c>
      <c r="C128" t="s">
        <v>313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6.4</v>
      </c>
      <c r="AE128">
        <v>487</v>
      </c>
      <c r="AF128">
        <v>49.329944088298873</v>
      </c>
      <c r="AG128">
        <v>63.300171072725682</v>
      </c>
      <c r="AH128">
        <f>22.6303467785487*1</f>
        <v>22.630346778548699</v>
      </c>
      <c r="AI128">
        <f>1.39356367146425*1</f>
        <v>1.3935636714642501</v>
      </c>
      <c r="AJ128">
        <v>1</v>
      </c>
      <c r="AK128">
        <v>0</v>
      </c>
      <c r="AL128">
        <v>0</v>
      </c>
    </row>
    <row r="129" spans="1:38" hidden="1" x14ac:dyDescent="0.2">
      <c r="A129" t="s">
        <v>314</v>
      </c>
      <c r="B129" t="s">
        <v>315</v>
      </c>
      <c r="C129" t="s">
        <v>314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5.6</v>
      </c>
      <c r="AE129">
        <v>500</v>
      </c>
      <c r="AF129">
        <v>0</v>
      </c>
      <c r="AG129">
        <v>0</v>
      </c>
      <c r="AH129">
        <f>0*1</f>
        <v>0</v>
      </c>
      <c r="AI129">
        <f>0*1</f>
        <v>0</v>
      </c>
      <c r="AJ129">
        <v>1</v>
      </c>
      <c r="AK129">
        <v>0</v>
      </c>
      <c r="AL129">
        <v>0</v>
      </c>
    </row>
    <row r="130" spans="1:38" hidden="1" x14ac:dyDescent="0.2">
      <c r="A130" t="s">
        <v>316</v>
      </c>
      <c r="B130" t="s">
        <v>317</v>
      </c>
      <c r="C130" t="s">
        <v>318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8.3000000000000007</v>
      </c>
      <c r="AE130">
        <v>502</v>
      </c>
      <c r="AF130">
        <v>63.933333333333309</v>
      </c>
      <c r="AG130">
        <v>61.572193498432434</v>
      </c>
      <c r="AH130">
        <f>48.2954725349579*1</f>
        <v>48.295472534957902</v>
      </c>
      <c r="AI130">
        <f>3.46581483310595*1</f>
        <v>3.46581483310595</v>
      </c>
      <c r="AJ130">
        <v>1</v>
      </c>
      <c r="AK130">
        <v>0</v>
      </c>
      <c r="AL130">
        <v>0</v>
      </c>
    </row>
    <row r="131" spans="1:38" hidden="1" x14ac:dyDescent="0.2">
      <c r="A131" t="s">
        <v>319</v>
      </c>
      <c r="B131" t="s">
        <v>320</v>
      </c>
      <c r="C131" t="s">
        <v>321</v>
      </c>
      <c r="D131" t="s">
        <v>4</v>
      </c>
      <c r="E131">
        <v>0</v>
      </c>
      <c r="F131">
        <v>1</v>
      </c>
      <c r="G131">
        <v>0</v>
      </c>
      <c r="H131">
        <v>0</v>
      </c>
      <c r="I131" t="s">
        <v>25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5</v>
      </c>
      <c r="AE131">
        <v>505</v>
      </c>
      <c r="AF131">
        <v>45.073170731707307</v>
      </c>
      <c r="AG131">
        <v>52.538212162496428</v>
      </c>
      <c r="AH131">
        <f>19.7433506593252*1</f>
        <v>19.743350659325198</v>
      </c>
      <c r="AI131">
        <f>1.56407940801278*1</f>
        <v>1.56407940801278</v>
      </c>
      <c r="AJ131">
        <v>1</v>
      </c>
      <c r="AK131">
        <v>0</v>
      </c>
      <c r="AL131">
        <v>0</v>
      </c>
    </row>
    <row r="132" spans="1:38" hidden="1" x14ac:dyDescent="0.2">
      <c r="A132" t="s">
        <v>322</v>
      </c>
      <c r="B132" t="s">
        <v>323</v>
      </c>
      <c r="C132" t="s">
        <v>323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5.9</v>
      </c>
      <c r="AE132">
        <v>508</v>
      </c>
      <c r="AF132">
        <v>36.506013799639938</v>
      </c>
      <c r="AG132">
        <v>51.786557212597103</v>
      </c>
      <c r="AH132">
        <f>23.7096634631078*1</f>
        <v>23.709663463107798</v>
      </c>
      <c r="AI132">
        <f>1.52501749343405*1</f>
        <v>1.5250174934340499</v>
      </c>
      <c r="AJ132">
        <v>1</v>
      </c>
      <c r="AK132">
        <v>0</v>
      </c>
      <c r="AL132">
        <v>0</v>
      </c>
    </row>
    <row r="133" spans="1:38" hidden="1" x14ac:dyDescent="0.2">
      <c r="A133" t="s">
        <v>324</v>
      </c>
      <c r="B133" t="s">
        <v>325</v>
      </c>
      <c r="C133" t="s">
        <v>325</v>
      </c>
      <c r="D133" t="s">
        <v>6</v>
      </c>
      <c r="E133">
        <v>0</v>
      </c>
      <c r="F133">
        <v>0</v>
      </c>
      <c r="G133">
        <v>0</v>
      </c>
      <c r="H133">
        <v>1</v>
      </c>
      <c r="I133" t="s">
        <v>25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6.9</v>
      </c>
      <c r="AE133">
        <v>511</v>
      </c>
      <c r="AF133">
        <v>0</v>
      </c>
      <c r="AG133">
        <v>0</v>
      </c>
      <c r="AH133">
        <f>0*1</f>
        <v>0</v>
      </c>
      <c r="AI133">
        <f>0*1</f>
        <v>0</v>
      </c>
      <c r="AJ133">
        <v>1</v>
      </c>
      <c r="AK133">
        <v>0</v>
      </c>
      <c r="AL133">
        <v>0</v>
      </c>
    </row>
    <row r="134" spans="1:38" hidden="1" x14ac:dyDescent="0.2">
      <c r="A134" t="s">
        <v>253</v>
      </c>
      <c r="B134" t="s">
        <v>326</v>
      </c>
      <c r="C134" t="s">
        <v>326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4.9000000000000004</v>
      </c>
      <c r="AE134">
        <v>513</v>
      </c>
      <c r="AF134">
        <v>40.25</v>
      </c>
      <c r="AG134">
        <v>42.738720860807518</v>
      </c>
      <c r="AH134">
        <f>15.2210717746965*1</f>
        <v>15.221071774696499</v>
      </c>
      <c r="AI134">
        <f>1.05263682385723*1</f>
        <v>1.0526368238572299</v>
      </c>
      <c r="AJ134">
        <v>1</v>
      </c>
      <c r="AK134">
        <v>0</v>
      </c>
      <c r="AL134">
        <v>0</v>
      </c>
    </row>
    <row r="135" spans="1:38" hidden="1" x14ac:dyDescent="0.2">
      <c r="A135" t="s">
        <v>327</v>
      </c>
      <c r="B135" t="s">
        <v>328</v>
      </c>
      <c r="C135" t="s">
        <v>328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5.2</v>
      </c>
      <c r="AE135">
        <v>514</v>
      </c>
      <c r="AF135">
        <v>0</v>
      </c>
      <c r="AG135">
        <v>0</v>
      </c>
      <c r="AH135">
        <f>0*1</f>
        <v>0</v>
      </c>
      <c r="AI135">
        <f>0*1</f>
        <v>0</v>
      </c>
      <c r="AJ135">
        <v>1</v>
      </c>
      <c r="AK135">
        <v>0</v>
      </c>
      <c r="AL135">
        <v>0</v>
      </c>
    </row>
    <row r="136" spans="1:38" hidden="1" x14ac:dyDescent="0.2">
      <c r="A136" t="s">
        <v>329</v>
      </c>
      <c r="B136" t="s">
        <v>330</v>
      </c>
      <c r="C136" t="s">
        <v>78</v>
      </c>
      <c r="D136" t="s">
        <v>4</v>
      </c>
      <c r="E136">
        <v>0</v>
      </c>
      <c r="F136">
        <v>1</v>
      </c>
      <c r="G136">
        <v>0</v>
      </c>
      <c r="H136">
        <v>0</v>
      </c>
      <c r="I136" t="s">
        <v>25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4.4000000000000004</v>
      </c>
      <c r="AE136">
        <v>516</v>
      </c>
      <c r="AF136">
        <v>40.472727272727269</v>
      </c>
      <c r="AG136">
        <v>34.102673761379648</v>
      </c>
      <c r="AH136">
        <f>34.9724135375123*1</f>
        <v>34.972413537512303</v>
      </c>
      <c r="AI136">
        <f>2.44010385230376*1</f>
        <v>2.4401038523037601</v>
      </c>
      <c r="AJ136">
        <v>1</v>
      </c>
      <c r="AK136">
        <v>0</v>
      </c>
      <c r="AL136">
        <v>0</v>
      </c>
    </row>
    <row r="137" spans="1:38" x14ac:dyDescent="0.2">
      <c r="A137" t="s">
        <v>135</v>
      </c>
      <c r="B137" t="s">
        <v>136</v>
      </c>
      <c r="C137" t="s">
        <v>136</v>
      </c>
      <c r="D137" t="s">
        <v>6</v>
      </c>
      <c r="E137">
        <v>0</v>
      </c>
      <c r="F137">
        <v>0</v>
      </c>
      <c r="G137">
        <v>0</v>
      </c>
      <c r="H137">
        <v>1</v>
      </c>
      <c r="I137" t="s">
        <v>15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6.3</v>
      </c>
      <c r="AE137">
        <v>143</v>
      </c>
      <c r="AF137">
        <v>61.057116210458851</v>
      </c>
      <c r="AG137">
        <v>42.3522721173685</v>
      </c>
      <c r="AH137">
        <f>70.9718412788648*1</f>
        <v>70.971841278864801</v>
      </c>
      <c r="AI137">
        <f>5.37558264623289*1</f>
        <v>5.3755826462328899</v>
      </c>
      <c r="AJ137">
        <v>1</v>
      </c>
      <c r="AK137">
        <v>1</v>
      </c>
      <c r="AL137">
        <v>1</v>
      </c>
    </row>
    <row r="138" spans="1:38" hidden="1" x14ac:dyDescent="0.2">
      <c r="A138" t="s">
        <v>332</v>
      </c>
      <c r="B138" t="s">
        <v>333</v>
      </c>
      <c r="C138" t="s">
        <v>333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5.9</v>
      </c>
      <c r="AE138">
        <v>539</v>
      </c>
      <c r="AF138">
        <v>49.44382022471909</v>
      </c>
      <c r="AG138">
        <v>49.358149405381461</v>
      </c>
      <c r="AH138">
        <f>25.2956385845541*1</f>
        <v>25.295638584554101</v>
      </c>
      <c r="AI138">
        <f>1.90131160898285*1</f>
        <v>1.9013116089828499</v>
      </c>
      <c r="AJ138">
        <v>1</v>
      </c>
      <c r="AK138">
        <v>0</v>
      </c>
      <c r="AL138">
        <v>0</v>
      </c>
    </row>
    <row r="139" spans="1:38" hidden="1" x14ac:dyDescent="0.2">
      <c r="A139" t="s">
        <v>316</v>
      </c>
      <c r="B139" t="s">
        <v>334</v>
      </c>
      <c r="C139" t="s">
        <v>335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6.1</v>
      </c>
      <c r="AE139">
        <v>541</v>
      </c>
      <c r="AF139">
        <v>48.999999999999993</v>
      </c>
      <c r="AG139">
        <v>47.865895959859166</v>
      </c>
      <c r="AH139">
        <f>37.5016577027217*1</f>
        <v>37.501657702721701</v>
      </c>
      <c r="AI139">
        <f>2.86916791044836*1</f>
        <v>2.8691679104483598</v>
      </c>
      <c r="AJ139">
        <v>1</v>
      </c>
      <c r="AK139">
        <v>0</v>
      </c>
      <c r="AL139">
        <v>0</v>
      </c>
    </row>
    <row r="140" spans="1:38" hidden="1" x14ac:dyDescent="0.2">
      <c r="A140" t="s">
        <v>336</v>
      </c>
      <c r="B140" t="s">
        <v>337</v>
      </c>
      <c r="C140" t="s">
        <v>337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26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4.4000000000000004</v>
      </c>
      <c r="AE140">
        <v>542</v>
      </c>
      <c r="AF140">
        <v>37.97175141242937</v>
      </c>
      <c r="AG140">
        <v>37.845192111129897</v>
      </c>
      <c r="AH140">
        <f>27.4876548561845*1</f>
        <v>27.487654856184498</v>
      </c>
      <c r="AI140">
        <f>2.08953750624417*1</f>
        <v>2.0895375062441701</v>
      </c>
      <c r="AJ140">
        <v>1</v>
      </c>
      <c r="AK140">
        <v>0</v>
      </c>
      <c r="AL140">
        <v>0</v>
      </c>
    </row>
    <row r="141" spans="1:38" hidden="1" x14ac:dyDescent="0.2">
      <c r="A141" t="s">
        <v>338</v>
      </c>
      <c r="B141" t="s">
        <v>339</v>
      </c>
      <c r="C141" t="s">
        <v>339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7.6</v>
      </c>
      <c r="AE141">
        <v>544</v>
      </c>
      <c r="AF141">
        <v>56.691803008800719</v>
      </c>
      <c r="AG141">
        <v>41.148521275593637</v>
      </c>
      <c r="AH141">
        <f>27.838346999012*1</f>
        <v>27.838346999012</v>
      </c>
      <c r="AI141">
        <f>2.61206602498029*1</f>
        <v>2.6120660249802898</v>
      </c>
      <c r="AJ141">
        <v>1</v>
      </c>
      <c r="AK141">
        <v>0</v>
      </c>
      <c r="AL141">
        <v>0</v>
      </c>
    </row>
    <row r="142" spans="1:38" x14ac:dyDescent="0.2">
      <c r="A142" t="s">
        <v>433</v>
      </c>
      <c r="B142" t="s">
        <v>434</v>
      </c>
      <c r="C142" t="s">
        <v>435</v>
      </c>
      <c r="D142" t="s">
        <v>6</v>
      </c>
      <c r="E142">
        <v>0</v>
      </c>
      <c r="F142">
        <v>0</v>
      </c>
      <c r="G142">
        <v>0</v>
      </c>
      <c r="H142">
        <v>1</v>
      </c>
      <c r="I142" t="s">
        <v>31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6.8</v>
      </c>
      <c r="AE142">
        <v>737</v>
      </c>
      <c r="AF142">
        <v>70.581300345557096</v>
      </c>
      <c r="AG142">
        <v>52.471861606914381</v>
      </c>
      <c r="AH142">
        <f>70.4467092758218*1</f>
        <v>70.446709275821803</v>
      </c>
      <c r="AI142">
        <f>5.28035053674614*1</f>
        <v>5.2803505367461403</v>
      </c>
      <c r="AJ142">
        <v>1</v>
      </c>
      <c r="AK142">
        <v>1</v>
      </c>
      <c r="AL142">
        <v>1</v>
      </c>
    </row>
    <row r="143" spans="1:38" x14ac:dyDescent="0.2">
      <c r="A143" t="s">
        <v>359</v>
      </c>
      <c r="B143" t="s">
        <v>360</v>
      </c>
      <c r="C143" t="s">
        <v>360</v>
      </c>
      <c r="D143" t="s">
        <v>4</v>
      </c>
      <c r="E143">
        <v>0</v>
      </c>
      <c r="F143">
        <v>1</v>
      </c>
      <c r="G143">
        <v>0</v>
      </c>
      <c r="H143">
        <v>0</v>
      </c>
      <c r="I143" t="s">
        <v>27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5.4</v>
      </c>
      <c r="AE143">
        <v>572</v>
      </c>
      <c r="AF143">
        <v>52.769230769230759</v>
      </c>
      <c r="AG143">
        <v>41.762102364329003</v>
      </c>
      <c r="AH143">
        <f>56.4120877617387*1</f>
        <v>56.412087761738697</v>
      </c>
      <c r="AI143">
        <f>3.78818003728249*1</f>
        <v>3.7881800372824901</v>
      </c>
      <c r="AJ143">
        <v>1</v>
      </c>
      <c r="AK143">
        <v>1</v>
      </c>
      <c r="AL143">
        <v>1</v>
      </c>
    </row>
    <row r="144" spans="1:38" x14ac:dyDescent="0.2">
      <c r="A144" t="s">
        <v>220</v>
      </c>
      <c r="B144" t="s">
        <v>221</v>
      </c>
      <c r="C144" t="s">
        <v>221</v>
      </c>
      <c r="D144" t="s">
        <v>3</v>
      </c>
      <c r="E144">
        <v>1</v>
      </c>
      <c r="F144">
        <v>0</v>
      </c>
      <c r="G144">
        <v>0</v>
      </c>
      <c r="H144">
        <v>0</v>
      </c>
      <c r="I144" t="s">
        <v>19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5.0999999999999996</v>
      </c>
      <c r="AE144">
        <v>304</v>
      </c>
      <c r="AF144">
        <v>51.172413793103452</v>
      </c>
      <c r="AG144">
        <v>48.915791485764281</v>
      </c>
      <c r="AH144">
        <f>42.1426226115611*1</f>
        <v>42.142622611561102</v>
      </c>
      <c r="AI144">
        <f>2.99064720289007*1</f>
        <v>2.9906472028900701</v>
      </c>
      <c r="AJ144">
        <v>1</v>
      </c>
      <c r="AK144">
        <v>1</v>
      </c>
      <c r="AL144">
        <v>1</v>
      </c>
    </row>
    <row r="145" spans="1:38" hidden="1" x14ac:dyDescent="0.2">
      <c r="A145" t="s">
        <v>346</v>
      </c>
      <c r="B145" t="s">
        <v>347</v>
      </c>
      <c r="C145" t="s">
        <v>348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6</v>
      </c>
      <c r="AE145">
        <v>549</v>
      </c>
      <c r="AF145">
        <v>41.91361445244825</v>
      </c>
      <c r="AG145">
        <v>32.508376084331204</v>
      </c>
      <c r="AH145">
        <f>38.0055436764086*1</f>
        <v>38.0055436764086</v>
      </c>
      <c r="AI145">
        <f>3.07150599792896*1</f>
        <v>3.0715059979289601</v>
      </c>
      <c r="AJ145">
        <v>1</v>
      </c>
      <c r="AK145">
        <v>0</v>
      </c>
      <c r="AL145">
        <v>0</v>
      </c>
    </row>
    <row r="146" spans="1:38" hidden="1" x14ac:dyDescent="0.2">
      <c r="A146" t="s">
        <v>349</v>
      </c>
      <c r="B146" t="s">
        <v>350</v>
      </c>
      <c r="C146" t="s">
        <v>350</v>
      </c>
      <c r="D146" t="s">
        <v>4</v>
      </c>
      <c r="E146">
        <v>0</v>
      </c>
      <c r="F146">
        <v>1</v>
      </c>
      <c r="G146">
        <v>0</v>
      </c>
      <c r="H146">
        <v>0</v>
      </c>
      <c r="I146" t="s">
        <v>26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4.5</v>
      </c>
      <c r="AE146">
        <v>555</v>
      </c>
      <c r="AF146">
        <v>29.406008197548129</v>
      </c>
      <c r="AG146">
        <v>36.652677875273511</v>
      </c>
      <c r="AH146">
        <f>21.1124577738711*1</f>
        <v>21.1124577738711</v>
      </c>
      <c r="AI146">
        <f>1.55777129776197*1</f>
        <v>1.55777129776197</v>
      </c>
      <c r="AJ146">
        <v>1</v>
      </c>
      <c r="AK146">
        <v>0</v>
      </c>
      <c r="AL146">
        <v>0</v>
      </c>
    </row>
    <row r="147" spans="1:38" hidden="1" x14ac:dyDescent="0.2">
      <c r="A147" t="s">
        <v>351</v>
      </c>
      <c r="B147" t="s">
        <v>352</v>
      </c>
      <c r="C147" t="s">
        <v>352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4.5</v>
      </c>
      <c r="AE147">
        <v>556</v>
      </c>
      <c r="AF147">
        <v>30.360248447204949</v>
      </c>
      <c r="AG147">
        <v>31.071290502508919</v>
      </c>
      <c r="AH147">
        <f>15.7807408495321*1</f>
        <v>15.7807408495321</v>
      </c>
      <c r="AI147">
        <f>1.22366095361978*1</f>
        <v>1.22366095361978</v>
      </c>
      <c r="AJ147">
        <v>1</v>
      </c>
      <c r="AK147">
        <v>0</v>
      </c>
      <c r="AL147">
        <v>0</v>
      </c>
    </row>
    <row r="148" spans="1:38" hidden="1" x14ac:dyDescent="0.2">
      <c r="A148" t="s">
        <v>353</v>
      </c>
      <c r="B148" t="s">
        <v>354</v>
      </c>
      <c r="C148" t="s">
        <v>354</v>
      </c>
      <c r="D148" t="s">
        <v>4</v>
      </c>
      <c r="E148">
        <v>0</v>
      </c>
      <c r="F148">
        <v>1</v>
      </c>
      <c r="G148">
        <v>0</v>
      </c>
      <c r="H148">
        <v>0</v>
      </c>
      <c r="I148" t="s">
        <v>26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5.4</v>
      </c>
      <c r="AE148">
        <v>561</v>
      </c>
      <c r="AF148">
        <v>39.937374129003921</v>
      </c>
      <c r="AG148">
        <v>40.854810984906393</v>
      </c>
      <c r="AH148">
        <f>21.8036539962707*1</f>
        <v>21.8036539962707</v>
      </c>
      <c r="AI148">
        <f>1.5744355312583*1</f>
        <v>1.5744355312583</v>
      </c>
      <c r="AJ148">
        <v>1</v>
      </c>
      <c r="AK148">
        <v>0</v>
      </c>
      <c r="AL148">
        <v>0</v>
      </c>
    </row>
    <row r="149" spans="1:38" hidden="1" x14ac:dyDescent="0.2">
      <c r="A149" t="s">
        <v>355</v>
      </c>
      <c r="B149" t="s">
        <v>356</v>
      </c>
      <c r="C149" t="s">
        <v>356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5.5</v>
      </c>
      <c r="AE149">
        <v>563</v>
      </c>
      <c r="AF149">
        <v>0</v>
      </c>
      <c r="AG149">
        <v>0</v>
      </c>
      <c r="AH149">
        <f>0*1</f>
        <v>0</v>
      </c>
      <c r="AI149">
        <f>0*1</f>
        <v>0</v>
      </c>
      <c r="AJ149">
        <v>1</v>
      </c>
      <c r="AK149">
        <v>0</v>
      </c>
      <c r="AL149">
        <v>0</v>
      </c>
    </row>
    <row r="150" spans="1:38" hidden="1" x14ac:dyDescent="0.2">
      <c r="A150" t="s">
        <v>357</v>
      </c>
      <c r="B150" t="s">
        <v>358</v>
      </c>
      <c r="C150" t="s">
        <v>358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26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4.7</v>
      </c>
      <c r="AE150">
        <v>566</v>
      </c>
      <c r="AF150">
        <v>13</v>
      </c>
      <c r="AG150">
        <v>48.055395567816277</v>
      </c>
      <c r="AH150">
        <f>4.32703164076629*1</f>
        <v>4.3270316407662897</v>
      </c>
      <c r="AI150">
        <f>0.291223414394483*1</f>
        <v>0.29122341439448302</v>
      </c>
      <c r="AJ150">
        <v>1</v>
      </c>
      <c r="AK150">
        <v>0</v>
      </c>
      <c r="AL150">
        <v>0</v>
      </c>
    </row>
    <row r="151" spans="1:38" x14ac:dyDescent="0.2">
      <c r="A151" t="s">
        <v>331</v>
      </c>
      <c r="B151" t="s">
        <v>90</v>
      </c>
      <c r="C151" t="s">
        <v>90</v>
      </c>
      <c r="D151" t="s">
        <v>3</v>
      </c>
      <c r="E151">
        <v>1</v>
      </c>
      <c r="F151">
        <v>0</v>
      </c>
      <c r="G151">
        <v>0</v>
      </c>
      <c r="H151">
        <v>0</v>
      </c>
      <c r="I151" t="s">
        <v>25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5</v>
      </c>
      <c r="AE151">
        <v>519</v>
      </c>
      <c r="AF151">
        <v>48.885245901639337</v>
      </c>
      <c r="AG151">
        <v>56.868022101623097</v>
      </c>
      <c r="AH151">
        <f>37.9669747107459*1</f>
        <v>37.966974710745902</v>
      </c>
      <c r="AI151">
        <f>2.93695730050237*1</f>
        <v>2.9369573005023701</v>
      </c>
      <c r="AJ151">
        <v>1</v>
      </c>
      <c r="AK151">
        <v>1</v>
      </c>
      <c r="AL151">
        <v>1</v>
      </c>
    </row>
    <row r="152" spans="1:38" hidden="1" x14ac:dyDescent="0.2">
      <c r="A152" t="s">
        <v>361</v>
      </c>
      <c r="B152" t="s">
        <v>362</v>
      </c>
      <c r="C152" t="s">
        <v>362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5</v>
      </c>
      <c r="AE152">
        <v>573</v>
      </c>
      <c r="AF152">
        <v>42.642721975317293</v>
      </c>
      <c r="AG152">
        <v>22.794648493674138</v>
      </c>
      <c r="AH152">
        <f>32.7529599563175*1</f>
        <v>32.752959956317497</v>
      </c>
      <c r="AI152">
        <f>2.55688786018971*1</f>
        <v>2.5568878601897098</v>
      </c>
      <c r="AJ152">
        <v>1</v>
      </c>
      <c r="AK152">
        <v>0</v>
      </c>
      <c r="AL152">
        <v>0</v>
      </c>
    </row>
    <row r="153" spans="1:38" hidden="1" x14ac:dyDescent="0.2">
      <c r="A153" t="s">
        <v>363</v>
      </c>
      <c r="B153" t="s">
        <v>364</v>
      </c>
      <c r="C153" t="s">
        <v>364</v>
      </c>
      <c r="D153" t="s">
        <v>6</v>
      </c>
      <c r="E153">
        <v>0</v>
      </c>
      <c r="F153">
        <v>0</v>
      </c>
      <c r="G153">
        <v>0</v>
      </c>
      <c r="H153">
        <v>1</v>
      </c>
      <c r="I153" t="s">
        <v>27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5.5</v>
      </c>
      <c r="AE153">
        <v>574</v>
      </c>
      <c r="AF153">
        <v>18.651300249781979</v>
      </c>
      <c r="AG153">
        <v>56.345239207272527</v>
      </c>
      <c r="AH153">
        <f>4.91719927222135*1</f>
        <v>4.9171992722213496</v>
      </c>
      <c r="AI153">
        <f>0.293087919298666*1</f>
        <v>0.29308791929866601</v>
      </c>
      <c r="AJ153">
        <v>1</v>
      </c>
      <c r="AK153">
        <v>0</v>
      </c>
      <c r="AL153">
        <v>0</v>
      </c>
    </row>
    <row r="154" spans="1:38" hidden="1" x14ac:dyDescent="0.2">
      <c r="A154" t="s">
        <v>365</v>
      </c>
      <c r="B154" t="s">
        <v>366</v>
      </c>
      <c r="C154" t="s">
        <v>367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27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4.8</v>
      </c>
      <c r="AE154">
        <v>581</v>
      </c>
      <c r="AF154">
        <v>0</v>
      </c>
      <c r="AG154">
        <v>0</v>
      </c>
      <c r="AH154">
        <f>0*1</f>
        <v>0</v>
      </c>
      <c r="AI154">
        <f>0*1</f>
        <v>0</v>
      </c>
      <c r="AJ154">
        <v>1</v>
      </c>
      <c r="AK154">
        <v>0</v>
      </c>
      <c r="AL154">
        <v>0</v>
      </c>
    </row>
    <row r="155" spans="1:38" hidden="1" x14ac:dyDescent="0.2">
      <c r="A155" t="s">
        <v>338</v>
      </c>
      <c r="B155" t="s">
        <v>368</v>
      </c>
      <c r="C155" t="s">
        <v>368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27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5.3</v>
      </c>
      <c r="AE155">
        <v>582</v>
      </c>
      <c r="AF155">
        <v>65.21688199443399</v>
      </c>
      <c r="AG155">
        <v>31.972872504126201</v>
      </c>
      <c r="AH155">
        <f>52.52175231244*1</f>
        <v>52.52175231244</v>
      </c>
      <c r="AI155">
        <f>5.39974017674796*1</f>
        <v>5.3997401767479598</v>
      </c>
      <c r="AJ155">
        <v>1</v>
      </c>
      <c r="AK155">
        <v>0</v>
      </c>
      <c r="AL155">
        <v>0</v>
      </c>
    </row>
    <row r="156" spans="1:38" hidden="1" x14ac:dyDescent="0.2">
      <c r="A156" t="s">
        <v>83</v>
      </c>
      <c r="B156" t="s">
        <v>369</v>
      </c>
      <c r="C156" t="s">
        <v>369</v>
      </c>
      <c r="D156" t="s">
        <v>5</v>
      </c>
      <c r="E156">
        <v>0</v>
      </c>
      <c r="F156">
        <v>0</v>
      </c>
      <c r="G156">
        <v>1</v>
      </c>
      <c r="H156">
        <v>0</v>
      </c>
      <c r="I156" t="s">
        <v>27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6.5</v>
      </c>
      <c r="AE156">
        <v>583</v>
      </c>
      <c r="AF156">
        <v>74.269966959405906</v>
      </c>
      <c r="AG156">
        <v>38.630843224178271</v>
      </c>
      <c r="AH156">
        <f>72.2006679635291*1</f>
        <v>72.200667963529099</v>
      </c>
      <c r="AI156">
        <f>5.29097940880145*1</f>
        <v>5.2909794088014497</v>
      </c>
      <c r="AJ156">
        <v>1</v>
      </c>
      <c r="AK156">
        <v>0</v>
      </c>
      <c r="AL156">
        <v>0</v>
      </c>
    </row>
    <row r="157" spans="1:38" hidden="1" x14ac:dyDescent="0.2">
      <c r="A157" t="s">
        <v>370</v>
      </c>
      <c r="B157" t="s">
        <v>371</v>
      </c>
      <c r="C157" t="s">
        <v>371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5.2</v>
      </c>
      <c r="AE157">
        <v>584</v>
      </c>
      <c r="AF157">
        <v>49.691942791820559</v>
      </c>
      <c r="AG157">
        <v>36.582915572118189</v>
      </c>
      <c r="AH157">
        <f>53.7431675090378*1</f>
        <v>53.743167509037796</v>
      </c>
      <c r="AI157">
        <f>3.81270767992029*1</f>
        <v>3.8127076799202899</v>
      </c>
      <c r="AJ157">
        <v>1</v>
      </c>
      <c r="AK157">
        <v>0</v>
      </c>
      <c r="AL157">
        <v>0</v>
      </c>
    </row>
    <row r="158" spans="1:38" x14ac:dyDescent="0.2">
      <c r="A158" t="s">
        <v>222</v>
      </c>
      <c r="B158" t="s">
        <v>223</v>
      </c>
      <c r="C158" t="s">
        <v>223</v>
      </c>
      <c r="D158" t="s">
        <v>4</v>
      </c>
      <c r="E158">
        <v>0</v>
      </c>
      <c r="F158">
        <v>1</v>
      </c>
      <c r="G158">
        <v>0</v>
      </c>
      <c r="H158">
        <v>0</v>
      </c>
      <c r="I158" t="s">
        <v>19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4.8</v>
      </c>
      <c r="AE158">
        <v>305</v>
      </c>
      <c r="AF158">
        <v>40.631002715007938</v>
      </c>
      <c r="AG158">
        <v>40.490233440569341</v>
      </c>
      <c r="AH158">
        <f>30.6624670140758*1</f>
        <v>30.662467014075801</v>
      </c>
      <c r="AI158">
        <f>2.14614762244412*1</f>
        <v>2.1461476224441198</v>
      </c>
      <c r="AJ158">
        <v>1</v>
      </c>
      <c r="AK158">
        <v>1</v>
      </c>
      <c r="AL158">
        <v>1</v>
      </c>
    </row>
    <row r="159" spans="1:38" hidden="1" x14ac:dyDescent="0.2">
      <c r="A159" t="s">
        <v>374</v>
      </c>
      <c r="B159" t="s">
        <v>375</v>
      </c>
      <c r="C159" t="s">
        <v>376</v>
      </c>
      <c r="D159" t="s">
        <v>4</v>
      </c>
      <c r="E159">
        <v>0</v>
      </c>
      <c r="F159">
        <v>1</v>
      </c>
      <c r="G159">
        <v>0</v>
      </c>
      <c r="H159">
        <v>0</v>
      </c>
      <c r="I159" t="s">
        <v>27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4.4000000000000004</v>
      </c>
      <c r="AE159">
        <v>587</v>
      </c>
      <c r="AF159">
        <v>29.088888888888871</v>
      </c>
      <c r="AG159">
        <v>22.93465417774032</v>
      </c>
      <c r="AH159">
        <f>29.5919126117062*1</f>
        <v>29.591912611706199</v>
      </c>
      <c r="AI159">
        <f>2.23776660566067*1</f>
        <v>2.2377666056606702</v>
      </c>
      <c r="AJ159">
        <v>1</v>
      </c>
      <c r="AK159">
        <v>0</v>
      </c>
      <c r="AL159">
        <v>0</v>
      </c>
    </row>
    <row r="160" spans="1:38" hidden="1" x14ac:dyDescent="0.2">
      <c r="A160" t="s">
        <v>377</v>
      </c>
      <c r="B160" t="s">
        <v>378</v>
      </c>
      <c r="C160" t="s">
        <v>378</v>
      </c>
      <c r="D160" t="s">
        <v>3</v>
      </c>
      <c r="E160">
        <v>1</v>
      </c>
      <c r="F160">
        <v>0</v>
      </c>
      <c r="G160">
        <v>0</v>
      </c>
      <c r="H160">
        <v>0</v>
      </c>
      <c r="I160" t="s">
        <v>27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5</v>
      </c>
      <c r="AE160">
        <v>593</v>
      </c>
      <c r="AF160">
        <v>0</v>
      </c>
      <c r="AG160">
        <v>0</v>
      </c>
      <c r="AH160">
        <f>0*1</f>
        <v>0</v>
      </c>
      <c r="AI160">
        <f>0*1</f>
        <v>0</v>
      </c>
      <c r="AJ160">
        <v>1</v>
      </c>
      <c r="AK160">
        <v>0</v>
      </c>
      <c r="AL160">
        <v>0</v>
      </c>
    </row>
    <row r="161" spans="1:38" hidden="1" x14ac:dyDescent="0.2">
      <c r="A161" t="s">
        <v>379</v>
      </c>
      <c r="B161" t="s">
        <v>380</v>
      </c>
      <c r="C161" t="s">
        <v>380</v>
      </c>
      <c r="D161" t="s">
        <v>6</v>
      </c>
      <c r="E161">
        <v>0</v>
      </c>
      <c r="F161">
        <v>0</v>
      </c>
      <c r="G161">
        <v>0</v>
      </c>
      <c r="H161">
        <v>1</v>
      </c>
      <c r="I161" t="s">
        <v>27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7.1</v>
      </c>
      <c r="AE161">
        <v>596</v>
      </c>
      <c r="AF161">
        <v>80.413605559810208</v>
      </c>
      <c r="AG161">
        <v>42.807234877891901</v>
      </c>
      <c r="AH161">
        <f>83.1858957042196*1</f>
        <v>83.185895704219604</v>
      </c>
      <c r="AI161">
        <f>6.37552318948733*1</f>
        <v>6.3755231894873301</v>
      </c>
      <c r="AJ161">
        <v>1</v>
      </c>
      <c r="AK161">
        <v>0</v>
      </c>
      <c r="AL161">
        <v>0</v>
      </c>
    </row>
    <row r="162" spans="1:38" hidden="1" x14ac:dyDescent="0.2">
      <c r="A162" t="s">
        <v>92</v>
      </c>
      <c r="B162" t="s">
        <v>381</v>
      </c>
      <c r="C162" t="s">
        <v>381</v>
      </c>
      <c r="D162" t="s">
        <v>5</v>
      </c>
      <c r="E162">
        <v>0</v>
      </c>
      <c r="F162">
        <v>0</v>
      </c>
      <c r="G162">
        <v>1</v>
      </c>
      <c r="H162">
        <v>0</v>
      </c>
      <c r="I162" t="s">
        <v>27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4.9000000000000004</v>
      </c>
      <c r="AE162">
        <v>598</v>
      </c>
      <c r="AF162">
        <v>26.650602409638552</v>
      </c>
      <c r="AG162">
        <v>20.55892444084467</v>
      </c>
      <c r="AH162">
        <f>23.9006424276043*1</f>
        <v>23.9006424276043</v>
      </c>
      <c r="AI162">
        <f>1.71927914853859*1</f>
        <v>1.7192791485385901</v>
      </c>
      <c r="AJ162">
        <v>1</v>
      </c>
      <c r="AK162">
        <v>0</v>
      </c>
      <c r="AL162">
        <v>0</v>
      </c>
    </row>
    <row r="163" spans="1:38" hidden="1" x14ac:dyDescent="0.2">
      <c r="A163" t="s">
        <v>382</v>
      </c>
      <c r="B163" t="s">
        <v>383</v>
      </c>
      <c r="C163" t="s">
        <v>383</v>
      </c>
      <c r="D163" t="s">
        <v>6</v>
      </c>
      <c r="E163">
        <v>0</v>
      </c>
      <c r="F163">
        <v>0</v>
      </c>
      <c r="G163">
        <v>0</v>
      </c>
      <c r="H163">
        <v>1</v>
      </c>
      <c r="I163" t="s">
        <v>28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5</v>
      </c>
      <c r="AE163">
        <v>607</v>
      </c>
      <c r="AF163">
        <v>30.847457627118629</v>
      </c>
      <c r="AG163">
        <v>43.434025529831779</v>
      </c>
      <c r="AH163">
        <f>19.0198719937471*1</f>
        <v>19.019871993747099</v>
      </c>
      <c r="AI163">
        <f>1.49759807775387*1</f>
        <v>1.49759807775387</v>
      </c>
      <c r="AJ163">
        <v>1</v>
      </c>
      <c r="AK163">
        <v>0</v>
      </c>
      <c r="AL163">
        <v>0</v>
      </c>
    </row>
    <row r="164" spans="1:38" hidden="1" x14ac:dyDescent="0.2">
      <c r="A164" t="s">
        <v>108</v>
      </c>
      <c r="B164" t="s">
        <v>384</v>
      </c>
      <c r="C164" t="s">
        <v>384</v>
      </c>
      <c r="D164" t="s">
        <v>6</v>
      </c>
      <c r="E164">
        <v>0</v>
      </c>
      <c r="F164">
        <v>0</v>
      </c>
      <c r="G164">
        <v>0</v>
      </c>
      <c r="H164">
        <v>1</v>
      </c>
      <c r="I164" t="s">
        <v>28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5.0999999999999996</v>
      </c>
      <c r="AE164">
        <v>612</v>
      </c>
      <c r="AF164">
        <v>29.713983005195399</v>
      </c>
      <c r="AG164">
        <v>27.205773467108351</v>
      </c>
      <c r="AH164">
        <f>18.300216126021*1</f>
        <v>18.300216126020999</v>
      </c>
      <c r="AI164">
        <f>1.16194419259933*1</f>
        <v>1.1619441925993299</v>
      </c>
      <c r="AJ164">
        <v>1</v>
      </c>
      <c r="AK164">
        <v>0</v>
      </c>
      <c r="AL164">
        <v>0</v>
      </c>
    </row>
    <row r="165" spans="1:38" hidden="1" x14ac:dyDescent="0.2">
      <c r="A165" t="s">
        <v>385</v>
      </c>
      <c r="B165" t="s">
        <v>386</v>
      </c>
      <c r="C165" t="s">
        <v>386</v>
      </c>
      <c r="D165" t="s">
        <v>4</v>
      </c>
      <c r="E165">
        <v>0</v>
      </c>
      <c r="F165">
        <v>1</v>
      </c>
      <c r="G165">
        <v>0</v>
      </c>
      <c r="H165">
        <v>0</v>
      </c>
      <c r="I165" t="s">
        <v>28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4</v>
      </c>
      <c r="AE165">
        <v>614</v>
      </c>
      <c r="AF165">
        <v>35.643855890602453</v>
      </c>
      <c r="AG165">
        <v>34.013955238128823</v>
      </c>
      <c r="AH165">
        <f>17.728841828588*1</f>
        <v>17.728841828587999</v>
      </c>
      <c r="AI165">
        <f>1.61882344417395*1</f>
        <v>1.61882344417395</v>
      </c>
      <c r="AJ165">
        <v>1</v>
      </c>
      <c r="AK165">
        <v>0</v>
      </c>
      <c r="AL165">
        <v>0</v>
      </c>
    </row>
    <row r="166" spans="1:38" hidden="1" x14ac:dyDescent="0.2">
      <c r="A166" t="s">
        <v>387</v>
      </c>
      <c r="B166" t="s">
        <v>388</v>
      </c>
      <c r="C166" t="s">
        <v>388</v>
      </c>
      <c r="D166" t="s">
        <v>4</v>
      </c>
      <c r="E166">
        <v>0</v>
      </c>
      <c r="F166">
        <v>1</v>
      </c>
      <c r="G166">
        <v>0</v>
      </c>
      <c r="H166">
        <v>0</v>
      </c>
      <c r="I166" t="s">
        <v>28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4.3</v>
      </c>
      <c r="AE166">
        <v>635</v>
      </c>
      <c r="AF166">
        <v>22.663180138426942</v>
      </c>
      <c r="AG166">
        <v>37.238451339931423</v>
      </c>
      <c r="AH166">
        <f>11.1161744792436*1</f>
        <v>11.1161744792436</v>
      </c>
      <c r="AI166">
        <f>0.717451533250748*1</f>
        <v>0.71745153325074795</v>
      </c>
      <c r="AJ166">
        <v>1</v>
      </c>
      <c r="AK166">
        <v>0</v>
      </c>
      <c r="AL166">
        <v>0</v>
      </c>
    </row>
    <row r="167" spans="1:38" hidden="1" x14ac:dyDescent="0.2">
      <c r="A167" t="s">
        <v>389</v>
      </c>
      <c r="B167" t="s">
        <v>390</v>
      </c>
      <c r="C167" t="s">
        <v>390</v>
      </c>
      <c r="D167" t="s">
        <v>5</v>
      </c>
      <c r="E167">
        <v>0</v>
      </c>
      <c r="F167">
        <v>0</v>
      </c>
      <c r="G167">
        <v>1</v>
      </c>
      <c r="H167">
        <v>0</v>
      </c>
      <c r="I167" t="s">
        <v>28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4.7</v>
      </c>
      <c r="AE167">
        <v>638</v>
      </c>
      <c r="AF167">
        <v>0</v>
      </c>
      <c r="AG167">
        <v>0</v>
      </c>
      <c r="AH167">
        <f>0*1</f>
        <v>0</v>
      </c>
      <c r="AI167">
        <f>0*1</f>
        <v>0</v>
      </c>
      <c r="AJ167">
        <v>1</v>
      </c>
      <c r="AK167">
        <v>0</v>
      </c>
      <c r="AL167">
        <v>0</v>
      </c>
    </row>
    <row r="168" spans="1:38" hidden="1" x14ac:dyDescent="0.2">
      <c r="A168" t="s">
        <v>391</v>
      </c>
      <c r="B168" t="s">
        <v>392</v>
      </c>
      <c r="C168" t="s">
        <v>392</v>
      </c>
      <c r="D168" t="s">
        <v>5</v>
      </c>
      <c r="E168">
        <v>0</v>
      </c>
      <c r="F168">
        <v>0</v>
      </c>
      <c r="G168">
        <v>1</v>
      </c>
      <c r="H168">
        <v>0</v>
      </c>
      <c r="I168" t="s">
        <v>29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4.8</v>
      </c>
      <c r="AE168">
        <v>652</v>
      </c>
      <c r="AF168">
        <v>26.329545454545482</v>
      </c>
      <c r="AG168">
        <v>24.449748862836842</v>
      </c>
      <c r="AH168">
        <f>17.5635716969462*1</f>
        <v>17.563571696946202</v>
      </c>
      <c r="AI168">
        <f>1.2589965963673*1</f>
        <v>1.2589965963673</v>
      </c>
      <c r="AJ168">
        <v>1</v>
      </c>
      <c r="AK168">
        <v>0</v>
      </c>
      <c r="AL168">
        <v>0</v>
      </c>
    </row>
    <row r="169" spans="1:38" hidden="1" x14ac:dyDescent="0.2">
      <c r="A169" t="s">
        <v>393</v>
      </c>
      <c r="B169" t="s">
        <v>394</v>
      </c>
      <c r="C169" t="s">
        <v>394</v>
      </c>
      <c r="D169" t="s">
        <v>5</v>
      </c>
      <c r="E169">
        <v>0</v>
      </c>
      <c r="F169">
        <v>0</v>
      </c>
      <c r="G169">
        <v>1</v>
      </c>
      <c r="H169">
        <v>0</v>
      </c>
      <c r="I169" t="s">
        <v>29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6.2</v>
      </c>
      <c r="AE169">
        <v>661</v>
      </c>
      <c r="AF169">
        <v>50.615384615384592</v>
      </c>
      <c r="AG169">
        <v>43.005719542287579</v>
      </c>
      <c r="AH169">
        <f>49.1139051229825*1</f>
        <v>49.113905122982501</v>
      </c>
      <c r="AI169">
        <f>3.50793331691239*1</f>
        <v>3.5079333169123901</v>
      </c>
      <c r="AJ169">
        <v>1</v>
      </c>
      <c r="AK169">
        <v>0</v>
      </c>
      <c r="AL169">
        <v>0</v>
      </c>
    </row>
    <row r="170" spans="1:38" hidden="1" x14ac:dyDescent="0.2">
      <c r="A170" t="s">
        <v>395</v>
      </c>
      <c r="B170" t="s">
        <v>396</v>
      </c>
      <c r="C170" t="s">
        <v>396</v>
      </c>
      <c r="D170" t="s">
        <v>5</v>
      </c>
      <c r="E170">
        <v>0</v>
      </c>
      <c r="F170">
        <v>0</v>
      </c>
      <c r="G170">
        <v>1</v>
      </c>
      <c r="H170">
        <v>0</v>
      </c>
      <c r="I170" t="s">
        <v>29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6.3</v>
      </c>
      <c r="AE170">
        <v>662</v>
      </c>
      <c r="AF170">
        <v>54.764705882352942</v>
      </c>
      <c r="AG170">
        <v>52.136399311566713</v>
      </c>
      <c r="AH170">
        <f>31.677880191433*1</f>
        <v>31.677880191433001</v>
      </c>
      <c r="AI170">
        <f>2.26345086191302*1</f>
        <v>2.2634508619130198</v>
      </c>
      <c r="AJ170">
        <v>1</v>
      </c>
      <c r="AK170">
        <v>0</v>
      </c>
      <c r="AL170">
        <v>0</v>
      </c>
    </row>
    <row r="171" spans="1:38" hidden="1" x14ac:dyDescent="0.2">
      <c r="A171" t="s">
        <v>222</v>
      </c>
      <c r="B171" t="s">
        <v>397</v>
      </c>
      <c r="C171" t="s">
        <v>397</v>
      </c>
      <c r="D171" t="s">
        <v>5</v>
      </c>
      <c r="E171">
        <v>0</v>
      </c>
      <c r="F171">
        <v>0</v>
      </c>
      <c r="G171">
        <v>1</v>
      </c>
      <c r="H171">
        <v>0</v>
      </c>
      <c r="I171" t="s">
        <v>29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7.4</v>
      </c>
      <c r="AE171">
        <v>664</v>
      </c>
      <c r="AF171">
        <v>55.24212643135769</v>
      </c>
      <c r="AG171">
        <v>56.451561113576901</v>
      </c>
      <c r="AH171">
        <f>37.423461382242*1</f>
        <v>37.423461382242003</v>
      </c>
      <c r="AI171">
        <f>2.38929352012921*1</f>
        <v>2.3892935201292098</v>
      </c>
      <c r="AJ171">
        <v>1</v>
      </c>
      <c r="AK171">
        <v>0</v>
      </c>
      <c r="AL171">
        <v>0</v>
      </c>
    </row>
    <row r="172" spans="1:38" hidden="1" x14ac:dyDescent="0.2">
      <c r="A172" t="s">
        <v>184</v>
      </c>
      <c r="B172" t="s">
        <v>398</v>
      </c>
      <c r="C172" t="s">
        <v>399</v>
      </c>
      <c r="D172" t="s">
        <v>4</v>
      </c>
      <c r="E172">
        <v>0</v>
      </c>
      <c r="F172">
        <v>1</v>
      </c>
      <c r="G172">
        <v>0</v>
      </c>
      <c r="H172">
        <v>0</v>
      </c>
      <c r="I172" t="s">
        <v>29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5.4</v>
      </c>
      <c r="AE172">
        <v>665</v>
      </c>
      <c r="AF172">
        <v>51.305836085158631</v>
      </c>
      <c r="AG172">
        <v>54.626435627577621</v>
      </c>
      <c r="AH172">
        <f>27.1020637300292*1</f>
        <v>27.102063730029201</v>
      </c>
      <c r="AI172">
        <f>1.96288283939053*1</f>
        <v>1.96288283939053</v>
      </c>
      <c r="AJ172">
        <v>1</v>
      </c>
      <c r="AK172">
        <v>0</v>
      </c>
      <c r="AL172">
        <v>0</v>
      </c>
    </row>
    <row r="173" spans="1:38" hidden="1" x14ac:dyDescent="0.2">
      <c r="A173" t="s">
        <v>400</v>
      </c>
      <c r="B173" t="s">
        <v>206</v>
      </c>
      <c r="C173" t="s">
        <v>401</v>
      </c>
      <c r="D173" t="s">
        <v>5</v>
      </c>
      <c r="E173">
        <v>0</v>
      </c>
      <c r="F173">
        <v>0</v>
      </c>
      <c r="G173">
        <v>1</v>
      </c>
      <c r="H173">
        <v>0</v>
      </c>
      <c r="I173" t="s">
        <v>29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4.8</v>
      </c>
      <c r="AE173">
        <v>669</v>
      </c>
      <c r="AF173">
        <v>30.71641791044776</v>
      </c>
      <c r="AG173">
        <v>29.212082860736651</v>
      </c>
      <c r="AH173">
        <f>14.5073924744411*1</f>
        <v>14.507392474441099</v>
      </c>
      <c r="AI173">
        <f>1.03579060464379*1</f>
        <v>1.0357906046437899</v>
      </c>
      <c r="AJ173">
        <v>1</v>
      </c>
      <c r="AK173">
        <v>0</v>
      </c>
      <c r="AL173">
        <v>0</v>
      </c>
    </row>
    <row r="174" spans="1:38" hidden="1" x14ac:dyDescent="0.2">
      <c r="A174" t="s">
        <v>402</v>
      </c>
      <c r="B174" t="s">
        <v>403</v>
      </c>
      <c r="C174" t="s">
        <v>402</v>
      </c>
      <c r="D174" t="s">
        <v>5</v>
      </c>
      <c r="E174">
        <v>0</v>
      </c>
      <c r="F174">
        <v>0</v>
      </c>
      <c r="G174">
        <v>1</v>
      </c>
      <c r="H174">
        <v>0</v>
      </c>
      <c r="I174" t="s">
        <v>29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9.8000000000000007</v>
      </c>
      <c r="AE174">
        <v>672</v>
      </c>
      <c r="AF174">
        <v>71.231869348699021</v>
      </c>
      <c r="AG174">
        <v>78.400654974543883</v>
      </c>
      <c r="AH174">
        <f>45.9396155753287*1</f>
        <v>45.939615575328702</v>
      </c>
      <c r="AI174">
        <f>2.86470014129902*1</f>
        <v>2.8647001412990201</v>
      </c>
      <c r="AJ174">
        <v>1</v>
      </c>
      <c r="AK174">
        <v>0</v>
      </c>
      <c r="AL174">
        <v>0</v>
      </c>
    </row>
    <row r="175" spans="1:38" hidden="1" x14ac:dyDescent="0.2">
      <c r="A175" t="s">
        <v>404</v>
      </c>
      <c r="B175" t="s">
        <v>405</v>
      </c>
      <c r="C175" t="s">
        <v>405</v>
      </c>
      <c r="D175" t="s">
        <v>4</v>
      </c>
      <c r="E175">
        <v>0</v>
      </c>
      <c r="F175">
        <v>1</v>
      </c>
      <c r="G175">
        <v>0</v>
      </c>
      <c r="H175">
        <v>0</v>
      </c>
      <c r="I175" t="s">
        <v>29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4.8</v>
      </c>
      <c r="AE175">
        <v>674</v>
      </c>
      <c r="AF175">
        <v>0</v>
      </c>
      <c r="AG175">
        <v>0</v>
      </c>
      <c r="AH175">
        <f>0*1</f>
        <v>0</v>
      </c>
      <c r="AI175">
        <f>0*1</f>
        <v>0</v>
      </c>
      <c r="AJ175">
        <v>1</v>
      </c>
      <c r="AK175">
        <v>0</v>
      </c>
      <c r="AL175">
        <v>0</v>
      </c>
    </row>
    <row r="176" spans="1:38" hidden="1" x14ac:dyDescent="0.2">
      <c r="A176" t="s">
        <v>406</v>
      </c>
      <c r="B176" t="s">
        <v>407</v>
      </c>
      <c r="C176" t="s">
        <v>407</v>
      </c>
      <c r="D176" t="s">
        <v>5</v>
      </c>
      <c r="E176">
        <v>0</v>
      </c>
      <c r="F176">
        <v>0</v>
      </c>
      <c r="G176">
        <v>1</v>
      </c>
      <c r="H176">
        <v>0</v>
      </c>
      <c r="I176" t="s">
        <v>29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6.2</v>
      </c>
      <c r="AE176">
        <v>678</v>
      </c>
      <c r="AF176">
        <v>45.33189480309845</v>
      </c>
      <c r="AG176">
        <v>55.539003391463353</v>
      </c>
      <c r="AH176">
        <f>23.979413608341*1</f>
        <v>23.979413608341002</v>
      </c>
      <c r="AI176">
        <f>1.55455027388261*1</f>
        <v>1.55455027388261</v>
      </c>
      <c r="AJ176">
        <v>1</v>
      </c>
      <c r="AK176">
        <v>0</v>
      </c>
      <c r="AL176">
        <v>0</v>
      </c>
    </row>
    <row r="177" spans="1:38" hidden="1" x14ac:dyDescent="0.2">
      <c r="A177" t="s">
        <v>408</v>
      </c>
      <c r="B177" t="s">
        <v>409</v>
      </c>
      <c r="C177" t="s">
        <v>409</v>
      </c>
      <c r="D177" t="s">
        <v>4</v>
      </c>
      <c r="E177">
        <v>0</v>
      </c>
      <c r="F177">
        <v>1</v>
      </c>
      <c r="G177">
        <v>0</v>
      </c>
      <c r="H177">
        <v>0</v>
      </c>
      <c r="I177" t="s">
        <v>30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4.5</v>
      </c>
      <c r="AE177">
        <v>696</v>
      </c>
      <c r="AF177">
        <v>44.552486187845297</v>
      </c>
      <c r="AG177">
        <v>42.871997282849478</v>
      </c>
      <c r="AH177">
        <f>23.678302882393*1</f>
        <v>23.678302882393002</v>
      </c>
      <c r="AI177">
        <f>1.5655285939825*1</f>
        <v>1.5655285939825001</v>
      </c>
      <c r="AJ177">
        <v>1</v>
      </c>
      <c r="AK177">
        <v>0</v>
      </c>
      <c r="AL177">
        <v>0</v>
      </c>
    </row>
    <row r="178" spans="1:38" hidden="1" x14ac:dyDescent="0.2">
      <c r="A178" t="s">
        <v>410</v>
      </c>
      <c r="B178" t="s">
        <v>411</v>
      </c>
      <c r="C178" t="s">
        <v>412</v>
      </c>
      <c r="D178" t="s">
        <v>5</v>
      </c>
      <c r="E178">
        <v>0</v>
      </c>
      <c r="F178">
        <v>0</v>
      </c>
      <c r="G178">
        <v>1</v>
      </c>
      <c r="H178">
        <v>0</v>
      </c>
      <c r="I178" t="s">
        <v>30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5</v>
      </c>
      <c r="AE178">
        <v>697</v>
      </c>
      <c r="AF178">
        <v>24.36000000000001</v>
      </c>
      <c r="AG178">
        <v>18.306477402064051</v>
      </c>
      <c r="AH178">
        <f>10.7725620892397*1</f>
        <v>10.772562089239701</v>
      </c>
      <c r="AI178">
        <f>0.736273009793068*1</f>
        <v>0.73627300979306798</v>
      </c>
      <c r="AJ178">
        <v>1</v>
      </c>
      <c r="AK178">
        <v>0</v>
      </c>
      <c r="AL178">
        <v>0</v>
      </c>
    </row>
    <row r="179" spans="1:38" hidden="1" x14ac:dyDescent="0.2">
      <c r="A179" t="s">
        <v>413</v>
      </c>
      <c r="B179" t="s">
        <v>414</v>
      </c>
      <c r="C179" t="s">
        <v>414</v>
      </c>
      <c r="D179" t="s">
        <v>5</v>
      </c>
      <c r="E179">
        <v>0</v>
      </c>
      <c r="F179">
        <v>0</v>
      </c>
      <c r="G179">
        <v>1</v>
      </c>
      <c r="H179">
        <v>0</v>
      </c>
      <c r="I179" t="s">
        <v>30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7.3</v>
      </c>
      <c r="AE179">
        <v>700</v>
      </c>
      <c r="AF179">
        <v>63.753515272915202</v>
      </c>
      <c r="AG179">
        <v>65.999356206823578</v>
      </c>
      <c r="AH179">
        <f>46.7229792500705*1</f>
        <v>46.722979250070502</v>
      </c>
      <c r="AI179">
        <f>3.29641038559406*1</f>
        <v>3.2964103855940601</v>
      </c>
      <c r="AJ179">
        <v>1</v>
      </c>
      <c r="AK179">
        <v>0</v>
      </c>
      <c r="AL179">
        <v>0</v>
      </c>
    </row>
    <row r="180" spans="1:38" hidden="1" x14ac:dyDescent="0.2">
      <c r="A180" t="s">
        <v>415</v>
      </c>
      <c r="B180" t="s">
        <v>416</v>
      </c>
      <c r="C180" t="s">
        <v>415</v>
      </c>
      <c r="D180" t="s">
        <v>4</v>
      </c>
      <c r="E180">
        <v>0</v>
      </c>
      <c r="F180">
        <v>1</v>
      </c>
      <c r="G180">
        <v>0</v>
      </c>
      <c r="H180">
        <v>0</v>
      </c>
      <c r="I180" t="s">
        <v>30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4.4000000000000004</v>
      </c>
      <c r="AE180">
        <v>704</v>
      </c>
      <c r="AF180">
        <v>28.7869788485309</v>
      </c>
      <c r="AG180">
        <v>24.937473516092211</v>
      </c>
      <c r="AH180">
        <f>17.6893691642662*1</f>
        <v>17.6893691642662</v>
      </c>
      <c r="AI180">
        <f>1.04898707483736*1</f>
        <v>1.04898707483736</v>
      </c>
      <c r="AJ180">
        <v>1</v>
      </c>
      <c r="AK180">
        <v>0</v>
      </c>
      <c r="AL180">
        <v>0</v>
      </c>
    </row>
    <row r="181" spans="1:38" hidden="1" x14ac:dyDescent="0.2">
      <c r="A181" t="s">
        <v>417</v>
      </c>
      <c r="B181" t="s">
        <v>418</v>
      </c>
      <c r="C181" t="s">
        <v>418</v>
      </c>
      <c r="D181" t="s">
        <v>4</v>
      </c>
      <c r="E181">
        <v>0</v>
      </c>
      <c r="F181">
        <v>1</v>
      </c>
      <c r="G181">
        <v>0</v>
      </c>
      <c r="H181">
        <v>0</v>
      </c>
      <c r="I181" t="s">
        <v>30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4.3</v>
      </c>
      <c r="AE181">
        <v>708</v>
      </c>
      <c r="AF181">
        <v>29.32305754397369</v>
      </c>
      <c r="AG181">
        <v>44.19965379128368</v>
      </c>
      <c r="AH181">
        <f>14.5898517715073*1</f>
        <v>14.5898517715073</v>
      </c>
      <c r="AI181">
        <f>0.961918396877195*1</f>
        <v>0.96191839687719505</v>
      </c>
      <c r="AJ181">
        <v>1</v>
      </c>
      <c r="AK181">
        <v>0</v>
      </c>
      <c r="AL181">
        <v>0</v>
      </c>
    </row>
    <row r="182" spans="1:38" hidden="1" x14ac:dyDescent="0.2">
      <c r="A182" t="s">
        <v>419</v>
      </c>
      <c r="B182" t="s">
        <v>420</v>
      </c>
      <c r="C182" t="s">
        <v>420</v>
      </c>
      <c r="D182" t="s">
        <v>5</v>
      </c>
      <c r="E182">
        <v>0</v>
      </c>
      <c r="F182">
        <v>0</v>
      </c>
      <c r="G182">
        <v>1</v>
      </c>
      <c r="H182">
        <v>0</v>
      </c>
      <c r="I182" t="s">
        <v>30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6.2</v>
      </c>
      <c r="AE182">
        <v>709</v>
      </c>
      <c r="AF182">
        <v>50.755018027738309</v>
      </c>
      <c r="AG182">
        <v>59.874136236675703</v>
      </c>
      <c r="AH182">
        <f>19.758477195208*1</f>
        <v>19.758477195207998</v>
      </c>
      <c r="AI182">
        <f>1.40181364477024*1</f>
        <v>1.4018136447702401</v>
      </c>
      <c r="AJ182">
        <v>1</v>
      </c>
      <c r="AK182">
        <v>0</v>
      </c>
      <c r="AL182">
        <v>0</v>
      </c>
    </row>
    <row r="183" spans="1:38" hidden="1" x14ac:dyDescent="0.2">
      <c r="A183" t="s">
        <v>66</v>
      </c>
      <c r="B183" t="s">
        <v>421</v>
      </c>
      <c r="C183" t="s">
        <v>422</v>
      </c>
      <c r="D183" t="s">
        <v>5</v>
      </c>
      <c r="E183">
        <v>0</v>
      </c>
      <c r="F183">
        <v>0</v>
      </c>
      <c r="G183">
        <v>1</v>
      </c>
      <c r="H183">
        <v>0</v>
      </c>
      <c r="I183" t="s">
        <v>30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5.7</v>
      </c>
      <c r="AE183">
        <v>711</v>
      </c>
      <c r="AF183">
        <v>43.745015737229579</v>
      </c>
      <c r="AG183">
        <v>48.28954875056489</v>
      </c>
      <c r="AH183">
        <f>21.761520019655*1</f>
        <v>21.761520019654998</v>
      </c>
      <c r="AI183">
        <f>1.45008892936868*1</f>
        <v>1.4500889293686801</v>
      </c>
      <c r="AJ183">
        <v>1</v>
      </c>
      <c r="AK183">
        <v>0</v>
      </c>
      <c r="AL183">
        <v>0</v>
      </c>
    </row>
    <row r="184" spans="1:38" hidden="1" x14ac:dyDescent="0.2">
      <c r="A184" t="s">
        <v>423</v>
      </c>
      <c r="B184" t="s">
        <v>424</v>
      </c>
      <c r="C184" t="s">
        <v>424</v>
      </c>
      <c r="D184" t="s">
        <v>4</v>
      </c>
      <c r="E184">
        <v>0</v>
      </c>
      <c r="F184">
        <v>1</v>
      </c>
      <c r="G184">
        <v>0</v>
      </c>
      <c r="H184">
        <v>0</v>
      </c>
      <c r="I184" t="s">
        <v>30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4.3</v>
      </c>
      <c r="AE184">
        <v>712</v>
      </c>
      <c r="AF184">
        <v>0</v>
      </c>
      <c r="AG184">
        <v>0</v>
      </c>
      <c r="AH184">
        <f>0*1</f>
        <v>0</v>
      </c>
      <c r="AI184">
        <f>0*1</f>
        <v>0</v>
      </c>
      <c r="AJ184">
        <v>1</v>
      </c>
      <c r="AK184">
        <v>0</v>
      </c>
      <c r="AL184">
        <v>0</v>
      </c>
    </row>
    <row r="185" spans="1:38" hidden="1" x14ac:dyDescent="0.2">
      <c r="A185" t="s">
        <v>425</v>
      </c>
      <c r="B185" t="s">
        <v>426</v>
      </c>
      <c r="C185" t="s">
        <v>426</v>
      </c>
      <c r="D185" t="s">
        <v>5</v>
      </c>
      <c r="E185">
        <v>0</v>
      </c>
      <c r="F185">
        <v>0</v>
      </c>
      <c r="G185">
        <v>1</v>
      </c>
      <c r="H185">
        <v>0</v>
      </c>
      <c r="I185" t="s">
        <v>30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4.9000000000000004</v>
      </c>
      <c r="AE185">
        <v>714</v>
      </c>
      <c r="AF185">
        <v>45.55932203389829</v>
      </c>
      <c r="AG185">
        <v>31.89601538131377</v>
      </c>
      <c r="AH185">
        <f>35.8844302068272*1</f>
        <v>35.884430206827197</v>
      </c>
      <c r="AI185">
        <f>2.48365113143053*1</f>
        <v>2.4836511314305301</v>
      </c>
      <c r="AJ185">
        <v>1</v>
      </c>
      <c r="AK185">
        <v>0</v>
      </c>
      <c r="AL185">
        <v>0</v>
      </c>
    </row>
    <row r="186" spans="1:38" hidden="1" x14ac:dyDescent="0.2">
      <c r="A186" t="s">
        <v>427</v>
      </c>
      <c r="B186" t="s">
        <v>428</v>
      </c>
      <c r="C186" t="s">
        <v>428</v>
      </c>
      <c r="D186" t="s">
        <v>5</v>
      </c>
      <c r="E186">
        <v>0</v>
      </c>
      <c r="F186">
        <v>0</v>
      </c>
      <c r="G186">
        <v>1</v>
      </c>
      <c r="H186">
        <v>0</v>
      </c>
      <c r="I186" t="s">
        <v>30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5.5</v>
      </c>
      <c r="AE186">
        <v>718</v>
      </c>
      <c r="AF186">
        <v>29.764018350705239</v>
      </c>
      <c r="AG186">
        <v>44.771476799382789</v>
      </c>
      <c r="AH186">
        <f>7.11434794360315*1</f>
        <v>7.1143479436031498</v>
      </c>
      <c r="AI186">
        <f>0.574648463713191*1</f>
        <v>0.574648463713191</v>
      </c>
      <c r="AJ186">
        <v>1</v>
      </c>
      <c r="AK186">
        <v>0</v>
      </c>
      <c r="AL186">
        <v>0</v>
      </c>
    </row>
    <row r="187" spans="1:38" hidden="1" x14ac:dyDescent="0.2">
      <c r="A187" t="s">
        <v>429</v>
      </c>
      <c r="B187" t="s">
        <v>430</v>
      </c>
      <c r="C187" t="s">
        <v>430</v>
      </c>
      <c r="D187" t="s">
        <v>4</v>
      </c>
      <c r="E187">
        <v>0</v>
      </c>
      <c r="F187">
        <v>1</v>
      </c>
      <c r="G187">
        <v>0</v>
      </c>
      <c r="H187">
        <v>0</v>
      </c>
      <c r="I187" t="s">
        <v>31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4.7</v>
      </c>
      <c r="AE187">
        <v>729</v>
      </c>
      <c r="AF187">
        <v>0</v>
      </c>
      <c r="AG187">
        <v>0</v>
      </c>
      <c r="AH187">
        <f>0*1</f>
        <v>0</v>
      </c>
      <c r="AI187">
        <f>0*1</f>
        <v>0</v>
      </c>
      <c r="AJ187">
        <v>1</v>
      </c>
      <c r="AK187">
        <v>0</v>
      </c>
      <c r="AL187">
        <v>0</v>
      </c>
    </row>
    <row r="188" spans="1:38" hidden="1" x14ac:dyDescent="0.2">
      <c r="A188" t="s">
        <v>431</v>
      </c>
      <c r="B188" t="s">
        <v>432</v>
      </c>
      <c r="C188" t="s">
        <v>432</v>
      </c>
      <c r="D188" t="s">
        <v>5</v>
      </c>
      <c r="E188">
        <v>0</v>
      </c>
      <c r="F188">
        <v>0</v>
      </c>
      <c r="G188">
        <v>1</v>
      </c>
      <c r="H188">
        <v>0</v>
      </c>
      <c r="I188" t="s">
        <v>31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4.9000000000000004</v>
      </c>
      <c r="AE188">
        <v>731</v>
      </c>
      <c r="AF188">
        <v>0</v>
      </c>
      <c r="AG188">
        <v>0</v>
      </c>
      <c r="AH188">
        <f>0*1</f>
        <v>0</v>
      </c>
      <c r="AI188">
        <f>0*1</f>
        <v>0</v>
      </c>
      <c r="AJ188">
        <v>1</v>
      </c>
      <c r="AK188">
        <v>0</v>
      </c>
      <c r="AL188">
        <v>0</v>
      </c>
    </row>
    <row r="189" spans="1:38" x14ac:dyDescent="0.2">
      <c r="A189" t="s">
        <v>94</v>
      </c>
      <c r="B189" t="s">
        <v>340</v>
      </c>
      <c r="C189" t="s">
        <v>340</v>
      </c>
      <c r="D189" t="s">
        <v>4</v>
      </c>
      <c r="E189">
        <v>0</v>
      </c>
      <c r="F189">
        <v>1</v>
      </c>
      <c r="G189">
        <v>0</v>
      </c>
      <c r="H189">
        <v>0</v>
      </c>
      <c r="I189" t="s">
        <v>26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5.0999999999999996</v>
      </c>
      <c r="AE189">
        <v>545</v>
      </c>
      <c r="AF189">
        <v>0</v>
      </c>
      <c r="AG189">
        <v>0</v>
      </c>
      <c r="AH189">
        <f>0*1</f>
        <v>0</v>
      </c>
      <c r="AI189">
        <f>0*1</f>
        <v>0</v>
      </c>
      <c r="AJ189">
        <v>1</v>
      </c>
      <c r="AK189">
        <v>1</v>
      </c>
      <c r="AL189">
        <v>1</v>
      </c>
    </row>
    <row r="190" spans="1:38" hidden="1" x14ac:dyDescent="0.2">
      <c r="A190" t="s">
        <v>436</v>
      </c>
      <c r="B190" t="s">
        <v>437</v>
      </c>
      <c r="C190" t="s">
        <v>437</v>
      </c>
      <c r="D190" t="s">
        <v>4</v>
      </c>
      <c r="E190">
        <v>0</v>
      </c>
      <c r="F190">
        <v>1</v>
      </c>
      <c r="G190">
        <v>0</v>
      </c>
      <c r="H190">
        <v>0</v>
      </c>
      <c r="I190" t="s">
        <v>31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4.3</v>
      </c>
      <c r="AE190">
        <v>739</v>
      </c>
      <c r="AF190">
        <v>35.518670931987948</v>
      </c>
      <c r="AG190">
        <v>58.532489005959292</v>
      </c>
      <c r="AH190">
        <f>12.8987895920933*1</f>
        <v>12.8987895920933</v>
      </c>
      <c r="AI190">
        <f>0.959462415298041*1</f>
        <v>0.95946241529804099</v>
      </c>
      <c r="AJ190">
        <v>1</v>
      </c>
      <c r="AK190">
        <v>0</v>
      </c>
      <c r="AL190">
        <v>0</v>
      </c>
    </row>
    <row r="191" spans="1:38" hidden="1" x14ac:dyDescent="0.2">
      <c r="A191" t="s">
        <v>438</v>
      </c>
      <c r="B191" t="s">
        <v>439</v>
      </c>
      <c r="C191" t="s">
        <v>439</v>
      </c>
      <c r="D191" t="s">
        <v>5</v>
      </c>
      <c r="E191">
        <v>0</v>
      </c>
      <c r="F191">
        <v>0</v>
      </c>
      <c r="G191">
        <v>1</v>
      </c>
      <c r="H191">
        <v>0</v>
      </c>
      <c r="I191" t="s">
        <v>31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4.8</v>
      </c>
      <c r="AE191">
        <v>740</v>
      </c>
      <c r="AF191">
        <v>0</v>
      </c>
      <c r="AG191">
        <v>0</v>
      </c>
      <c r="AH191">
        <f>0*1</f>
        <v>0</v>
      </c>
      <c r="AI191">
        <f>0*1</f>
        <v>0</v>
      </c>
      <c r="AJ191">
        <v>1</v>
      </c>
      <c r="AK191">
        <v>0</v>
      </c>
      <c r="AL191">
        <v>0</v>
      </c>
    </row>
    <row r="192" spans="1:38" hidden="1" x14ac:dyDescent="0.2">
      <c r="A192" t="s">
        <v>440</v>
      </c>
      <c r="B192" t="s">
        <v>441</v>
      </c>
      <c r="C192" t="s">
        <v>442</v>
      </c>
      <c r="D192" t="s">
        <v>5</v>
      </c>
      <c r="E192">
        <v>0</v>
      </c>
      <c r="F192">
        <v>0</v>
      </c>
      <c r="G192">
        <v>1</v>
      </c>
      <c r="H192">
        <v>0</v>
      </c>
      <c r="I192" t="s">
        <v>31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5.3</v>
      </c>
      <c r="AE192">
        <v>744</v>
      </c>
      <c r="AF192">
        <v>0</v>
      </c>
      <c r="AG192">
        <v>0</v>
      </c>
      <c r="AH192">
        <f>0*1</f>
        <v>0</v>
      </c>
      <c r="AI192">
        <f>0*1</f>
        <v>0</v>
      </c>
      <c r="AJ192">
        <v>1</v>
      </c>
      <c r="AK192">
        <v>0</v>
      </c>
      <c r="AL192">
        <v>0</v>
      </c>
    </row>
    <row r="193" spans="1:38" hidden="1" x14ac:dyDescent="0.2">
      <c r="A193" t="s">
        <v>443</v>
      </c>
      <c r="B193" t="s">
        <v>444</v>
      </c>
      <c r="C193" t="s">
        <v>445</v>
      </c>
      <c r="D193" t="s">
        <v>5</v>
      </c>
      <c r="E193">
        <v>0</v>
      </c>
      <c r="F193">
        <v>0</v>
      </c>
      <c r="G193">
        <v>1</v>
      </c>
      <c r="H193">
        <v>0</v>
      </c>
      <c r="I193" t="s">
        <v>31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6.1</v>
      </c>
      <c r="AE193">
        <v>746</v>
      </c>
      <c r="AF193">
        <v>39.49467058195129</v>
      </c>
      <c r="AG193">
        <v>52.800902640615831</v>
      </c>
      <c r="AH193">
        <f>16.653249588319*1</f>
        <v>16.653249588318999</v>
      </c>
      <c r="AI193">
        <f>1.17761782416843*1</f>
        <v>1.1776178241684301</v>
      </c>
      <c r="AJ193">
        <v>1</v>
      </c>
      <c r="AK193">
        <v>0</v>
      </c>
      <c r="AL193">
        <v>0</v>
      </c>
    </row>
    <row r="194" spans="1:38" hidden="1" x14ac:dyDescent="0.2">
      <c r="A194" t="s">
        <v>446</v>
      </c>
      <c r="B194" t="s">
        <v>447</v>
      </c>
      <c r="C194" t="s">
        <v>448</v>
      </c>
      <c r="D194" t="s">
        <v>5</v>
      </c>
      <c r="E194">
        <v>0</v>
      </c>
      <c r="F194">
        <v>0</v>
      </c>
      <c r="G194">
        <v>1</v>
      </c>
      <c r="H194">
        <v>0</v>
      </c>
      <c r="I194" t="s">
        <v>31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4.9000000000000004</v>
      </c>
      <c r="AE194">
        <v>749</v>
      </c>
      <c r="AF194">
        <v>31.455908311663649</v>
      </c>
      <c r="AG194">
        <v>23.211929269534039</v>
      </c>
      <c r="AH194">
        <f>19.7957194688973*1</f>
        <v>19.7957194688973</v>
      </c>
      <c r="AI194">
        <f>1.73520801765776*1</f>
        <v>1.73520801765776</v>
      </c>
      <c r="AJ194">
        <v>1</v>
      </c>
      <c r="AK194">
        <v>0</v>
      </c>
      <c r="AL194">
        <v>0</v>
      </c>
    </row>
    <row r="195" spans="1:38" hidden="1" x14ac:dyDescent="0.2">
      <c r="A195" t="s">
        <v>449</v>
      </c>
      <c r="B195" t="s">
        <v>450</v>
      </c>
      <c r="C195" t="s">
        <v>451</v>
      </c>
      <c r="D195" t="s">
        <v>3</v>
      </c>
      <c r="E195">
        <v>1</v>
      </c>
      <c r="F195">
        <v>0</v>
      </c>
      <c r="G195">
        <v>0</v>
      </c>
      <c r="H195">
        <v>0</v>
      </c>
      <c r="I195" t="s">
        <v>31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4.3</v>
      </c>
      <c r="AE195">
        <v>750</v>
      </c>
      <c r="AF195">
        <v>42.739411604683561</v>
      </c>
      <c r="AG195">
        <v>54.388013724882263</v>
      </c>
      <c r="AH195">
        <f>22.7120396753788*1</f>
        <v>22.712039675378801</v>
      </c>
      <c r="AI195">
        <f>1.61846036642625*1</f>
        <v>1.61846036642625</v>
      </c>
      <c r="AJ195">
        <v>1</v>
      </c>
      <c r="AK195">
        <v>0</v>
      </c>
      <c r="AL195">
        <v>0</v>
      </c>
    </row>
    <row r="196" spans="1:38" hidden="1" x14ac:dyDescent="0.2">
      <c r="A196" t="s">
        <v>452</v>
      </c>
      <c r="B196" t="s">
        <v>453</v>
      </c>
      <c r="C196" t="s">
        <v>454</v>
      </c>
      <c r="D196" t="s">
        <v>5</v>
      </c>
      <c r="E196">
        <v>0</v>
      </c>
      <c r="F196">
        <v>0</v>
      </c>
      <c r="G196">
        <v>1</v>
      </c>
      <c r="H196">
        <v>0</v>
      </c>
      <c r="I196" t="s">
        <v>31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4.8</v>
      </c>
      <c r="AE196">
        <v>753</v>
      </c>
      <c r="AF196">
        <v>32.465517241379317</v>
      </c>
      <c r="AG196">
        <v>26.436794794431268</v>
      </c>
      <c r="AH196">
        <f>31.3500333153529*1</f>
        <v>31.350033315352899</v>
      </c>
      <c r="AI196">
        <f>2.30460123054489*1</f>
        <v>2.3046012305448902</v>
      </c>
      <c r="AJ196">
        <v>1</v>
      </c>
      <c r="AK196">
        <v>0</v>
      </c>
      <c r="AL196">
        <v>0</v>
      </c>
    </row>
    <row r="197" spans="1:38" hidden="1" x14ac:dyDescent="0.2">
      <c r="A197" t="s">
        <v>455</v>
      </c>
      <c r="B197" t="s">
        <v>456</v>
      </c>
      <c r="C197" t="s">
        <v>457</v>
      </c>
      <c r="D197" t="s">
        <v>4</v>
      </c>
      <c r="E197">
        <v>0</v>
      </c>
      <c r="F197">
        <v>1</v>
      </c>
      <c r="G197">
        <v>0</v>
      </c>
      <c r="H197">
        <v>0</v>
      </c>
      <c r="I197" t="s">
        <v>31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4.5</v>
      </c>
      <c r="AE197">
        <v>755</v>
      </c>
      <c r="AF197">
        <v>31.144666709947028</v>
      </c>
      <c r="AG197">
        <v>41.773218033749608</v>
      </c>
      <c r="AH197">
        <f>13.2642918009506*1</f>
        <v>13.2642918009506</v>
      </c>
      <c r="AI197">
        <f>0.914033116690613*1</f>
        <v>0.91403311669061305</v>
      </c>
      <c r="AJ197">
        <v>1</v>
      </c>
      <c r="AK197">
        <v>0</v>
      </c>
      <c r="AL197">
        <v>0</v>
      </c>
    </row>
    <row r="198" spans="1:38" hidden="1" x14ac:dyDescent="0.2">
      <c r="A198" t="s">
        <v>458</v>
      </c>
      <c r="B198" t="s">
        <v>459</v>
      </c>
      <c r="C198" t="s">
        <v>460</v>
      </c>
      <c r="D198" t="s">
        <v>4</v>
      </c>
      <c r="E198">
        <v>0</v>
      </c>
      <c r="F198">
        <v>1</v>
      </c>
      <c r="G198">
        <v>0</v>
      </c>
      <c r="H198">
        <v>0</v>
      </c>
      <c r="I198" t="s">
        <v>31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4.3</v>
      </c>
      <c r="AE198">
        <v>759</v>
      </c>
      <c r="AF198">
        <v>0</v>
      </c>
      <c r="AG198">
        <v>0</v>
      </c>
      <c r="AH198">
        <f>0*1</f>
        <v>0</v>
      </c>
      <c r="AI198">
        <f>0*1</f>
        <v>0</v>
      </c>
      <c r="AJ198">
        <v>1</v>
      </c>
      <c r="AK198">
        <v>0</v>
      </c>
      <c r="AL198">
        <v>0</v>
      </c>
    </row>
    <row r="199" spans="1:38" hidden="1" x14ac:dyDescent="0.2">
      <c r="A199" t="s">
        <v>461</v>
      </c>
      <c r="B199" t="s">
        <v>462</v>
      </c>
      <c r="C199" t="s">
        <v>463</v>
      </c>
      <c r="D199" t="s">
        <v>4</v>
      </c>
      <c r="E199">
        <v>0</v>
      </c>
      <c r="F199">
        <v>1</v>
      </c>
      <c r="G199">
        <v>0</v>
      </c>
      <c r="H199">
        <v>0</v>
      </c>
      <c r="I199" t="s">
        <v>31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4.3</v>
      </c>
      <c r="AE199">
        <v>762</v>
      </c>
      <c r="AF199">
        <v>33.444444444444443</v>
      </c>
      <c r="AG199">
        <v>31.96669828580767</v>
      </c>
      <c r="AH199">
        <f>24.7690921160423*1</f>
        <v>24.769092116042302</v>
      </c>
      <c r="AI199">
        <f>1.81701431209195*1</f>
        <v>1.81701431209195</v>
      </c>
      <c r="AJ199">
        <v>1</v>
      </c>
      <c r="AK199">
        <v>0</v>
      </c>
      <c r="AL199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2025-02-13T16:37:58Z</dcterms:created>
  <dcterms:modified xsi:type="dcterms:W3CDTF">2025-02-13T16:42:37Z</dcterms:modified>
</cp:coreProperties>
</file>