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FPL-predictor/Predictions/2024-25/"/>
    </mc:Choice>
  </mc:AlternateContent>
  <xr:revisionPtr revIDLastSave="0" documentId="13_ncr:1_{50C61CB1-E16C-734E-AF9A-2670B87C271B}" xr6:coauthVersionLast="47" xr6:coauthVersionMax="47" xr10:uidLastSave="{00000000-0000-0000-0000-000000000000}"/>
  <bookViews>
    <workbookView xWindow="240" yWindow="760" windowWidth="21600" windowHeight="17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49" i="1" l="1"/>
  <c r="AI149" i="1"/>
  <c r="AJ148" i="1"/>
  <c r="AI148" i="1"/>
  <c r="AJ28" i="1"/>
  <c r="AI28" i="1"/>
  <c r="AJ146" i="1"/>
  <c r="AI146" i="1"/>
  <c r="AJ145" i="1"/>
  <c r="AI145" i="1"/>
  <c r="AJ144" i="1"/>
  <c r="AI144" i="1"/>
  <c r="AJ143" i="1"/>
  <c r="AI143" i="1"/>
  <c r="AJ142" i="1"/>
  <c r="AI142" i="1"/>
  <c r="AJ141" i="1"/>
  <c r="AI141" i="1"/>
  <c r="AJ140" i="1"/>
  <c r="AI140" i="1"/>
  <c r="AJ139" i="1"/>
  <c r="AI139" i="1"/>
  <c r="AJ138" i="1"/>
  <c r="AI138" i="1"/>
  <c r="AJ137" i="1"/>
  <c r="AI137" i="1"/>
  <c r="AJ136" i="1"/>
  <c r="AI136" i="1"/>
  <c r="AJ135" i="1"/>
  <c r="AI135" i="1"/>
  <c r="AJ134" i="1"/>
  <c r="AI134" i="1"/>
  <c r="AJ133" i="1"/>
  <c r="AI133" i="1"/>
  <c r="AJ132" i="1"/>
  <c r="AI132" i="1"/>
  <c r="AJ131" i="1"/>
  <c r="AI131" i="1"/>
  <c r="AJ130" i="1"/>
  <c r="AI130" i="1"/>
  <c r="AJ129" i="1"/>
  <c r="AI129" i="1"/>
  <c r="AJ128" i="1"/>
  <c r="AI128" i="1"/>
  <c r="AJ105" i="1"/>
  <c r="AI105" i="1"/>
  <c r="AJ11" i="1"/>
  <c r="AI11" i="1"/>
  <c r="AJ125" i="1"/>
  <c r="AI125" i="1"/>
  <c r="AJ124" i="1"/>
  <c r="AI124" i="1"/>
  <c r="AJ123" i="1"/>
  <c r="AI123" i="1"/>
  <c r="AJ122" i="1"/>
  <c r="AI122" i="1"/>
  <c r="AJ121" i="1"/>
  <c r="AI121" i="1"/>
  <c r="AJ120" i="1"/>
  <c r="AI120" i="1"/>
  <c r="AJ119" i="1"/>
  <c r="AI119" i="1"/>
  <c r="AJ118" i="1"/>
  <c r="AI118" i="1"/>
  <c r="AJ117" i="1"/>
  <c r="AI117" i="1"/>
  <c r="AJ116" i="1"/>
  <c r="AI116" i="1"/>
  <c r="AJ115" i="1"/>
  <c r="AI115" i="1"/>
  <c r="AJ114" i="1"/>
  <c r="AI114" i="1"/>
  <c r="AJ113" i="1"/>
  <c r="AI113" i="1"/>
  <c r="AJ112" i="1"/>
  <c r="AI112" i="1"/>
  <c r="AJ111" i="1"/>
  <c r="AI111" i="1"/>
  <c r="AJ31" i="1"/>
  <c r="AI31" i="1"/>
  <c r="AJ109" i="1"/>
  <c r="AI109" i="1"/>
  <c r="AJ41" i="1"/>
  <c r="AI41" i="1"/>
  <c r="AJ107" i="1"/>
  <c r="AI107" i="1"/>
  <c r="AJ106" i="1"/>
  <c r="AI106" i="1"/>
  <c r="AJ126" i="1"/>
  <c r="AI126" i="1"/>
  <c r="AJ104" i="1"/>
  <c r="AI104" i="1"/>
  <c r="AJ103" i="1"/>
  <c r="AI103" i="1"/>
  <c r="AJ102" i="1"/>
  <c r="AI102" i="1"/>
  <c r="AJ101" i="1"/>
  <c r="AI101" i="1"/>
  <c r="AJ100" i="1"/>
  <c r="AI100" i="1"/>
  <c r="AJ99" i="1"/>
  <c r="AI99" i="1"/>
  <c r="AJ98" i="1"/>
  <c r="AI98" i="1"/>
  <c r="AJ97" i="1"/>
  <c r="AI97" i="1"/>
  <c r="AJ96" i="1"/>
  <c r="AI96" i="1"/>
  <c r="AJ95" i="1"/>
  <c r="AI95" i="1"/>
  <c r="AJ94" i="1"/>
  <c r="AI94" i="1"/>
  <c r="AJ93" i="1"/>
  <c r="AI93" i="1"/>
  <c r="AJ92" i="1"/>
  <c r="AI92" i="1"/>
  <c r="AJ91" i="1"/>
  <c r="AI91" i="1"/>
  <c r="AJ90" i="1"/>
  <c r="AI90" i="1"/>
  <c r="AJ89" i="1"/>
  <c r="AI89" i="1"/>
  <c r="AJ127" i="1"/>
  <c r="AI127" i="1"/>
  <c r="AJ87" i="1"/>
  <c r="AI87" i="1"/>
  <c r="AJ88" i="1"/>
  <c r="AI88" i="1"/>
  <c r="AJ85" i="1"/>
  <c r="AI85" i="1"/>
  <c r="AJ84" i="1"/>
  <c r="AI84" i="1"/>
  <c r="AJ83" i="1"/>
  <c r="AI83" i="1"/>
  <c r="AJ82" i="1"/>
  <c r="AI82" i="1"/>
  <c r="AJ81" i="1"/>
  <c r="AI81" i="1"/>
  <c r="AJ147" i="1"/>
  <c r="AI147" i="1"/>
  <c r="AJ79" i="1"/>
  <c r="AI79" i="1"/>
  <c r="AJ78" i="1"/>
  <c r="AI78" i="1"/>
  <c r="AJ77" i="1"/>
  <c r="AI77" i="1"/>
  <c r="AJ76" i="1"/>
  <c r="AI76" i="1"/>
  <c r="AJ75" i="1"/>
  <c r="AI75" i="1"/>
  <c r="AJ74" i="1"/>
  <c r="AI74" i="1"/>
  <c r="AJ73" i="1"/>
  <c r="AI73" i="1"/>
  <c r="AJ72" i="1"/>
  <c r="AI72" i="1"/>
  <c r="AJ71" i="1"/>
  <c r="AI71" i="1"/>
  <c r="AJ70" i="1"/>
  <c r="AI70" i="1"/>
  <c r="AJ69" i="1"/>
  <c r="AI69" i="1"/>
  <c r="AJ68" i="1"/>
  <c r="AI68" i="1"/>
  <c r="AJ67" i="1"/>
  <c r="AI67" i="1"/>
  <c r="AJ66" i="1"/>
  <c r="AI66" i="1"/>
  <c r="AJ65" i="1"/>
  <c r="AI65" i="1"/>
  <c r="AJ64" i="1"/>
  <c r="AI64" i="1"/>
  <c r="AJ63" i="1"/>
  <c r="AI63" i="1"/>
  <c r="AJ62" i="1"/>
  <c r="AI62" i="1"/>
  <c r="AJ61" i="1"/>
  <c r="AI61" i="1"/>
  <c r="AJ60" i="1"/>
  <c r="AI60" i="1"/>
  <c r="AJ59" i="1"/>
  <c r="AI59" i="1"/>
  <c r="AJ58" i="1"/>
  <c r="AI58" i="1"/>
  <c r="AJ57" i="1"/>
  <c r="AI57" i="1"/>
  <c r="AJ56" i="1"/>
  <c r="AI56" i="1"/>
  <c r="AJ55" i="1"/>
  <c r="AI55" i="1"/>
  <c r="AJ54" i="1"/>
  <c r="AI54" i="1"/>
  <c r="AJ53" i="1"/>
  <c r="AI53" i="1"/>
  <c r="AJ52" i="1"/>
  <c r="AI52" i="1"/>
  <c r="AJ51" i="1"/>
  <c r="AI51" i="1"/>
  <c r="AJ50" i="1"/>
  <c r="AI50" i="1"/>
  <c r="AJ49" i="1"/>
  <c r="AI49" i="1"/>
  <c r="AJ48" i="1"/>
  <c r="AI48" i="1"/>
  <c r="AJ47" i="1"/>
  <c r="AI47" i="1"/>
  <c r="AJ46" i="1"/>
  <c r="AI46" i="1"/>
  <c r="AJ45" i="1"/>
  <c r="AI45" i="1"/>
  <c r="AJ44" i="1"/>
  <c r="AI44" i="1"/>
  <c r="AJ43" i="1"/>
  <c r="AI43" i="1"/>
  <c r="AJ42" i="1"/>
  <c r="AI42" i="1"/>
  <c r="AJ80" i="1"/>
  <c r="AI80" i="1"/>
  <c r="AJ40" i="1"/>
  <c r="AI40" i="1"/>
  <c r="AJ39" i="1"/>
  <c r="AI39" i="1"/>
  <c r="AJ38" i="1"/>
  <c r="AI38" i="1"/>
  <c r="AP37" i="1"/>
  <c r="AJ37" i="1"/>
  <c r="AI37" i="1"/>
  <c r="AP36" i="1"/>
  <c r="AJ36" i="1"/>
  <c r="AI36" i="1"/>
  <c r="AP35" i="1"/>
  <c r="AJ35" i="1"/>
  <c r="AI35" i="1"/>
  <c r="AP34" i="1"/>
  <c r="AJ34" i="1"/>
  <c r="AI34" i="1"/>
  <c r="AP33" i="1"/>
  <c r="AJ33" i="1"/>
  <c r="AI33" i="1"/>
  <c r="AP32" i="1"/>
  <c r="AJ32" i="1"/>
  <c r="AI32" i="1"/>
  <c r="AP31" i="1"/>
  <c r="AJ110" i="1"/>
  <c r="AI110" i="1"/>
  <c r="AP30" i="1"/>
  <c r="AJ30" i="1"/>
  <c r="AI30" i="1"/>
  <c r="AP29" i="1"/>
  <c r="AJ29" i="1"/>
  <c r="AI29" i="1"/>
  <c r="AP28" i="1"/>
  <c r="AJ86" i="1"/>
  <c r="AI86" i="1"/>
  <c r="AP27" i="1"/>
  <c r="AJ27" i="1"/>
  <c r="AI27" i="1"/>
  <c r="AP26" i="1"/>
  <c r="AJ26" i="1"/>
  <c r="AI26" i="1"/>
  <c r="AP25" i="1"/>
  <c r="AJ25" i="1"/>
  <c r="AI25" i="1"/>
  <c r="AP24" i="1"/>
  <c r="AJ24" i="1"/>
  <c r="AI24" i="1"/>
  <c r="AP23" i="1"/>
  <c r="AJ23" i="1"/>
  <c r="AI23" i="1"/>
  <c r="AP22" i="1"/>
  <c r="AJ22" i="1"/>
  <c r="AI22" i="1"/>
  <c r="AP21" i="1"/>
  <c r="AJ21" i="1"/>
  <c r="AI21" i="1"/>
  <c r="AP20" i="1"/>
  <c r="AJ20" i="1"/>
  <c r="AI20" i="1"/>
  <c r="AP19" i="1"/>
  <c r="AJ19" i="1"/>
  <c r="AI19" i="1"/>
  <c r="AP18" i="1"/>
  <c r="AJ18" i="1"/>
  <c r="AI18" i="1"/>
  <c r="AJ17" i="1"/>
  <c r="AI17" i="1"/>
  <c r="AJ16" i="1"/>
  <c r="AI16" i="1"/>
  <c r="AJ15" i="1"/>
  <c r="AI15" i="1"/>
  <c r="AJ14" i="1"/>
  <c r="AI14" i="1"/>
  <c r="AJ13" i="1"/>
  <c r="AI13" i="1"/>
  <c r="AJ12" i="1"/>
  <c r="AI12" i="1"/>
  <c r="AP11" i="1"/>
  <c r="AP14" i="1" s="1"/>
  <c r="AJ2" i="1"/>
  <c r="AI2" i="1"/>
  <c r="AJ10" i="1"/>
  <c r="AI10" i="1"/>
  <c r="AP9" i="1"/>
  <c r="AJ9" i="1"/>
  <c r="AI9" i="1"/>
  <c r="AP8" i="1"/>
  <c r="AJ8" i="1"/>
  <c r="AI8" i="1"/>
  <c r="AP7" i="1"/>
  <c r="AJ7" i="1"/>
  <c r="AI7" i="1"/>
  <c r="AP6" i="1"/>
  <c r="AJ6" i="1"/>
  <c r="AI6" i="1"/>
  <c r="AJ5" i="1"/>
  <c r="AI5" i="1"/>
  <c r="AP2" i="1" s="1"/>
  <c r="AP4" i="1"/>
  <c r="AJ4" i="1"/>
  <c r="AI4" i="1"/>
  <c r="AJ3" i="1"/>
  <c r="AI3" i="1"/>
  <c r="AJ108" i="1"/>
  <c r="AI108" i="1"/>
  <c r="AP16" i="1" l="1"/>
</calcChain>
</file>

<file path=xl/sharedStrings.xml><?xml version="1.0" encoding="utf-8"?>
<sst xmlns="http://schemas.openxmlformats.org/spreadsheetml/2006/main" count="810" uniqueCount="348">
  <si>
    <t>Total Points</t>
  </si>
  <si>
    <t>MAX</t>
  </si>
  <si>
    <t>Total Cost</t>
  </si>
  <si>
    <t>GKP</t>
  </si>
  <si>
    <t>DEF</t>
  </si>
  <si>
    <t>MID</t>
  </si>
  <si>
    <t>FWD</t>
  </si>
  <si>
    <t>Transfers</t>
  </si>
  <si>
    <t>Free</t>
  </si>
  <si>
    <t>Cost</t>
  </si>
  <si>
    <t>Profit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</si>
  <si>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</si>
  <si>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</si>
  <si>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</si>
  <si>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</si>
  <si>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</si>
  <si>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</si>
  <si>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</si>
  <si>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</si>
  <si>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</si>
  <si>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IPS</t>
  </si>
  <si>
    <t>LEI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</si>
  <si>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</si>
  <si>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</si>
  <si>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</si>
  <si>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</si>
  <si>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</si>
  <si>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</si>
  <si>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</si>
  <si>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</si>
  <si>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</si>
  <si>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</si>
  <si>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</si>
  <si>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</si>
  <si>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</si>
  <si>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</si>
  <si>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</si>
  <si>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</si>
  <si>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</si>
  <si>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FOREST</t>
  </si>
  <si>
    <t>PP</t>
  </si>
  <si>
    <t>NEXT</t>
  </si>
  <si>
    <t>Health</t>
  </si>
  <si>
    <t>PREV</t>
  </si>
  <si>
    <t>Selected</t>
  </si>
  <si>
    <t>Gabriel</t>
  </si>
  <si>
    <t>dos Santos Magalhães</t>
  </si>
  <si>
    <t>Kai</t>
  </si>
  <si>
    <t>Havertz</t>
  </si>
  <si>
    <t>Martinelli Silva</t>
  </si>
  <si>
    <t>Martinelli</t>
  </si>
  <si>
    <t>Bukayo</t>
  </si>
  <si>
    <t>Saka</t>
  </si>
  <si>
    <t>Thomas</t>
  </si>
  <si>
    <t>Partey</t>
  </si>
  <si>
    <t>Leon</t>
  </si>
  <si>
    <t>Bailey</t>
  </si>
  <si>
    <t>Lucas</t>
  </si>
  <si>
    <t>Digne</t>
  </si>
  <si>
    <t>Emiliano</t>
  </si>
  <si>
    <t>Martínez Romero</t>
  </si>
  <si>
    <t>Martinez</t>
  </si>
  <si>
    <t>Jacob</t>
  </si>
  <si>
    <t>Ramsey</t>
  </si>
  <si>
    <t>Morgan</t>
  </si>
  <si>
    <t>Rogers</t>
  </si>
  <si>
    <t>Youri</t>
  </si>
  <si>
    <t>Tielemans</t>
  </si>
  <si>
    <t>Ollie</t>
  </si>
  <si>
    <t>Watkins</t>
  </si>
  <si>
    <t>Ryan</t>
  </si>
  <si>
    <t>Christie</t>
  </si>
  <si>
    <t>Lewis</t>
  </si>
  <si>
    <t>Cook</t>
  </si>
  <si>
    <t>Milos</t>
  </si>
  <si>
    <t>Kerkez</t>
  </si>
  <si>
    <t>Justin</t>
  </si>
  <si>
    <t>Kluivert</t>
  </si>
  <si>
    <t>Dango</t>
  </si>
  <si>
    <t>Ouattara</t>
  </si>
  <si>
    <t>O.Dango</t>
  </si>
  <si>
    <t>Antoine</t>
  </si>
  <si>
    <t>Semenyo</t>
  </si>
  <si>
    <t>Marcos</t>
  </si>
  <si>
    <t>Senesi</t>
  </si>
  <si>
    <t>Marcus</t>
  </si>
  <si>
    <t>Tavernier</t>
  </si>
  <si>
    <t>Illia</t>
  </si>
  <si>
    <t>Zabarnyi</t>
  </si>
  <si>
    <t>Nathan</t>
  </si>
  <si>
    <t>Collins</t>
  </si>
  <si>
    <t>Mikkel</t>
  </si>
  <si>
    <t>Damsgaard</t>
  </si>
  <si>
    <t>Mark</t>
  </si>
  <si>
    <t>Flekken</t>
  </si>
  <si>
    <t>Vitaly</t>
  </si>
  <si>
    <t>Janelt</t>
  </si>
  <si>
    <t>Keane</t>
  </si>
  <si>
    <t>Lewis-Potter</t>
  </si>
  <si>
    <t>Bryan</t>
  </si>
  <si>
    <t>Mbeumo</t>
  </si>
  <si>
    <t>Christian</t>
  </si>
  <si>
    <t>Nørgaard</t>
  </si>
  <si>
    <t>Ethan</t>
  </si>
  <si>
    <t>Pinnock</t>
  </si>
  <si>
    <t>Yoane</t>
  </si>
  <si>
    <t>Wissa</t>
  </si>
  <si>
    <t>Carlos</t>
  </si>
  <si>
    <t>Baleba</t>
  </si>
  <si>
    <t>Dunk</t>
  </si>
  <si>
    <t>Joël</t>
  </si>
  <si>
    <t>Veltman</t>
  </si>
  <si>
    <t>Bart</t>
  </si>
  <si>
    <t>Verbruggen</t>
  </si>
  <si>
    <t>Danny</t>
  </si>
  <si>
    <t>Welbeck</t>
  </si>
  <si>
    <t>Georginio</t>
  </si>
  <si>
    <t>Rutter</t>
  </si>
  <si>
    <t>Moisés</t>
  </si>
  <si>
    <t>Caicedo Corozo</t>
  </si>
  <si>
    <t>Caicedo</t>
  </si>
  <si>
    <t>Noni</t>
  </si>
  <si>
    <t>Madueke</t>
  </si>
  <si>
    <t>Nicolas</t>
  </si>
  <si>
    <t>Jackson</t>
  </si>
  <si>
    <t>N.Jackson</t>
  </si>
  <si>
    <t>Cole</t>
  </si>
  <si>
    <t>Palmer</t>
  </si>
  <si>
    <t>Robert</t>
  </si>
  <si>
    <t>Sánchez</t>
  </si>
  <si>
    <t>Pedro</t>
  </si>
  <si>
    <t>Lomba Neto</t>
  </si>
  <si>
    <t>Neto</t>
  </si>
  <si>
    <t>Eberechi</t>
  </si>
  <si>
    <t>Eze</t>
  </si>
  <si>
    <t>Marc</t>
  </si>
  <si>
    <t>Guéhi</t>
  </si>
  <si>
    <t>Dean</t>
  </si>
  <si>
    <t>Henderson</t>
  </si>
  <si>
    <t>Jean-Philippe</t>
  </si>
  <si>
    <t>Mateta</t>
  </si>
  <si>
    <t>Tyrick</t>
  </si>
  <si>
    <t>Mitchell</t>
  </si>
  <si>
    <t>Daniel</t>
  </si>
  <si>
    <t>Muñoz</t>
  </si>
  <si>
    <t>Abdoulaye</t>
  </si>
  <si>
    <t>Doucouré</t>
  </si>
  <si>
    <t>A.Doucoure</t>
  </si>
  <si>
    <t>Dominic</t>
  </si>
  <si>
    <t>Calvert-Lewin</t>
  </si>
  <si>
    <t>Jack</t>
  </si>
  <si>
    <t>Harrison</t>
  </si>
  <si>
    <t>Michael</t>
  </si>
  <si>
    <t>Dwight</t>
  </si>
  <si>
    <t>McNeil</t>
  </si>
  <si>
    <t>Vitalii</t>
  </si>
  <si>
    <t>Mykolenko</t>
  </si>
  <si>
    <t>Jordan</t>
  </si>
  <si>
    <t>Pickford</t>
  </si>
  <si>
    <t>James</t>
  </si>
  <si>
    <t>Tarkowski</t>
  </si>
  <si>
    <t>Ashley</t>
  </si>
  <si>
    <t>Young</t>
  </si>
  <si>
    <t>Reiss</t>
  </si>
  <si>
    <t>Nelson</t>
  </si>
  <si>
    <t>Emile</t>
  </si>
  <si>
    <t>Smith Rowe</t>
  </si>
  <si>
    <t>Joachim</t>
  </si>
  <si>
    <t>Andersen</t>
  </si>
  <si>
    <t>Adama</t>
  </si>
  <si>
    <t>Traoré</t>
  </si>
  <si>
    <t>Andreas</t>
  </si>
  <si>
    <t>Hoelgebaum Pereira</t>
  </si>
  <si>
    <t>Calvin</t>
  </si>
  <si>
    <t>Bassey</t>
  </si>
  <si>
    <t>Alex</t>
  </si>
  <si>
    <t>Iwobi</t>
  </si>
  <si>
    <t>Bernd</t>
  </si>
  <si>
    <t>Leno</t>
  </si>
  <si>
    <t>Raúl</t>
  </si>
  <si>
    <t>Jiménez</t>
  </si>
  <si>
    <t>Antonee</t>
  </si>
  <si>
    <t>Robinson</t>
  </si>
  <si>
    <t>Kenny</t>
  </si>
  <si>
    <t>Tete</t>
  </si>
  <si>
    <t>Leif</t>
  </si>
  <si>
    <t>Davis</t>
  </si>
  <si>
    <t>Liam</t>
  </si>
  <si>
    <t>Delap</t>
  </si>
  <si>
    <t>Arijanet</t>
  </si>
  <si>
    <t>Muric</t>
  </si>
  <si>
    <t>Facundo</t>
  </si>
  <si>
    <t>Buonanotte</t>
  </si>
  <si>
    <t>Ayew</t>
  </si>
  <si>
    <t>J.Ayew</t>
  </si>
  <si>
    <t>Wout</t>
  </si>
  <si>
    <t>Faes</t>
  </si>
  <si>
    <t>Wilfred</t>
  </si>
  <si>
    <t>Ndidi</t>
  </si>
  <si>
    <t>Jamie</t>
  </si>
  <si>
    <t>Vardy</t>
  </si>
  <si>
    <t>Harry</t>
  </si>
  <si>
    <t>Winks</t>
  </si>
  <si>
    <t>Trent</t>
  </si>
  <si>
    <t>Alexander-Arnold</t>
  </si>
  <si>
    <t>Darwin</t>
  </si>
  <si>
    <t>Núñez Ribeiro</t>
  </si>
  <si>
    <t>Cody</t>
  </si>
  <si>
    <t>Gakpo</t>
  </si>
  <si>
    <t>Gravenberch</t>
  </si>
  <si>
    <t>Curtis</t>
  </si>
  <si>
    <t>Jones</t>
  </si>
  <si>
    <t>Ibrahima</t>
  </si>
  <si>
    <t>Konaté</t>
  </si>
  <si>
    <t>Luis</t>
  </si>
  <si>
    <t>Díaz</t>
  </si>
  <si>
    <t>Luis Díaz</t>
  </si>
  <si>
    <t>Mohamed</t>
  </si>
  <si>
    <t>Salah</t>
  </si>
  <si>
    <t>M.Salah</t>
  </si>
  <si>
    <t>Andrew</t>
  </si>
  <si>
    <t>Robertson</t>
  </si>
  <si>
    <t>Virgil</t>
  </si>
  <si>
    <t>van Dijk</t>
  </si>
  <si>
    <t>Manuel</t>
  </si>
  <si>
    <t>Akanji</t>
  </si>
  <si>
    <t>Bernardo</t>
  </si>
  <si>
    <t>Veiga de Carvalho e Silva</t>
  </si>
  <si>
    <t>Jérémy</t>
  </si>
  <si>
    <t>Doku</t>
  </si>
  <si>
    <t>Ederson</t>
  </si>
  <si>
    <t>Santana de Moraes</t>
  </si>
  <si>
    <t>Ederson M.</t>
  </si>
  <si>
    <t>Phil</t>
  </si>
  <si>
    <t>Foden</t>
  </si>
  <si>
    <t>Joško</t>
  </si>
  <si>
    <t>Gvardiol</t>
  </si>
  <si>
    <t>Erling</t>
  </si>
  <si>
    <t>Haaland</t>
  </si>
  <si>
    <t>Mateo</t>
  </si>
  <si>
    <t>Kovačić</t>
  </si>
  <si>
    <t>Rico</t>
  </si>
  <si>
    <t>Matheus Luiz</t>
  </si>
  <si>
    <t>Nunes</t>
  </si>
  <si>
    <t>Matheus N.</t>
  </si>
  <si>
    <t>Rúben</t>
  </si>
  <si>
    <t>Gato Alves Dias</t>
  </si>
  <si>
    <t>Ilkay</t>
  </si>
  <si>
    <t>Gündogan</t>
  </si>
  <si>
    <t>Amad</t>
  </si>
  <si>
    <t>Diallo</t>
  </si>
  <si>
    <t>Bruno</t>
  </si>
  <si>
    <t>Borges Fernandes</t>
  </si>
  <si>
    <t>B.Fernandes</t>
  </si>
  <si>
    <t>Carlos Henrique</t>
  </si>
  <si>
    <t>Casimiro</t>
  </si>
  <si>
    <t>Casemiro</t>
  </si>
  <si>
    <t>Diogo</t>
  </si>
  <si>
    <t>Dalot Teixeira</t>
  </si>
  <si>
    <t>Dalot</t>
  </si>
  <si>
    <t>Alejandro</t>
  </si>
  <si>
    <t>Garnacho</t>
  </si>
  <si>
    <t>Lisandro</t>
  </si>
  <si>
    <t>Martínez</t>
  </si>
  <si>
    <t>André</t>
  </si>
  <si>
    <t>Onana</t>
  </si>
  <si>
    <t>Rashford</t>
  </si>
  <si>
    <t>Harvey</t>
  </si>
  <si>
    <t>Barnes</t>
  </si>
  <si>
    <t>Guimarães Rodriguez Moura</t>
  </si>
  <si>
    <t>Bruno G.</t>
  </si>
  <si>
    <t>Dan</t>
  </si>
  <si>
    <t>Burn</t>
  </si>
  <si>
    <t>Anthony</t>
  </si>
  <si>
    <t>Gordon</t>
  </si>
  <si>
    <t>Hall</t>
  </si>
  <si>
    <t>Alexander</t>
  </si>
  <si>
    <t>Isak</t>
  </si>
  <si>
    <t>Murphy</t>
  </si>
  <si>
    <t>J.Murphy</t>
  </si>
  <si>
    <t>Joelinton Cássio</t>
  </si>
  <si>
    <t>Apolinário de Lira</t>
  </si>
  <si>
    <t>Joelinton</t>
  </si>
  <si>
    <t>Tino</t>
  </si>
  <si>
    <t>Livramento</t>
  </si>
  <si>
    <t>Nick</t>
  </si>
  <si>
    <t>Pope</t>
  </si>
  <si>
    <t>Fabian</t>
  </si>
  <si>
    <t>Schär</t>
  </si>
  <si>
    <t>Ola</t>
  </si>
  <si>
    <t>Aina</t>
  </si>
  <si>
    <t>Elliot</t>
  </si>
  <si>
    <t>Anderson</t>
  </si>
  <si>
    <t>Elanga</t>
  </si>
  <si>
    <t>Callum</t>
  </si>
  <si>
    <t>Hudson-Odoi</t>
  </si>
  <si>
    <t>Murillo</t>
  </si>
  <si>
    <t>Santiago Costa dos Santos</t>
  </si>
  <si>
    <t>Matz</t>
  </si>
  <si>
    <t>Sels</t>
  </si>
  <si>
    <t>Chris</t>
  </si>
  <si>
    <t>Wood</t>
  </si>
  <si>
    <t>Yates</t>
  </si>
  <si>
    <t>Aaron</t>
  </si>
  <si>
    <t>Ramsdale</t>
  </si>
  <si>
    <t>Cameron</t>
  </si>
  <si>
    <t>Archer</t>
  </si>
  <si>
    <t>Kyle</t>
  </si>
  <si>
    <t>Walker-Peters</t>
  </si>
  <si>
    <t>Yves</t>
  </si>
  <si>
    <t>Bissouma</t>
  </si>
  <si>
    <t>Brennan</t>
  </si>
  <si>
    <t>Johnson</t>
  </si>
  <si>
    <t>Dejan</t>
  </si>
  <si>
    <t>Kulusevski</t>
  </si>
  <si>
    <t>Maddison</t>
  </si>
  <si>
    <t>Porro</t>
  </si>
  <si>
    <t>Pedro Porro</t>
  </si>
  <si>
    <t>Son</t>
  </si>
  <si>
    <t>Heung-min</t>
  </si>
  <si>
    <t>Destiny</t>
  </si>
  <si>
    <t>Udogie</t>
  </si>
  <si>
    <t>Micky</t>
  </si>
  <si>
    <t>van de Ven</t>
  </si>
  <si>
    <t>Van de Ven</t>
  </si>
  <si>
    <t>Michail</t>
  </si>
  <si>
    <t>Antonio</t>
  </si>
  <si>
    <t>Jarrod</t>
  </si>
  <si>
    <t>Bowen</t>
  </si>
  <si>
    <t>Max</t>
  </si>
  <si>
    <t>Kilman</t>
  </si>
  <si>
    <t>Mohammed</t>
  </si>
  <si>
    <t>Kudus</t>
  </si>
  <si>
    <t>Tolentino Coelho de Lima</t>
  </si>
  <si>
    <t>L.Paquetá</t>
  </si>
  <si>
    <t>Tomáš</t>
  </si>
  <si>
    <t>Souček</t>
  </si>
  <si>
    <t>Rayan</t>
  </si>
  <si>
    <t>Aït-Nouri</t>
  </si>
  <si>
    <t>Matheus</t>
  </si>
  <si>
    <t>Santos Carneiro Da Cunha</t>
  </si>
  <si>
    <t>Cunha</t>
  </si>
  <si>
    <t>João Victor</t>
  </si>
  <si>
    <t>Gomes da Silva</t>
  </si>
  <si>
    <t>J.Gomes</t>
  </si>
  <si>
    <t>Mario</t>
  </si>
  <si>
    <t>Lemina</t>
  </si>
  <si>
    <t>Mario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</si>
</sst>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149" totalsRowShown="0">
  <autoFilter ref="A1:AM149" xr:uid="{00000000-0009-0000-0100-000001000000}">
    <filterColumn colId="38">
      <filters>
        <filter val="1"/>
      </filters>
    </filterColumn>
  </autoFilter>
  <sortState xmlns:xlrd2="http://schemas.microsoft.com/office/spreadsheetml/2017/richdata2" ref="A2:AM147">
    <sortCondition descending="1" ref="AJ1:AJ149"/>
  </sortState>
  <tableColumns count="39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CHE"/>
    <tableColumn id="16" xr3:uid="{00000000-0010-0000-0000-000010000000}" name="CRY"/>
    <tableColumn id="17" xr3:uid="{00000000-0010-0000-0000-000011000000}" name="EVE"/>
    <tableColumn id="18" xr3:uid="{00000000-0010-0000-0000-000012000000}" name="FUL"/>
    <tableColumn id="19" xr3:uid="{00000000-0010-0000-0000-000013000000}" name="IPS"/>
    <tableColumn id="20" xr3:uid="{00000000-0010-0000-0000-000014000000}" name="LEI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O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FOREST"/>
    <tableColumn id="35" xr3:uid="{00000000-0010-0000-0000-000023000000}" name="PP"/>
    <tableColumn id="36" xr3:uid="{00000000-0010-0000-0000-000024000000}" name="NEXT"/>
    <tableColumn id="37" xr3:uid="{00000000-0010-0000-0000-000025000000}" name="Health"/>
    <tableColumn id="38" xr3:uid="{00000000-0010-0000-0000-000026000000}" name="PREV"/>
    <tableColumn id="39" xr3:uid="{00000000-0010-0000-0000-000027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9"/>
  <sheetViews>
    <sheetView tabSelected="1" workbookViewId="0">
      <selection activeCell="AQ126" sqref="AQ126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4" width="0" hidden="1" customWidth="1"/>
  </cols>
  <sheetData>
    <row r="1" spans="1:43" x14ac:dyDescent="0.2">
      <c r="A1" t="s">
        <v>31</v>
      </c>
      <c r="B1" t="s">
        <v>32</v>
      </c>
      <c r="C1" t="s">
        <v>33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9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</row>
    <row r="2" spans="1:43" x14ac:dyDescent="0.2">
      <c r="A2" t="s">
        <v>64</v>
      </c>
      <c r="B2" t="s">
        <v>65</v>
      </c>
      <c r="C2" t="s">
        <v>65</v>
      </c>
      <c r="D2" t="s">
        <v>5</v>
      </c>
      <c r="E2">
        <v>0</v>
      </c>
      <c r="F2">
        <v>0</v>
      </c>
      <c r="G2">
        <v>1</v>
      </c>
      <c r="H2">
        <v>0</v>
      </c>
      <c r="I2" t="s">
        <v>12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5.4</v>
      </c>
      <c r="AE2">
        <v>59</v>
      </c>
      <c r="AF2">
        <v>18.18181818181818</v>
      </c>
      <c r="AG2">
        <v>34.909743514026793</v>
      </c>
      <c r="AH2">
        <v>23.377739639445529</v>
      </c>
      <c r="AI2">
        <f>33.5659302489579*1</f>
        <v>33.565930248957898</v>
      </c>
      <c r="AJ2">
        <f>7.03538692273938*1</f>
        <v>7.0353869227393799</v>
      </c>
      <c r="AK2">
        <v>1</v>
      </c>
      <c r="AL2">
        <v>0</v>
      </c>
      <c r="AM2">
        <v>1</v>
      </c>
      <c r="AO2" t="s">
        <v>0</v>
      </c>
      <c r="AP2">
        <f>SUMPRODUCT(Table1[Selected], Table1[PP])</f>
        <v>258.08609200539206</v>
      </c>
      <c r="AQ2" t="s">
        <v>1</v>
      </c>
    </row>
    <row r="3" spans="1:43" hidden="1" x14ac:dyDescent="0.2">
      <c r="A3" t="s">
        <v>47</v>
      </c>
      <c r="B3" t="s">
        <v>48</v>
      </c>
      <c r="C3" t="s">
        <v>48</v>
      </c>
      <c r="D3" t="s">
        <v>6</v>
      </c>
      <c r="E3">
        <v>0</v>
      </c>
      <c r="F3">
        <v>0</v>
      </c>
      <c r="G3">
        <v>0</v>
      </c>
      <c r="H3">
        <v>1</v>
      </c>
      <c r="I3" t="s">
        <v>11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</v>
      </c>
      <c r="AE3">
        <v>3</v>
      </c>
      <c r="AF3">
        <v>16.760509108523038</v>
      </c>
      <c r="AG3">
        <v>13.595289799729249</v>
      </c>
      <c r="AH3">
        <v>10.33316941167519</v>
      </c>
      <c r="AI3">
        <f>7.28828673940204*1</f>
        <v>7.2882867394020403</v>
      </c>
      <c r="AJ3">
        <f>1.40603209232785*1</f>
        <v>1.40603209232785</v>
      </c>
      <c r="AK3">
        <v>1</v>
      </c>
      <c r="AL3">
        <v>0</v>
      </c>
      <c r="AM3">
        <v>0</v>
      </c>
    </row>
    <row r="4" spans="1:43" hidden="1" x14ac:dyDescent="0.2">
      <c r="A4" t="s">
        <v>45</v>
      </c>
      <c r="B4" t="s">
        <v>49</v>
      </c>
      <c r="C4" t="s">
        <v>50</v>
      </c>
      <c r="D4" t="s">
        <v>5</v>
      </c>
      <c r="E4">
        <v>0</v>
      </c>
      <c r="F4">
        <v>0</v>
      </c>
      <c r="G4">
        <v>1</v>
      </c>
      <c r="H4">
        <v>0</v>
      </c>
      <c r="I4" t="s">
        <v>11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6.9</v>
      </c>
      <c r="AE4">
        <v>8</v>
      </c>
      <c r="AF4">
        <v>22.088607594936711</v>
      </c>
      <c r="AG4">
        <v>21.341082946173721</v>
      </c>
      <c r="AH4">
        <v>14.06666666666667</v>
      </c>
      <c r="AI4">
        <f>16.0909944357495*1</f>
        <v>16.090994435749501</v>
      </c>
      <c r="AJ4">
        <f>2.73374800827368*1</f>
        <v>2.7337480082736798</v>
      </c>
      <c r="AK4">
        <v>1</v>
      </c>
      <c r="AL4">
        <v>0</v>
      </c>
      <c r="AM4">
        <v>0</v>
      </c>
      <c r="AO4" t="s">
        <v>2</v>
      </c>
      <c r="AP4">
        <f>SUMPRODUCT(Table1[Selected],Table1[Cost])</f>
        <v>96.5</v>
      </c>
      <c r="AQ4">
        <v>99.7</v>
      </c>
    </row>
    <row r="5" spans="1:43" hidden="1" x14ac:dyDescent="0.2">
      <c r="A5" t="s">
        <v>51</v>
      </c>
      <c r="B5" t="s">
        <v>52</v>
      </c>
      <c r="C5" t="s">
        <v>52</v>
      </c>
      <c r="D5" t="s">
        <v>5</v>
      </c>
      <c r="E5">
        <v>0</v>
      </c>
      <c r="F5">
        <v>0</v>
      </c>
      <c r="G5">
        <v>1</v>
      </c>
      <c r="H5">
        <v>0</v>
      </c>
      <c r="I5" t="s">
        <v>11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10.1</v>
      </c>
      <c r="AE5">
        <v>13</v>
      </c>
      <c r="AF5">
        <v>32.217662699899698</v>
      </c>
      <c r="AG5">
        <v>23.3200142675847</v>
      </c>
      <c r="AH5">
        <v>29.162818764924001</v>
      </c>
      <c r="AI5">
        <f>19.5704509403108*1</f>
        <v>19.570450940310799</v>
      </c>
      <c r="AJ5">
        <f>4.00332929248068*1</f>
        <v>4.0033292924806796</v>
      </c>
      <c r="AK5">
        <v>1</v>
      </c>
      <c r="AL5">
        <v>0</v>
      </c>
      <c r="AM5">
        <v>0</v>
      </c>
    </row>
    <row r="6" spans="1:43" hidden="1" x14ac:dyDescent="0.2">
      <c r="A6" t="s">
        <v>53</v>
      </c>
      <c r="B6" t="s">
        <v>54</v>
      </c>
      <c r="C6" t="s">
        <v>53</v>
      </c>
      <c r="D6" t="s">
        <v>5</v>
      </c>
      <c r="E6">
        <v>0</v>
      </c>
      <c r="F6">
        <v>0</v>
      </c>
      <c r="G6">
        <v>1</v>
      </c>
      <c r="H6">
        <v>0</v>
      </c>
      <c r="I6" t="s">
        <v>11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E6">
        <v>15</v>
      </c>
      <c r="AF6">
        <v>11.73267326732674</v>
      </c>
      <c r="AG6">
        <v>11.31058460409405</v>
      </c>
      <c r="AH6">
        <v>8.5719877918251921</v>
      </c>
      <c r="AI6">
        <f>3.15582636822715*1</f>
        <v>3.1558263682271499</v>
      </c>
      <c r="AJ6">
        <f>0.627767760789217*1</f>
        <v>0.62776776078921703</v>
      </c>
      <c r="AK6">
        <v>1</v>
      </c>
      <c r="AL6">
        <v>0</v>
      </c>
      <c r="AM6">
        <v>0</v>
      </c>
      <c r="AO6" t="s">
        <v>3</v>
      </c>
      <c r="AP6">
        <f>SUMPRODUCT(Table1[Selected],Table1[GKP])</f>
        <v>2</v>
      </c>
      <c r="AQ6">
        <v>2</v>
      </c>
    </row>
    <row r="7" spans="1:43" hidden="1" x14ac:dyDescent="0.2">
      <c r="A7" t="s">
        <v>55</v>
      </c>
      <c r="B7" t="s">
        <v>56</v>
      </c>
      <c r="C7" t="s">
        <v>56</v>
      </c>
      <c r="D7" t="s">
        <v>5</v>
      </c>
      <c r="E7">
        <v>0</v>
      </c>
      <c r="F7">
        <v>0</v>
      </c>
      <c r="G7">
        <v>1</v>
      </c>
      <c r="H7">
        <v>0</v>
      </c>
      <c r="I7" t="s">
        <v>12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6.3</v>
      </c>
      <c r="AE7">
        <v>33</v>
      </c>
      <c r="AF7">
        <v>16.05263157894737</v>
      </c>
      <c r="AG7">
        <v>16.59530457837025</v>
      </c>
      <c r="AH7">
        <v>8.4761346659339125</v>
      </c>
      <c r="AI7">
        <f>9.93815830996293*1</f>
        <v>9.9381583099629296</v>
      </c>
      <c r="AJ7">
        <f>2.00828297977019*1</f>
        <v>2.0082829797701902</v>
      </c>
      <c r="AK7">
        <v>1</v>
      </c>
      <c r="AL7">
        <v>0</v>
      </c>
      <c r="AM7">
        <v>0</v>
      </c>
      <c r="AO7" t="s">
        <v>4</v>
      </c>
      <c r="AP7">
        <f>SUMPRODUCT(Table1[Selected],Table1[DEF])</f>
        <v>5</v>
      </c>
      <c r="AQ7">
        <v>5</v>
      </c>
    </row>
    <row r="8" spans="1:43" hidden="1" x14ac:dyDescent="0.2">
      <c r="A8" t="s">
        <v>57</v>
      </c>
      <c r="B8" t="s">
        <v>58</v>
      </c>
      <c r="C8" t="s">
        <v>58</v>
      </c>
      <c r="D8" t="s">
        <v>4</v>
      </c>
      <c r="E8">
        <v>0</v>
      </c>
      <c r="F8">
        <v>1</v>
      </c>
      <c r="G8">
        <v>0</v>
      </c>
      <c r="H8">
        <v>0</v>
      </c>
      <c r="I8" t="s">
        <v>12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4.7</v>
      </c>
      <c r="AE8">
        <v>41</v>
      </c>
      <c r="AF8">
        <v>13.50676936008127</v>
      </c>
      <c r="AG8">
        <v>15.477773380635311</v>
      </c>
      <c r="AH8">
        <v>13.047322720267109</v>
      </c>
      <c r="AI8">
        <f>17.5038101139371*1</f>
        <v>17.503810113937099</v>
      </c>
      <c r="AJ8">
        <f>3.45731949440616*1</f>
        <v>3.45731949440616</v>
      </c>
      <c r="AK8">
        <v>1</v>
      </c>
      <c r="AL8">
        <v>0</v>
      </c>
      <c r="AM8">
        <v>0</v>
      </c>
      <c r="AO8" t="s">
        <v>5</v>
      </c>
      <c r="AP8">
        <f>SUMPRODUCT(Table1[Selected],Table1[MID])</f>
        <v>5</v>
      </c>
      <c r="AQ8">
        <v>5</v>
      </c>
    </row>
    <row r="9" spans="1:43" hidden="1" x14ac:dyDescent="0.2">
      <c r="A9" t="s">
        <v>59</v>
      </c>
      <c r="B9" t="s">
        <v>60</v>
      </c>
      <c r="C9" t="s">
        <v>61</v>
      </c>
      <c r="D9" t="s">
        <v>3</v>
      </c>
      <c r="E9">
        <v>1</v>
      </c>
      <c r="F9">
        <v>0</v>
      </c>
      <c r="G9">
        <v>0</v>
      </c>
      <c r="H9">
        <v>0</v>
      </c>
      <c r="I9" t="s">
        <v>12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</v>
      </c>
      <c r="AE9">
        <v>52</v>
      </c>
      <c r="AF9">
        <v>16.9375</v>
      </c>
      <c r="AG9">
        <v>18.06329254534954</v>
      </c>
      <c r="AH9">
        <v>7.0313085818942174</v>
      </c>
      <c r="AI9">
        <f>13.8939624797803*1</f>
        <v>13.893962479780299</v>
      </c>
      <c r="AJ9">
        <f>2.7533408260101*1</f>
        <v>2.7533408260101</v>
      </c>
      <c r="AK9">
        <v>1</v>
      </c>
      <c r="AL9">
        <v>0</v>
      </c>
      <c r="AM9">
        <v>0</v>
      </c>
      <c r="AO9" t="s">
        <v>6</v>
      </c>
      <c r="AP9">
        <f>SUMPRODUCT(Table1[Selected],Table1[FWD])</f>
        <v>3</v>
      </c>
      <c r="AQ9">
        <v>3</v>
      </c>
    </row>
    <row r="10" spans="1:43" hidden="1" x14ac:dyDescent="0.2">
      <c r="A10" t="s">
        <v>62</v>
      </c>
      <c r="B10" t="s">
        <v>63</v>
      </c>
      <c r="C10" t="s">
        <v>63</v>
      </c>
      <c r="D10" t="s">
        <v>5</v>
      </c>
      <c r="E10">
        <v>0</v>
      </c>
      <c r="F10">
        <v>0</v>
      </c>
      <c r="G10">
        <v>1</v>
      </c>
      <c r="H10">
        <v>0</v>
      </c>
      <c r="I10" t="s">
        <v>12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5.4</v>
      </c>
      <c r="AE10">
        <v>58</v>
      </c>
      <c r="AF10">
        <v>13.87387387387388</v>
      </c>
      <c r="AG10">
        <v>13.67797007608447</v>
      </c>
      <c r="AH10">
        <v>9.6984280703315218</v>
      </c>
      <c r="AI10">
        <f>8.3035208103645*1</f>
        <v>8.3035208103644997</v>
      </c>
      <c r="AJ10">
        <f>1.48899977398114*1</f>
        <v>1.48899977398114</v>
      </c>
      <c r="AK10">
        <v>1</v>
      </c>
      <c r="AL10">
        <v>0</v>
      </c>
      <c r="AM10">
        <v>0</v>
      </c>
    </row>
    <row r="11" spans="1:43" x14ac:dyDescent="0.2">
      <c r="A11" t="s">
        <v>298</v>
      </c>
      <c r="B11" t="s">
        <v>299</v>
      </c>
      <c r="C11" t="s">
        <v>299</v>
      </c>
      <c r="D11" t="s">
        <v>3</v>
      </c>
      <c r="E11">
        <v>1</v>
      </c>
      <c r="F11">
        <v>0</v>
      </c>
      <c r="G11">
        <v>0</v>
      </c>
      <c r="H11">
        <v>0</v>
      </c>
      <c r="I11" t="s">
        <v>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4.7</v>
      </c>
      <c r="AE11">
        <v>527</v>
      </c>
      <c r="AF11">
        <v>15.555555555555561</v>
      </c>
      <c r="AG11">
        <v>15.871156157715451</v>
      </c>
      <c r="AH11">
        <v>28.883741306443369</v>
      </c>
      <c r="AI11">
        <f>28.5930038509996*1</f>
        <v>28.593003850999601</v>
      </c>
      <c r="AJ11">
        <f>6.19545142626407*1</f>
        <v>6.1954514262640696</v>
      </c>
      <c r="AK11">
        <v>1</v>
      </c>
      <c r="AL11">
        <v>1</v>
      </c>
      <c r="AM11">
        <v>1</v>
      </c>
      <c r="AO11" t="s">
        <v>7</v>
      </c>
      <c r="AP11">
        <f>SUMPRODUCT(Table1[Selected], -- (Table1[PREV] = 0))</f>
        <v>2</v>
      </c>
    </row>
    <row r="12" spans="1:43" hidden="1" x14ac:dyDescent="0.2">
      <c r="A12" t="s">
        <v>66</v>
      </c>
      <c r="B12" t="s">
        <v>67</v>
      </c>
      <c r="C12" t="s">
        <v>67</v>
      </c>
      <c r="D12" t="s">
        <v>5</v>
      </c>
      <c r="E12">
        <v>0</v>
      </c>
      <c r="F12">
        <v>0</v>
      </c>
      <c r="G12">
        <v>1</v>
      </c>
      <c r="H12">
        <v>0</v>
      </c>
      <c r="I12" t="s">
        <v>12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5.5</v>
      </c>
      <c r="AE12">
        <v>62</v>
      </c>
      <c r="AF12">
        <v>14.228102970784819</v>
      </c>
      <c r="AG12">
        <v>16.46175585763028</v>
      </c>
      <c r="AH12">
        <v>8.0573276565644409</v>
      </c>
      <c r="AI12">
        <f>6.19259978091022*1</f>
        <v>6.1925997809102196</v>
      </c>
      <c r="AJ12">
        <f>1.13785875449132*1</f>
        <v>1.1378587544913199</v>
      </c>
      <c r="AK12">
        <v>1</v>
      </c>
      <c r="AL12">
        <v>0</v>
      </c>
      <c r="AM12">
        <v>0</v>
      </c>
      <c r="AO12" t="s">
        <v>8</v>
      </c>
      <c r="AP12">
        <v>1</v>
      </c>
    </row>
    <row r="13" spans="1:43" hidden="1" x14ac:dyDescent="0.2">
      <c r="A13" t="s">
        <v>68</v>
      </c>
      <c r="B13" t="s">
        <v>69</v>
      </c>
      <c r="C13" t="s">
        <v>69</v>
      </c>
      <c r="D13" t="s">
        <v>6</v>
      </c>
      <c r="E13">
        <v>0</v>
      </c>
      <c r="F13">
        <v>0</v>
      </c>
      <c r="G13">
        <v>0</v>
      </c>
      <c r="H13">
        <v>1</v>
      </c>
      <c r="I13" t="s">
        <v>12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</v>
      </c>
      <c r="AE13">
        <v>63</v>
      </c>
      <c r="AF13">
        <v>23.973509933774839</v>
      </c>
      <c r="AG13">
        <v>22.902683864451301</v>
      </c>
      <c r="AH13">
        <v>12.11542154158486</v>
      </c>
      <c r="AI13">
        <f>21.1221836219583*1</f>
        <v>21.1221836219583</v>
      </c>
      <c r="AJ13">
        <f>4.39050562277386*1</f>
        <v>4.3905056227738601</v>
      </c>
      <c r="AK13">
        <v>1</v>
      </c>
      <c r="AL13">
        <v>0</v>
      </c>
      <c r="AM13">
        <v>0</v>
      </c>
    </row>
    <row r="14" spans="1:43" hidden="1" x14ac:dyDescent="0.2">
      <c r="A14" t="s">
        <v>70</v>
      </c>
      <c r="B14" t="s">
        <v>71</v>
      </c>
      <c r="C14" t="s">
        <v>71</v>
      </c>
      <c r="D14" t="s">
        <v>5</v>
      </c>
      <c r="E14">
        <v>0</v>
      </c>
      <c r="F14">
        <v>0</v>
      </c>
      <c r="G14">
        <v>1</v>
      </c>
      <c r="H14">
        <v>0</v>
      </c>
      <c r="I14" t="s">
        <v>13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4.9000000000000004</v>
      </c>
      <c r="AE14">
        <v>74</v>
      </c>
      <c r="AF14">
        <v>10.90809213175671</v>
      </c>
      <c r="AG14">
        <v>8.1167644362333693</v>
      </c>
      <c r="AH14">
        <v>9.1772952575165583</v>
      </c>
      <c r="AI14">
        <f>8.10409537848156*1</f>
        <v>8.1040953784815599</v>
      </c>
      <c r="AJ14">
        <f>1.57952481542527*1</f>
        <v>1.5795248154252699</v>
      </c>
      <c r="AK14">
        <v>1</v>
      </c>
      <c r="AL14">
        <v>0</v>
      </c>
      <c r="AM14">
        <v>0</v>
      </c>
      <c r="AO14" t="s">
        <v>9</v>
      </c>
      <c r="AP14">
        <f>((AP11-AP12)+ABS((AP11-AP12)))/2*4</f>
        <v>4</v>
      </c>
    </row>
    <row r="15" spans="1:43" hidden="1" x14ac:dyDescent="0.2">
      <c r="A15" t="s">
        <v>72</v>
      </c>
      <c r="B15" t="s">
        <v>73</v>
      </c>
      <c r="C15" t="s">
        <v>73</v>
      </c>
      <c r="D15" t="s">
        <v>5</v>
      </c>
      <c r="E15">
        <v>0</v>
      </c>
      <c r="F15">
        <v>0</v>
      </c>
      <c r="G15">
        <v>1</v>
      </c>
      <c r="H15">
        <v>0</v>
      </c>
      <c r="I15" t="s">
        <v>13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75</v>
      </c>
      <c r="AF15">
        <v>13.64558298899775</v>
      </c>
      <c r="AG15">
        <v>6.7246500745293281</v>
      </c>
      <c r="AH15">
        <v>20.827175933441559</v>
      </c>
      <c r="AI15">
        <f>18.4914899676506*1</f>
        <v>18.491489967650601</v>
      </c>
      <c r="AJ15">
        <f>3.36784901599977*1</f>
        <v>3.36784901599977</v>
      </c>
      <c r="AK15">
        <v>1</v>
      </c>
      <c r="AL15">
        <v>0</v>
      </c>
      <c r="AM15">
        <v>0</v>
      </c>
    </row>
    <row r="16" spans="1:43" hidden="1" x14ac:dyDescent="0.2">
      <c r="A16" t="s">
        <v>74</v>
      </c>
      <c r="B16" t="s">
        <v>75</v>
      </c>
      <c r="C16" t="s">
        <v>75</v>
      </c>
      <c r="D16" t="s">
        <v>4</v>
      </c>
      <c r="E16">
        <v>0</v>
      </c>
      <c r="F16">
        <v>1</v>
      </c>
      <c r="G16">
        <v>0</v>
      </c>
      <c r="H16">
        <v>0</v>
      </c>
      <c r="I16" t="s">
        <v>13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4.4000000000000004</v>
      </c>
      <c r="AE16">
        <v>81</v>
      </c>
      <c r="AF16">
        <v>11.184210526315789</v>
      </c>
      <c r="AG16">
        <v>9.2379456572353806</v>
      </c>
      <c r="AH16">
        <v>28.607568287513139</v>
      </c>
      <c r="AI16">
        <f>15.2119717279194*1</f>
        <v>15.2119717279194</v>
      </c>
      <c r="AJ16">
        <f>2.91566353333577*1</f>
        <v>2.9156635333357701</v>
      </c>
      <c r="AK16">
        <v>1</v>
      </c>
      <c r="AL16">
        <v>0</v>
      </c>
      <c r="AM16">
        <v>0</v>
      </c>
      <c r="AO16" t="s">
        <v>10</v>
      </c>
      <c r="AP16">
        <f>AP2-AP14*5</f>
        <v>238.08609200539206</v>
      </c>
    </row>
    <row r="17" spans="1:43" hidden="1" x14ac:dyDescent="0.2">
      <c r="A17" t="s">
        <v>76</v>
      </c>
      <c r="B17" t="s">
        <v>77</v>
      </c>
      <c r="C17" t="s">
        <v>77</v>
      </c>
      <c r="D17" t="s">
        <v>5</v>
      </c>
      <c r="E17">
        <v>0</v>
      </c>
      <c r="F17">
        <v>0</v>
      </c>
      <c r="G17">
        <v>1</v>
      </c>
      <c r="H17">
        <v>0</v>
      </c>
      <c r="I17" t="s">
        <v>13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5.3</v>
      </c>
      <c r="AE17">
        <v>82</v>
      </c>
      <c r="AF17">
        <v>15.83333333333333</v>
      </c>
      <c r="AG17">
        <v>17.70492102410125</v>
      </c>
      <c r="AH17">
        <v>26.55</v>
      </c>
      <c r="AI17">
        <f>13.611316631758*1</f>
        <v>13.611316631757999</v>
      </c>
      <c r="AJ17">
        <f>1.92697368042841*1</f>
        <v>1.9269736804284101</v>
      </c>
      <c r="AK17">
        <v>1</v>
      </c>
      <c r="AL17">
        <v>0</v>
      </c>
      <c r="AM17">
        <v>0</v>
      </c>
    </row>
    <row r="18" spans="1:43" hidden="1" x14ac:dyDescent="0.2">
      <c r="A18" t="s">
        <v>78</v>
      </c>
      <c r="B18" t="s">
        <v>79</v>
      </c>
      <c r="C18" t="s">
        <v>80</v>
      </c>
      <c r="D18" t="s">
        <v>5</v>
      </c>
      <c r="E18">
        <v>0</v>
      </c>
      <c r="F18">
        <v>0</v>
      </c>
      <c r="G18">
        <v>1</v>
      </c>
      <c r="H18">
        <v>0</v>
      </c>
      <c r="I18" t="s">
        <v>13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84</v>
      </c>
      <c r="AF18">
        <v>11.455841266899901</v>
      </c>
      <c r="AG18">
        <v>8.8046517833500371</v>
      </c>
      <c r="AH18">
        <v>6.0909090909090917</v>
      </c>
      <c r="AI18">
        <f>9.14310406926809*1</f>
        <v>9.1431040692680892</v>
      </c>
      <c r="AJ18">
        <f>2.27626256851335*1</f>
        <v>2.2762625685133502</v>
      </c>
      <c r="AK18">
        <v>1</v>
      </c>
      <c r="AL18">
        <v>0</v>
      </c>
      <c r="AM18">
        <v>0</v>
      </c>
      <c r="AO18" t="s">
        <v>11</v>
      </c>
      <c r="AP18">
        <f>SUMPRODUCT(Table1[Selected],Table1[ARS])</f>
        <v>1</v>
      </c>
      <c r="AQ18">
        <v>3</v>
      </c>
    </row>
    <row r="19" spans="1:43" hidden="1" x14ac:dyDescent="0.2">
      <c r="A19" t="s">
        <v>81</v>
      </c>
      <c r="B19" t="s">
        <v>82</v>
      </c>
      <c r="C19" t="s">
        <v>82</v>
      </c>
      <c r="D19" t="s">
        <v>5</v>
      </c>
      <c r="E19">
        <v>0</v>
      </c>
      <c r="F19">
        <v>0</v>
      </c>
      <c r="G19">
        <v>1</v>
      </c>
      <c r="H19">
        <v>0</v>
      </c>
      <c r="I19" t="s">
        <v>13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5.7</v>
      </c>
      <c r="AE19">
        <v>88</v>
      </c>
      <c r="AF19">
        <v>16.05769230769231</v>
      </c>
      <c r="AG19">
        <v>10.85714501079403</v>
      </c>
      <c r="AH19">
        <v>34.831464646464653</v>
      </c>
      <c r="AI19">
        <f>9.84043371705523*1</f>
        <v>9.8404337170552303</v>
      </c>
      <c r="AJ19">
        <f>1.79265637435179*1</f>
        <v>1.79265637435179</v>
      </c>
      <c r="AK19">
        <v>1</v>
      </c>
      <c r="AL19">
        <v>0</v>
      </c>
      <c r="AM19">
        <v>0</v>
      </c>
      <c r="AO19" t="s">
        <v>12</v>
      </c>
      <c r="AP19">
        <f>SUMPRODUCT(Table1[Selected],Table1[AVL])</f>
        <v>1</v>
      </c>
      <c r="AQ19">
        <v>3</v>
      </c>
    </row>
    <row r="20" spans="1:43" hidden="1" x14ac:dyDescent="0.2">
      <c r="A20" t="s">
        <v>83</v>
      </c>
      <c r="B20" t="s">
        <v>84</v>
      </c>
      <c r="C20" t="s">
        <v>84</v>
      </c>
      <c r="D20" t="s">
        <v>4</v>
      </c>
      <c r="E20">
        <v>0</v>
      </c>
      <c r="F20">
        <v>1</v>
      </c>
      <c r="G20">
        <v>0</v>
      </c>
      <c r="H20">
        <v>0</v>
      </c>
      <c r="I20" t="s">
        <v>13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4.8</v>
      </c>
      <c r="AE20">
        <v>89</v>
      </c>
      <c r="AF20">
        <v>12.732081185849401</v>
      </c>
      <c r="AG20">
        <v>13.0890553170284</v>
      </c>
      <c r="AH20">
        <v>15.945244226484689</v>
      </c>
      <c r="AI20">
        <f>4.59958546765882*1</f>
        <v>4.5995854676588204</v>
      </c>
      <c r="AJ20">
        <f>0.759742954708534*1</f>
        <v>0.75974295470853404</v>
      </c>
      <c r="AK20">
        <v>1</v>
      </c>
      <c r="AL20">
        <v>0</v>
      </c>
      <c r="AM20">
        <v>0</v>
      </c>
      <c r="AO20" t="s">
        <v>13</v>
      </c>
      <c r="AP20">
        <f>SUMPRODUCT(Table1[Selected],Table1[BOU])</f>
        <v>0</v>
      </c>
      <c r="AQ20">
        <v>3</v>
      </c>
    </row>
    <row r="21" spans="1:43" hidden="1" x14ac:dyDescent="0.2">
      <c r="A21" t="s">
        <v>85</v>
      </c>
      <c r="B21" t="s">
        <v>86</v>
      </c>
      <c r="C21" t="s">
        <v>86</v>
      </c>
      <c r="D21" t="s">
        <v>5</v>
      </c>
      <c r="E21">
        <v>0</v>
      </c>
      <c r="F21">
        <v>0</v>
      </c>
      <c r="G21">
        <v>1</v>
      </c>
      <c r="H21">
        <v>0</v>
      </c>
      <c r="I21" t="s">
        <v>13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5.5</v>
      </c>
      <c r="AE21">
        <v>92</v>
      </c>
      <c r="AF21">
        <v>16.693548387096769</v>
      </c>
      <c r="AG21">
        <v>20.146206493183708</v>
      </c>
      <c r="AH21">
        <v>16.370588235294122</v>
      </c>
      <c r="AI21">
        <f>10.0331923456992*1</f>
        <v>10.0331923456992</v>
      </c>
      <c r="AJ21">
        <f>1.74717856674913*1</f>
        <v>1.74717856674913</v>
      </c>
      <c r="AK21">
        <v>1</v>
      </c>
      <c r="AL21">
        <v>0</v>
      </c>
      <c r="AM21">
        <v>0</v>
      </c>
      <c r="AO21" t="s">
        <v>14</v>
      </c>
      <c r="AP21">
        <f>SUMPRODUCT(Table1[Selected],Table1[BRE])</f>
        <v>2</v>
      </c>
      <c r="AQ21">
        <v>3</v>
      </c>
    </row>
    <row r="22" spans="1:43" hidden="1" x14ac:dyDescent="0.2">
      <c r="A22" t="s">
        <v>87</v>
      </c>
      <c r="B22" t="s">
        <v>88</v>
      </c>
      <c r="C22" t="s">
        <v>88</v>
      </c>
      <c r="D22" t="s">
        <v>4</v>
      </c>
      <c r="E22">
        <v>0</v>
      </c>
      <c r="F22">
        <v>1</v>
      </c>
      <c r="G22">
        <v>0</v>
      </c>
      <c r="H22">
        <v>0</v>
      </c>
      <c r="I22" t="s">
        <v>13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4.4000000000000004</v>
      </c>
      <c r="AE22">
        <v>94</v>
      </c>
      <c r="AF22">
        <v>10.98039215686274</v>
      </c>
      <c r="AG22">
        <v>9.718604938465834</v>
      </c>
      <c r="AH22">
        <v>11.435302125851971</v>
      </c>
      <c r="AI22">
        <f>6.7607681016986*1</f>
        <v>6.7607681016986003</v>
      </c>
      <c r="AJ22">
        <f>1.25521964027596*1</f>
        <v>1.2552196402759599</v>
      </c>
      <c r="AK22">
        <v>1</v>
      </c>
      <c r="AL22">
        <v>0</v>
      </c>
      <c r="AM22">
        <v>0</v>
      </c>
      <c r="AO22" t="s">
        <v>15</v>
      </c>
      <c r="AP22">
        <f>SUMPRODUCT(Table1[Selected],Table1[BHA])</f>
        <v>0</v>
      </c>
      <c r="AQ22">
        <v>3</v>
      </c>
    </row>
    <row r="23" spans="1:43" hidden="1" x14ac:dyDescent="0.2">
      <c r="A23" t="s">
        <v>89</v>
      </c>
      <c r="B23" t="s">
        <v>90</v>
      </c>
      <c r="C23" t="s">
        <v>90</v>
      </c>
      <c r="D23" t="s">
        <v>4</v>
      </c>
      <c r="E23">
        <v>0</v>
      </c>
      <c r="F23">
        <v>1</v>
      </c>
      <c r="G23">
        <v>0</v>
      </c>
      <c r="H23">
        <v>0</v>
      </c>
      <c r="I23" t="s">
        <v>14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4.5</v>
      </c>
      <c r="AE23">
        <v>102</v>
      </c>
      <c r="AF23">
        <v>12.38372093023257</v>
      </c>
      <c r="AG23">
        <v>11.359654462600661</v>
      </c>
      <c r="AH23">
        <v>7.8110965362557376</v>
      </c>
      <c r="AI23">
        <f>10.6470874956145*1</f>
        <v>10.6470874956145</v>
      </c>
      <c r="AJ23">
        <f>2.0840304133923*1</f>
        <v>2.0840304133923002</v>
      </c>
      <c r="AK23">
        <v>1</v>
      </c>
      <c r="AL23">
        <v>0</v>
      </c>
      <c r="AM23">
        <v>0</v>
      </c>
      <c r="AO23" t="s">
        <v>16</v>
      </c>
      <c r="AP23">
        <f>SUMPRODUCT(Table1[Selected],Table1[CHE])</f>
        <v>1</v>
      </c>
      <c r="AQ23">
        <v>3</v>
      </c>
    </row>
    <row r="24" spans="1:43" hidden="1" x14ac:dyDescent="0.2">
      <c r="A24" t="s">
        <v>91</v>
      </c>
      <c r="B24" t="s">
        <v>92</v>
      </c>
      <c r="C24" t="s">
        <v>92</v>
      </c>
      <c r="D24" t="s">
        <v>5</v>
      </c>
      <c r="E24">
        <v>0</v>
      </c>
      <c r="F24">
        <v>0</v>
      </c>
      <c r="G24">
        <v>1</v>
      </c>
      <c r="H24">
        <v>0</v>
      </c>
      <c r="I24" t="s">
        <v>14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103</v>
      </c>
      <c r="AF24">
        <v>24.77621042808298</v>
      </c>
      <c r="AG24">
        <v>7.7125440713055049</v>
      </c>
      <c r="AH24">
        <v>19.129230769230769</v>
      </c>
      <c r="AI24">
        <f>27.9419139231557*1</f>
        <v>27.941913923155699</v>
      </c>
      <c r="AJ24">
        <f>6.26857060398652*1</f>
        <v>6.2685706039865199</v>
      </c>
      <c r="AK24">
        <v>1</v>
      </c>
      <c r="AL24">
        <v>0</v>
      </c>
      <c r="AM24">
        <v>0</v>
      </c>
      <c r="AO24" t="s">
        <v>17</v>
      </c>
      <c r="AP24">
        <f>SUMPRODUCT(Table1[Selected],Table1[CRY])</f>
        <v>0</v>
      </c>
      <c r="AQ24">
        <v>3</v>
      </c>
    </row>
    <row r="25" spans="1:43" hidden="1" x14ac:dyDescent="0.2">
      <c r="A25" t="s">
        <v>93</v>
      </c>
      <c r="B25" t="s">
        <v>94</v>
      </c>
      <c r="C25" t="s">
        <v>94</v>
      </c>
      <c r="D25" t="s">
        <v>3</v>
      </c>
      <c r="E25">
        <v>1</v>
      </c>
      <c r="F25">
        <v>0</v>
      </c>
      <c r="G25">
        <v>0</v>
      </c>
      <c r="H25">
        <v>0</v>
      </c>
      <c r="I25" t="s">
        <v>14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4.5</v>
      </c>
      <c r="AE25">
        <v>105</v>
      </c>
      <c r="AF25">
        <v>15.63829787234042</v>
      </c>
      <c r="AG25">
        <v>16.47911749077722</v>
      </c>
      <c r="AH25">
        <v>17.600000000000001</v>
      </c>
      <c r="AI25">
        <f>8.00353169201004*1</f>
        <v>8.0035316920100392</v>
      </c>
      <c r="AJ25">
        <f>1.24034967722909*1</f>
        <v>1.2403496772290901</v>
      </c>
      <c r="AK25">
        <v>1</v>
      </c>
      <c r="AL25">
        <v>0</v>
      </c>
      <c r="AM25">
        <v>0</v>
      </c>
      <c r="AO25" t="s">
        <v>18</v>
      </c>
      <c r="AP25">
        <f>SUMPRODUCT(Table1[Selected],Table1[EVE])</f>
        <v>0</v>
      </c>
      <c r="AQ25">
        <v>3</v>
      </c>
    </row>
    <row r="26" spans="1:43" hidden="1" x14ac:dyDescent="0.2">
      <c r="A26" t="s">
        <v>95</v>
      </c>
      <c r="B26" t="s">
        <v>96</v>
      </c>
      <c r="C26" t="s">
        <v>96</v>
      </c>
      <c r="D26" t="s">
        <v>5</v>
      </c>
      <c r="E26">
        <v>0</v>
      </c>
      <c r="F26">
        <v>0</v>
      </c>
      <c r="G26">
        <v>1</v>
      </c>
      <c r="H26">
        <v>0</v>
      </c>
      <c r="I26" t="s">
        <v>14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4.9000000000000004</v>
      </c>
      <c r="AE26">
        <v>108</v>
      </c>
      <c r="AF26">
        <v>13.46846846846848</v>
      </c>
      <c r="AG26">
        <v>10.342563897346009</v>
      </c>
      <c r="AH26">
        <v>18.385539619068631</v>
      </c>
      <c r="AI26">
        <f>14.0856064861863*1</f>
        <v>14.0856064861863</v>
      </c>
      <c r="AJ26">
        <f>2.79395529866654*1</f>
        <v>2.7939552986665399</v>
      </c>
      <c r="AK26">
        <v>1</v>
      </c>
      <c r="AL26">
        <v>0</v>
      </c>
      <c r="AM26">
        <v>0</v>
      </c>
      <c r="AO26" t="s">
        <v>19</v>
      </c>
      <c r="AP26">
        <f>SUMPRODUCT(Table1[Selected],Table1[FUL])</f>
        <v>0</v>
      </c>
      <c r="AQ26">
        <v>3</v>
      </c>
    </row>
    <row r="27" spans="1:43" hidden="1" x14ac:dyDescent="0.2">
      <c r="A27" t="s">
        <v>97</v>
      </c>
      <c r="B27" t="s">
        <v>98</v>
      </c>
      <c r="C27" t="s">
        <v>98</v>
      </c>
      <c r="D27" t="s">
        <v>5</v>
      </c>
      <c r="E27">
        <v>0</v>
      </c>
      <c r="F27">
        <v>0</v>
      </c>
      <c r="G27">
        <v>1</v>
      </c>
      <c r="H27">
        <v>0</v>
      </c>
      <c r="I27" t="s">
        <v>14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112</v>
      </c>
      <c r="AF27">
        <v>11.5</v>
      </c>
      <c r="AG27">
        <v>9.394220283074862</v>
      </c>
      <c r="AH27">
        <v>21.63333333333334</v>
      </c>
      <c r="AI27">
        <f>11.5102438230843*1</f>
        <v>11.5102438230843</v>
      </c>
      <c r="AJ27">
        <f>2.26997191046851*1</f>
        <v>2.2699719104685099</v>
      </c>
      <c r="AK27">
        <v>1</v>
      </c>
      <c r="AL27">
        <v>0</v>
      </c>
      <c r="AM27">
        <v>0</v>
      </c>
      <c r="AO27" t="s">
        <v>20</v>
      </c>
      <c r="AP27">
        <f>SUMPRODUCT(Table1[Selected],Table1[IPS])</f>
        <v>0</v>
      </c>
      <c r="AQ27">
        <v>3</v>
      </c>
    </row>
    <row r="28" spans="1:43" x14ac:dyDescent="0.2">
      <c r="A28" t="s">
        <v>339</v>
      </c>
      <c r="B28" t="s">
        <v>340</v>
      </c>
      <c r="C28" t="s">
        <v>341</v>
      </c>
      <c r="D28" t="s">
        <v>6</v>
      </c>
      <c r="E28">
        <v>0</v>
      </c>
      <c r="F28">
        <v>0</v>
      </c>
      <c r="G28">
        <v>0</v>
      </c>
      <c r="H28">
        <v>1</v>
      </c>
      <c r="I28" t="s">
        <v>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6.8</v>
      </c>
      <c r="AE28">
        <v>648</v>
      </c>
      <c r="AF28">
        <v>34.892840270943452</v>
      </c>
      <c r="AG28">
        <v>16.049524595008851</v>
      </c>
      <c r="AH28">
        <v>45.096644337032842</v>
      </c>
      <c r="AI28">
        <f>31.8190433195646*1</f>
        <v>31.819043319564599</v>
      </c>
      <c r="AJ28">
        <f>5.49126662153417*1</f>
        <v>5.4912666215341703</v>
      </c>
      <c r="AK28">
        <v>1</v>
      </c>
      <c r="AL28">
        <v>0</v>
      </c>
      <c r="AM28">
        <v>1</v>
      </c>
      <c r="AO28" t="s">
        <v>21</v>
      </c>
      <c r="AP28">
        <f>SUMPRODUCT(Table1[Selected],Table1[LEI])</f>
        <v>0</v>
      </c>
      <c r="AQ28">
        <v>3</v>
      </c>
    </row>
    <row r="29" spans="1:43" hidden="1" x14ac:dyDescent="0.2">
      <c r="A29" t="s">
        <v>101</v>
      </c>
      <c r="B29" t="s">
        <v>102</v>
      </c>
      <c r="C29" t="s">
        <v>102</v>
      </c>
      <c r="D29" t="s">
        <v>5</v>
      </c>
      <c r="E29">
        <v>0</v>
      </c>
      <c r="F29">
        <v>0</v>
      </c>
      <c r="G29">
        <v>1</v>
      </c>
      <c r="H29">
        <v>0</v>
      </c>
      <c r="I29" t="s">
        <v>14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4.8</v>
      </c>
      <c r="AE29">
        <v>115</v>
      </c>
      <c r="AF29">
        <v>14.184782608695659</v>
      </c>
      <c r="AG29">
        <v>16.027125666138769</v>
      </c>
      <c r="AH29">
        <v>11.412131258535769</v>
      </c>
      <c r="AI29">
        <f>11.4539957156945*1</f>
        <v>11.4539957156945</v>
      </c>
      <c r="AJ29">
        <f>2.10670764082192*1</f>
        <v>2.1067076408219201</v>
      </c>
      <c r="AK29">
        <v>1</v>
      </c>
      <c r="AL29">
        <v>0</v>
      </c>
      <c r="AM29">
        <v>0</v>
      </c>
      <c r="AO29" t="s">
        <v>22</v>
      </c>
      <c r="AP29">
        <f>SUMPRODUCT(Table1[Selected],Table1[LIV])</f>
        <v>3</v>
      </c>
      <c r="AQ29">
        <v>3</v>
      </c>
    </row>
    <row r="30" spans="1:43" hidden="1" x14ac:dyDescent="0.2">
      <c r="A30" t="s">
        <v>103</v>
      </c>
      <c r="B30" t="s">
        <v>104</v>
      </c>
      <c r="C30" t="s">
        <v>104</v>
      </c>
      <c r="D30" t="s">
        <v>4</v>
      </c>
      <c r="E30">
        <v>0</v>
      </c>
      <c r="F30">
        <v>1</v>
      </c>
      <c r="G30">
        <v>0</v>
      </c>
      <c r="H30">
        <v>0</v>
      </c>
      <c r="I30" t="s">
        <v>14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4.5</v>
      </c>
      <c r="AE30">
        <v>118</v>
      </c>
      <c r="AF30">
        <v>14.79591836734693</v>
      </c>
      <c r="AG30">
        <v>16.092820934912179</v>
      </c>
      <c r="AH30">
        <v>7.7424022059213868</v>
      </c>
      <c r="AI30">
        <f>11.4212427746355*1</f>
        <v>11.4212427746355</v>
      </c>
      <c r="AJ30">
        <f>1.92884503380978*1</f>
        <v>1.92884503380978</v>
      </c>
      <c r="AK30">
        <v>1</v>
      </c>
      <c r="AL30">
        <v>0</v>
      </c>
      <c r="AM30">
        <v>0</v>
      </c>
      <c r="AO30" t="s">
        <v>23</v>
      </c>
      <c r="AP30">
        <f>SUMPRODUCT(Table1[Selected],Table1[MCI])</f>
        <v>0</v>
      </c>
      <c r="AQ30">
        <v>3</v>
      </c>
    </row>
    <row r="31" spans="1:43" x14ac:dyDescent="0.2">
      <c r="A31" t="s">
        <v>267</v>
      </c>
      <c r="B31" t="s">
        <v>268</v>
      </c>
      <c r="C31" t="s">
        <v>268</v>
      </c>
      <c r="D31" t="s">
        <v>5</v>
      </c>
      <c r="E31">
        <v>0</v>
      </c>
      <c r="F31">
        <v>0</v>
      </c>
      <c r="G31">
        <v>1</v>
      </c>
      <c r="H31">
        <v>0</v>
      </c>
      <c r="I31" t="s">
        <v>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6.3</v>
      </c>
      <c r="AE31">
        <v>474</v>
      </c>
      <c r="AF31">
        <v>19.599055763807261</v>
      </c>
      <c r="AG31">
        <v>23.246468308491</v>
      </c>
      <c r="AH31">
        <v>25.02759829254769</v>
      </c>
      <c r="AI31">
        <f>23.01502824977*1</f>
        <v>23.015028249770001</v>
      </c>
      <c r="AJ31">
        <f>4.41641877028421*1</f>
        <v>4.4164187702842099</v>
      </c>
      <c r="AK31">
        <v>1</v>
      </c>
      <c r="AL31">
        <v>1</v>
      </c>
      <c r="AM31">
        <v>1</v>
      </c>
      <c r="AO31" t="s">
        <v>24</v>
      </c>
      <c r="AP31">
        <f>SUMPRODUCT(Table1[Selected],Table1[MUN])</f>
        <v>2</v>
      </c>
      <c r="AQ31">
        <v>3</v>
      </c>
    </row>
    <row r="32" spans="1:43" hidden="1" x14ac:dyDescent="0.2">
      <c r="A32" t="s">
        <v>107</v>
      </c>
      <c r="B32" t="s">
        <v>108</v>
      </c>
      <c r="C32" t="s">
        <v>108</v>
      </c>
      <c r="D32" t="s">
        <v>5</v>
      </c>
      <c r="E32">
        <v>0</v>
      </c>
      <c r="F32">
        <v>0</v>
      </c>
      <c r="G32">
        <v>1</v>
      </c>
      <c r="H32">
        <v>0</v>
      </c>
      <c r="I32" t="s">
        <v>15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  <c r="AE32">
        <v>136</v>
      </c>
      <c r="AF32">
        <v>8.7142857142857117</v>
      </c>
      <c r="AG32">
        <v>6.332436220755473</v>
      </c>
      <c r="AH32">
        <v>15.93408168039775</v>
      </c>
      <c r="AI32">
        <f>13.4001934251152*1</f>
        <v>13.4001934251152</v>
      </c>
      <c r="AJ32">
        <f>2.73796693554955*1</f>
        <v>2.73796693554955</v>
      </c>
      <c r="AK32">
        <v>1</v>
      </c>
      <c r="AL32">
        <v>0</v>
      </c>
      <c r="AM32">
        <v>0</v>
      </c>
      <c r="AO32" t="s">
        <v>25</v>
      </c>
      <c r="AP32">
        <f>SUMPRODUCT(Table1[Selected],Table1[NEW])</f>
        <v>1</v>
      </c>
      <c r="AQ32">
        <v>3</v>
      </c>
    </row>
    <row r="33" spans="1:43" hidden="1" x14ac:dyDescent="0.2">
      <c r="A33" t="s">
        <v>72</v>
      </c>
      <c r="B33" t="s">
        <v>109</v>
      </c>
      <c r="C33" t="s">
        <v>109</v>
      </c>
      <c r="D33" t="s">
        <v>4</v>
      </c>
      <c r="E33">
        <v>0</v>
      </c>
      <c r="F33">
        <v>1</v>
      </c>
      <c r="G33">
        <v>0</v>
      </c>
      <c r="H33">
        <v>0</v>
      </c>
      <c r="I33" t="s">
        <v>15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4.4000000000000004</v>
      </c>
      <c r="AE33">
        <v>140</v>
      </c>
      <c r="AF33">
        <v>15.725</v>
      </c>
      <c r="AG33">
        <v>12.83096084195439</v>
      </c>
      <c r="AH33">
        <v>8.0921820737093704</v>
      </c>
      <c r="AI33">
        <f>8.69323320980418*1</f>
        <v>8.6932332098041805</v>
      </c>
      <c r="AJ33">
        <f>1.55255327017674*1</f>
        <v>1.5525532701767399</v>
      </c>
      <c r="AK33">
        <v>1</v>
      </c>
      <c r="AL33">
        <v>0</v>
      </c>
      <c r="AM33">
        <v>0</v>
      </c>
      <c r="AO33" t="s">
        <v>26</v>
      </c>
      <c r="AP33">
        <f>SUMPRODUCT(Table1[Selected],Table1[NFO])</f>
        <v>3</v>
      </c>
      <c r="AQ33">
        <v>3</v>
      </c>
    </row>
    <row r="34" spans="1:43" hidden="1" x14ac:dyDescent="0.2">
      <c r="A34" t="s">
        <v>110</v>
      </c>
      <c r="B34" t="s">
        <v>111</v>
      </c>
      <c r="C34" t="s">
        <v>111</v>
      </c>
      <c r="D34" t="s">
        <v>4</v>
      </c>
      <c r="E34">
        <v>0</v>
      </c>
      <c r="F34">
        <v>1</v>
      </c>
      <c r="G34">
        <v>0</v>
      </c>
      <c r="H34">
        <v>0</v>
      </c>
      <c r="I34" t="s">
        <v>15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4.5</v>
      </c>
      <c r="AE34">
        <v>165</v>
      </c>
      <c r="AF34">
        <v>13.97274048975831</v>
      </c>
      <c r="AG34">
        <v>13.744214655539229</v>
      </c>
      <c r="AH34">
        <v>6.4214282688856201</v>
      </c>
      <c r="AI34">
        <f>4.38788224008159*1</f>
        <v>4.3878822400815896</v>
      </c>
      <c r="AJ34">
        <f>0.846159605709933*1</f>
        <v>0.84615960570993298</v>
      </c>
      <c r="AK34">
        <v>1</v>
      </c>
      <c r="AL34">
        <v>0</v>
      </c>
      <c r="AM34">
        <v>0</v>
      </c>
      <c r="AO34" t="s">
        <v>27</v>
      </c>
      <c r="AP34">
        <f>SUMPRODUCT(Table1[Selected],Table1[SOU])</f>
        <v>0</v>
      </c>
      <c r="AQ34">
        <v>3</v>
      </c>
    </row>
    <row r="35" spans="1:43" hidden="1" x14ac:dyDescent="0.2">
      <c r="A35" t="s">
        <v>112</v>
      </c>
      <c r="B35" t="s">
        <v>113</v>
      </c>
      <c r="C35" t="s">
        <v>113</v>
      </c>
      <c r="D35" t="s">
        <v>3</v>
      </c>
      <c r="E35">
        <v>1</v>
      </c>
      <c r="F35">
        <v>0</v>
      </c>
      <c r="G35">
        <v>0</v>
      </c>
      <c r="H35">
        <v>0</v>
      </c>
      <c r="I35" t="s">
        <v>15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4.5</v>
      </c>
      <c r="AE35">
        <v>166</v>
      </c>
      <c r="AF35">
        <v>15.68965517241379</v>
      </c>
      <c r="AG35">
        <v>21.435840741411671</v>
      </c>
      <c r="AH35">
        <v>13.96666666666667</v>
      </c>
      <c r="AI35">
        <f>11.3931147088012*1</f>
        <v>11.3931147088012</v>
      </c>
      <c r="AJ35">
        <f>2.44580532747235*1</f>
        <v>2.4458053274723501</v>
      </c>
      <c r="AK35">
        <v>1</v>
      </c>
      <c r="AL35">
        <v>0</v>
      </c>
      <c r="AM35">
        <v>0</v>
      </c>
      <c r="AO35" t="s">
        <v>28</v>
      </c>
      <c r="AP35">
        <f>SUMPRODUCT(Table1[Selected],Table1[TOT])</f>
        <v>0</v>
      </c>
      <c r="AQ35">
        <v>3</v>
      </c>
    </row>
    <row r="36" spans="1:43" hidden="1" x14ac:dyDescent="0.2">
      <c r="A36" t="s">
        <v>114</v>
      </c>
      <c r="B36" t="s">
        <v>115</v>
      </c>
      <c r="C36" t="s">
        <v>115</v>
      </c>
      <c r="D36" t="s">
        <v>6</v>
      </c>
      <c r="E36">
        <v>0</v>
      </c>
      <c r="F36">
        <v>0</v>
      </c>
      <c r="G36">
        <v>0</v>
      </c>
      <c r="H36">
        <v>1</v>
      </c>
      <c r="I36" t="s">
        <v>15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168</v>
      </c>
      <c r="AF36">
        <v>15.8234583238666</v>
      </c>
      <c r="AG36">
        <v>13.799028974970099</v>
      </c>
      <c r="AH36">
        <v>17.489642877503151</v>
      </c>
      <c r="AI36">
        <f>10.0563855376605*1</f>
        <v>10.0563855376605</v>
      </c>
      <c r="AJ36">
        <f>2.3048723978041*1</f>
        <v>2.3048723978040999</v>
      </c>
      <c r="AK36">
        <v>1</v>
      </c>
      <c r="AL36">
        <v>1</v>
      </c>
      <c r="AM36">
        <v>0</v>
      </c>
      <c r="AO36" t="s">
        <v>29</v>
      </c>
      <c r="AP36">
        <f>SUMPRODUCT(Table1[Selected],Table1[WHU])</f>
        <v>0</v>
      </c>
      <c r="AQ36">
        <v>3</v>
      </c>
    </row>
    <row r="37" spans="1:43" hidden="1" x14ac:dyDescent="0.2">
      <c r="A37" t="s">
        <v>116</v>
      </c>
      <c r="B37" t="s">
        <v>117</v>
      </c>
      <c r="C37" t="s">
        <v>116</v>
      </c>
      <c r="D37" t="s">
        <v>5</v>
      </c>
      <c r="E37">
        <v>0</v>
      </c>
      <c r="F37">
        <v>0</v>
      </c>
      <c r="G37">
        <v>1</v>
      </c>
      <c r="H37">
        <v>0</v>
      </c>
      <c r="I37" t="s">
        <v>15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5.6</v>
      </c>
      <c r="AE37">
        <v>174</v>
      </c>
      <c r="AF37">
        <v>0</v>
      </c>
      <c r="AG37">
        <v>0</v>
      </c>
      <c r="AH37">
        <v>0</v>
      </c>
      <c r="AI37">
        <f>0*1</f>
        <v>0</v>
      </c>
      <c r="AJ37">
        <f>0*1</f>
        <v>0</v>
      </c>
      <c r="AK37">
        <v>1</v>
      </c>
      <c r="AL37">
        <v>0</v>
      </c>
      <c r="AM37">
        <v>0</v>
      </c>
      <c r="AO37" t="s">
        <v>30</v>
      </c>
      <c r="AP37">
        <f>SUMPRODUCT(Table1[Selected],Table1[WOL])</f>
        <v>1</v>
      </c>
      <c r="AQ37">
        <v>3</v>
      </c>
    </row>
    <row r="38" spans="1:43" hidden="1" x14ac:dyDescent="0.2">
      <c r="A38" t="s">
        <v>118</v>
      </c>
      <c r="B38" t="s">
        <v>119</v>
      </c>
      <c r="C38" t="s">
        <v>120</v>
      </c>
      <c r="D38" t="s">
        <v>5</v>
      </c>
      <c r="E38">
        <v>0</v>
      </c>
      <c r="F38">
        <v>0</v>
      </c>
      <c r="G38">
        <v>1</v>
      </c>
      <c r="H38">
        <v>0</v>
      </c>
      <c r="I38" t="s">
        <v>16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4.9000000000000004</v>
      </c>
      <c r="AE38">
        <v>184</v>
      </c>
      <c r="AF38">
        <v>13.716812976418989</v>
      </c>
      <c r="AG38">
        <v>7.9448107091092917</v>
      </c>
      <c r="AH38">
        <v>26.63302504837592</v>
      </c>
      <c r="AI38">
        <f>15.2417526315992*1</f>
        <v>15.2417526315992</v>
      </c>
      <c r="AJ38">
        <f>3.40123469900039*1</f>
        <v>3.4012346990003901</v>
      </c>
      <c r="AK38">
        <v>1</v>
      </c>
      <c r="AL38">
        <v>0</v>
      </c>
      <c r="AM38">
        <v>0</v>
      </c>
    </row>
    <row r="39" spans="1:43" hidden="1" x14ac:dyDescent="0.2">
      <c r="A39" t="s">
        <v>121</v>
      </c>
      <c r="B39" t="s">
        <v>122</v>
      </c>
      <c r="C39" t="s">
        <v>122</v>
      </c>
      <c r="D39" t="s">
        <v>5</v>
      </c>
      <c r="E39">
        <v>0</v>
      </c>
      <c r="F39">
        <v>0</v>
      </c>
      <c r="G39">
        <v>1</v>
      </c>
      <c r="H39">
        <v>0</v>
      </c>
      <c r="I39" t="s">
        <v>16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6.4</v>
      </c>
      <c r="AE39">
        <v>203</v>
      </c>
      <c r="AF39">
        <v>14.62293757056665</v>
      </c>
      <c r="AG39">
        <v>23.675891514433559</v>
      </c>
      <c r="AH39">
        <v>20.16</v>
      </c>
      <c r="AI39">
        <f>8.06498801192687*1</f>
        <v>8.0649880119268698</v>
      </c>
      <c r="AJ39">
        <f>1.44448302270407*1</f>
        <v>1.4444830227040699</v>
      </c>
      <c r="AK39">
        <v>1</v>
      </c>
      <c r="AL39">
        <v>0</v>
      </c>
      <c r="AM39">
        <v>0</v>
      </c>
    </row>
    <row r="40" spans="1:43" hidden="1" x14ac:dyDescent="0.2">
      <c r="A40" t="s">
        <v>123</v>
      </c>
      <c r="B40" t="s">
        <v>124</v>
      </c>
      <c r="C40" t="s">
        <v>125</v>
      </c>
      <c r="D40" t="s">
        <v>6</v>
      </c>
      <c r="E40">
        <v>0</v>
      </c>
      <c r="F40">
        <v>0</v>
      </c>
      <c r="G40">
        <v>0</v>
      </c>
      <c r="H40">
        <v>1</v>
      </c>
      <c r="I40" t="s">
        <v>16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7.9</v>
      </c>
      <c r="AE40">
        <v>206</v>
      </c>
      <c r="AF40">
        <v>22.15909090909091</v>
      </c>
      <c r="AG40">
        <v>16.72833128840055</v>
      </c>
      <c r="AH40">
        <v>32.086463055074127</v>
      </c>
      <c r="AI40">
        <f>10.5371315658409*1</f>
        <v>10.5371315658409</v>
      </c>
      <c r="AJ40">
        <f>1.9402483248363*1</f>
        <v>1.9402483248363001</v>
      </c>
      <c r="AK40">
        <v>1</v>
      </c>
      <c r="AL40">
        <v>0</v>
      </c>
      <c r="AM40">
        <v>0</v>
      </c>
    </row>
    <row r="41" spans="1:43" x14ac:dyDescent="0.2">
      <c r="A41" t="s">
        <v>264</v>
      </c>
      <c r="B41" t="s">
        <v>265</v>
      </c>
      <c r="C41" t="s">
        <v>265</v>
      </c>
      <c r="D41" t="s">
        <v>3</v>
      </c>
      <c r="E41">
        <v>1</v>
      </c>
      <c r="F41">
        <v>0</v>
      </c>
      <c r="G41">
        <v>0</v>
      </c>
      <c r="H41">
        <v>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5.0999999999999996</v>
      </c>
      <c r="AE41">
        <v>458</v>
      </c>
      <c r="AF41">
        <v>19.062500000000011</v>
      </c>
      <c r="AG41">
        <v>14.17164524338062</v>
      </c>
      <c r="AH41">
        <v>26.933821377031801</v>
      </c>
      <c r="AI41">
        <f>19.9006629259084*1</f>
        <v>19.900662925908399</v>
      </c>
      <c r="AJ41">
        <f>4.10354709077779*1</f>
        <v>4.1035470907777896</v>
      </c>
      <c r="AK41">
        <v>1</v>
      </c>
      <c r="AL41">
        <v>1</v>
      </c>
      <c r="AM41">
        <v>1</v>
      </c>
    </row>
    <row r="42" spans="1:43" hidden="1" x14ac:dyDescent="0.2">
      <c r="A42" t="s">
        <v>128</v>
      </c>
      <c r="B42" t="s">
        <v>129</v>
      </c>
      <c r="C42" t="s">
        <v>129</v>
      </c>
      <c r="D42" t="s">
        <v>3</v>
      </c>
      <c r="E42">
        <v>1</v>
      </c>
      <c r="F42">
        <v>0</v>
      </c>
      <c r="G42">
        <v>0</v>
      </c>
      <c r="H42">
        <v>0</v>
      </c>
      <c r="I42" t="s">
        <v>16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4.7</v>
      </c>
      <c r="AE42">
        <v>211</v>
      </c>
      <c r="AF42">
        <v>19.33154035697078</v>
      </c>
      <c r="AG42">
        <v>17.96305736768603</v>
      </c>
      <c r="AH42">
        <v>11.477503482925361</v>
      </c>
      <c r="AI42">
        <f>21.0986902592733*1</f>
        <v>21.098690259273301</v>
      </c>
      <c r="AJ42">
        <f>4.24181736302099*1</f>
        <v>4.2418173630209903</v>
      </c>
      <c r="AK42">
        <v>1</v>
      </c>
      <c r="AL42">
        <v>0</v>
      </c>
      <c r="AM42">
        <v>0</v>
      </c>
    </row>
    <row r="43" spans="1:43" hidden="1" x14ac:dyDescent="0.2">
      <c r="A43" t="s">
        <v>130</v>
      </c>
      <c r="B43" t="s">
        <v>131</v>
      </c>
      <c r="C43" t="s">
        <v>132</v>
      </c>
      <c r="D43" t="s">
        <v>5</v>
      </c>
      <c r="E43">
        <v>0</v>
      </c>
      <c r="F43">
        <v>0</v>
      </c>
      <c r="G43">
        <v>1</v>
      </c>
      <c r="H43">
        <v>0</v>
      </c>
      <c r="I43" t="s">
        <v>16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6.2</v>
      </c>
      <c r="AE43">
        <v>215</v>
      </c>
      <c r="AF43">
        <v>16.875429235767001</v>
      </c>
      <c r="AG43">
        <v>12.298191848995501</v>
      </c>
      <c r="AH43">
        <v>27.74523802854252</v>
      </c>
      <c r="AI43">
        <f>12.4110699907619*1</f>
        <v>12.4110699907619</v>
      </c>
      <c r="AJ43">
        <f>2.74465887018438*1</f>
        <v>2.7446588701843799</v>
      </c>
      <c r="AK43">
        <v>1</v>
      </c>
      <c r="AL43">
        <v>0</v>
      </c>
      <c r="AM43">
        <v>0</v>
      </c>
    </row>
    <row r="44" spans="1:43" hidden="1" x14ac:dyDescent="0.2">
      <c r="A44" t="s">
        <v>133</v>
      </c>
      <c r="B44" t="s">
        <v>134</v>
      </c>
      <c r="C44" t="s">
        <v>134</v>
      </c>
      <c r="D44" t="s">
        <v>5</v>
      </c>
      <c r="E44">
        <v>0</v>
      </c>
      <c r="F44">
        <v>0</v>
      </c>
      <c r="G44">
        <v>1</v>
      </c>
      <c r="H44">
        <v>0</v>
      </c>
      <c r="I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6.6</v>
      </c>
      <c r="AE44">
        <v>227</v>
      </c>
      <c r="AF44">
        <v>19.565217391304341</v>
      </c>
      <c r="AG44">
        <v>15.69410246449732</v>
      </c>
      <c r="AH44">
        <v>16.98395160991663</v>
      </c>
      <c r="AI44">
        <f>3.48419705884898*1</f>
        <v>3.4841970588489799</v>
      </c>
      <c r="AJ44">
        <f>0.663641554664834*1</f>
        <v>0.66364155466483399</v>
      </c>
      <c r="AK44">
        <v>1</v>
      </c>
      <c r="AL44">
        <v>0</v>
      </c>
      <c r="AM44">
        <v>0</v>
      </c>
    </row>
    <row r="45" spans="1:43" hidden="1" x14ac:dyDescent="0.2">
      <c r="A45" t="s">
        <v>135</v>
      </c>
      <c r="B45" t="s">
        <v>136</v>
      </c>
      <c r="C45" t="s">
        <v>136</v>
      </c>
      <c r="D45" t="s">
        <v>4</v>
      </c>
      <c r="E45">
        <v>0</v>
      </c>
      <c r="F45">
        <v>1</v>
      </c>
      <c r="G45">
        <v>0</v>
      </c>
      <c r="H45">
        <v>0</v>
      </c>
      <c r="I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4.5</v>
      </c>
      <c r="AE45">
        <v>228</v>
      </c>
      <c r="AF45">
        <v>14.666666666666661</v>
      </c>
      <c r="AG45">
        <v>16.29717765329206</v>
      </c>
      <c r="AH45">
        <v>18.72041364728862</v>
      </c>
      <c r="AI45">
        <f>17.3513188758107*1</f>
        <v>17.351318875810701</v>
      </c>
      <c r="AJ45">
        <f>3.37578543697364*1</f>
        <v>3.37578543697364</v>
      </c>
      <c r="AK45">
        <v>1</v>
      </c>
      <c r="AL45">
        <v>0</v>
      </c>
      <c r="AM45">
        <v>0</v>
      </c>
    </row>
    <row r="46" spans="1:43" hidden="1" x14ac:dyDescent="0.2">
      <c r="A46" t="s">
        <v>137</v>
      </c>
      <c r="B46" t="s">
        <v>138</v>
      </c>
      <c r="C46" t="s">
        <v>138</v>
      </c>
      <c r="D46" t="s">
        <v>3</v>
      </c>
      <c r="E46">
        <v>1</v>
      </c>
      <c r="F46">
        <v>0</v>
      </c>
      <c r="G46">
        <v>0</v>
      </c>
      <c r="H46">
        <v>0</v>
      </c>
      <c r="I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4.4000000000000004</v>
      </c>
      <c r="AE46">
        <v>229</v>
      </c>
      <c r="AF46">
        <v>19.193548387096769</v>
      </c>
      <c r="AG46">
        <v>21.680028262016759</v>
      </c>
      <c r="AH46">
        <v>14.754062023272761</v>
      </c>
      <c r="AI46">
        <f>16.7613136012692*1</f>
        <v>16.761313601269201</v>
      </c>
      <c r="AJ46">
        <f>3.19978981778622*1</f>
        <v>3.1997898177862201</v>
      </c>
      <c r="AK46">
        <v>1</v>
      </c>
      <c r="AL46">
        <v>0</v>
      </c>
      <c r="AM46">
        <v>0</v>
      </c>
    </row>
    <row r="47" spans="1:43" hidden="1" x14ac:dyDescent="0.2">
      <c r="A47" t="s">
        <v>139</v>
      </c>
      <c r="B47" t="s">
        <v>140</v>
      </c>
      <c r="C47" t="s">
        <v>140</v>
      </c>
      <c r="D47" t="s">
        <v>6</v>
      </c>
      <c r="E47">
        <v>0</v>
      </c>
      <c r="F47">
        <v>0</v>
      </c>
      <c r="G47">
        <v>0</v>
      </c>
      <c r="H47">
        <v>1</v>
      </c>
      <c r="I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7.3</v>
      </c>
      <c r="AE47">
        <v>234</v>
      </c>
      <c r="AF47">
        <v>21.2641184223789</v>
      </c>
      <c r="AG47">
        <v>10.991223723087259</v>
      </c>
      <c r="AH47">
        <v>10.410828806649871</v>
      </c>
      <c r="AI47">
        <f>6.98546463241208*1</f>
        <v>6.9854646324120804</v>
      </c>
      <c r="AJ47">
        <f>1.50169581025507*1</f>
        <v>1.5016958102550699</v>
      </c>
      <c r="AK47">
        <v>1</v>
      </c>
      <c r="AL47">
        <v>0</v>
      </c>
      <c r="AM47">
        <v>0</v>
      </c>
    </row>
    <row r="48" spans="1:43" hidden="1" x14ac:dyDescent="0.2">
      <c r="A48" t="s">
        <v>141</v>
      </c>
      <c r="B48" t="s">
        <v>142</v>
      </c>
      <c r="C48" t="s">
        <v>142</v>
      </c>
      <c r="D48" t="s">
        <v>4</v>
      </c>
      <c r="E48">
        <v>0</v>
      </c>
      <c r="F48">
        <v>1</v>
      </c>
      <c r="G48">
        <v>0</v>
      </c>
      <c r="H48">
        <v>0</v>
      </c>
      <c r="I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4.9000000000000004</v>
      </c>
      <c r="AE48">
        <v>237</v>
      </c>
      <c r="AF48">
        <v>13.80397066979371</v>
      </c>
      <c r="AG48">
        <v>14.13182557127603</v>
      </c>
      <c r="AH48">
        <v>14.612743578594589</v>
      </c>
      <c r="AI48">
        <f>10.7051829935238*1</f>
        <v>10.705182993523801</v>
      </c>
      <c r="AJ48">
        <f>2.19052235898427*1</f>
        <v>2.1905223589842699</v>
      </c>
      <c r="AK48">
        <v>1</v>
      </c>
      <c r="AL48">
        <v>0</v>
      </c>
      <c r="AM48">
        <v>0</v>
      </c>
    </row>
    <row r="49" spans="1:39" hidden="1" x14ac:dyDescent="0.2">
      <c r="A49" t="s">
        <v>143</v>
      </c>
      <c r="B49" t="s">
        <v>144</v>
      </c>
      <c r="C49" t="s">
        <v>144</v>
      </c>
      <c r="D49" t="s">
        <v>4</v>
      </c>
      <c r="E49">
        <v>0</v>
      </c>
      <c r="F49">
        <v>1</v>
      </c>
      <c r="G49">
        <v>0</v>
      </c>
      <c r="H49">
        <v>0</v>
      </c>
      <c r="I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4.8</v>
      </c>
      <c r="AE49">
        <v>238</v>
      </c>
      <c r="AF49">
        <v>15.38461538461538</v>
      </c>
      <c r="AG49">
        <v>17.784288647712781</v>
      </c>
      <c r="AH49">
        <v>16.842251082251082</v>
      </c>
      <c r="AI49">
        <f>5.89675024884802*1</f>
        <v>5.8967502488480203</v>
      </c>
      <c r="AJ49">
        <f>1.28540079860436*1</f>
        <v>1.2854007986043601</v>
      </c>
      <c r="AK49">
        <v>1</v>
      </c>
      <c r="AL49">
        <v>0</v>
      </c>
      <c r="AM49">
        <v>0</v>
      </c>
    </row>
    <row r="50" spans="1:39" hidden="1" x14ac:dyDescent="0.2">
      <c r="A50" t="s">
        <v>145</v>
      </c>
      <c r="B50" t="s">
        <v>146</v>
      </c>
      <c r="C50" t="s">
        <v>147</v>
      </c>
      <c r="D50" t="s">
        <v>5</v>
      </c>
      <c r="E50">
        <v>0</v>
      </c>
      <c r="F50">
        <v>0</v>
      </c>
      <c r="G50">
        <v>1</v>
      </c>
      <c r="H50">
        <v>0</v>
      </c>
      <c r="I50" t="s">
        <v>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5.0999999999999996</v>
      </c>
      <c r="AE50">
        <v>254</v>
      </c>
      <c r="AF50">
        <v>15.6149732620321</v>
      </c>
      <c r="AG50">
        <v>15.191153531050849</v>
      </c>
      <c r="AH50">
        <v>12.301264034718891</v>
      </c>
      <c r="AI50">
        <f>6.33579538307711*1</f>
        <v>6.3357953830771097</v>
      </c>
      <c r="AJ50">
        <f>1.23351951740768*1</f>
        <v>1.2335195174076801</v>
      </c>
      <c r="AK50">
        <v>1</v>
      </c>
      <c r="AL50">
        <v>0</v>
      </c>
      <c r="AM50">
        <v>0</v>
      </c>
    </row>
    <row r="51" spans="1:39" hidden="1" x14ac:dyDescent="0.2">
      <c r="A51" t="s">
        <v>148</v>
      </c>
      <c r="B51" t="s">
        <v>149</v>
      </c>
      <c r="C51" t="s">
        <v>149</v>
      </c>
      <c r="D51" t="s">
        <v>6</v>
      </c>
      <c r="E51">
        <v>0</v>
      </c>
      <c r="F51">
        <v>0</v>
      </c>
      <c r="G51">
        <v>0</v>
      </c>
      <c r="H51">
        <v>1</v>
      </c>
      <c r="I51" t="s">
        <v>18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5.7</v>
      </c>
      <c r="AE51">
        <v>257</v>
      </c>
      <c r="AF51">
        <v>16.86981479654585</v>
      </c>
      <c r="AG51">
        <v>16.514679481193461</v>
      </c>
      <c r="AH51">
        <v>10.034592959948011</v>
      </c>
      <c r="AI51">
        <f>15.451762206174*1</f>
        <v>15.451762206173999</v>
      </c>
      <c r="AJ51">
        <f>2.72145199237284*1</f>
        <v>2.72145199237284</v>
      </c>
      <c r="AK51">
        <v>1</v>
      </c>
      <c r="AL51">
        <v>0</v>
      </c>
      <c r="AM51">
        <v>0</v>
      </c>
    </row>
    <row r="52" spans="1:39" hidden="1" x14ac:dyDescent="0.2">
      <c r="A52" t="s">
        <v>150</v>
      </c>
      <c r="B52" t="s">
        <v>151</v>
      </c>
      <c r="C52" t="s">
        <v>151</v>
      </c>
      <c r="D52" t="s">
        <v>5</v>
      </c>
      <c r="E52">
        <v>0</v>
      </c>
      <c r="F52">
        <v>0</v>
      </c>
      <c r="G52">
        <v>1</v>
      </c>
      <c r="H52">
        <v>0</v>
      </c>
      <c r="I52" t="s">
        <v>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5.3</v>
      </c>
      <c r="AE52">
        <v>261</v>
      </c>
      <c r="AF52">
        <v>18.28571428571427</v>
      </c>
      <c r="AG52">
        <v>20.971256434100109</v>
      </c>
      <c r="AH52">
        <v>6.0820568955215446</v>
      </c>
      <c r="AI52">
        <f>9.26720172708898*1</f>
        <v>9.2672017270889793</v>
      </c>
      <c r="AJ52">
        <f>1.74029521377889*1</f>
        <v>1.7402952137788901</v>
      </c>
      <c r="AK52">
        <v>1</v>
      </c>
      <c r="AL52">
        <v>0</v>
      </c>
      <c r="AM52">
        <v>0</v>
      </c>
    </row>
    <row r="53" spans="1:39" hidden="1" x14ac:dyDescent="0.2">
      <c r="A53" t="s">
        <v>152</v>
      </c>
      <c r="B53" t="s">
        <v>97</v>
      </c>
      <c r="C53" t="s">
        <v>97</v>
      </c>
      <c r="D53" t="s">
        <v>4</v>
      </c>
      <c r="E53">
        <v>0</v>
      </c>
      <c r="F53">
        <v>1</v>
      </c>
      <c r="G53">
        <v>0</v>
      </c>
      <c r="H53">
        <v>0</v>
      </c>
      <c r="I53" t="s">
        <v>18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4.3</v>
      </c>
      <c r="AE53">
        <v>265</v>
      </c>
      <c r="AF53">
        <v>16.506410256410248</v>
      </c>
      <c r="AG53">
        <v>17.838370429172979</v>
      </c>
      <c r="AH53">
        <v>0</v>
      </c>
      <c r="AI53">
        <f>15.7808507913416*1</f>
        <v>15.780850791341599</v>
      </c>
      <c r="AJ53">
        <f>3.07247658955736*1</f>
        <v>3.0724765895573598</v>
      </c>
      <c r="AK53">
        <v>1</v>
      </c>
      <c r="AL53">
        <v>0</v>
      </c>
      <c r="AM53">
        <v>0</v>
      </c>
    </row>
    <row r="54" spans="1:39" hidden="1" x14ac:dyDescent="0.2">
      <c r="A54" t="s">
        <v>153</v>
      </c>
      <c r="B54" t="s">
        <v>154</v>
      </c>
      <c r="C54" t="s">
        <v>154</v>
      </c>
      <c r="D54" t="s">
        <v>5</v>
      </c>
      <c r="E54">
        <v>0</v>
      </c>
      <c r="F54">
        <v>0</v>
      </c>
      <c r="G54">
        <v>1</v>
      </c>
      <c r="H54">
        <v>0</v>
      </c>
      <c r="I54" t="s">
        <v>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5.7</v>
      </c>
      <c r="AE54">
        <v>267</v>
      </c>
      <c r="AF54">
        <v>15.523809696179089</v>
      </c>
      <c r="AG54">
        <v>15.906767428721871</v>
      </c>
      <c r="AH54">
        <v>12.898397271385051</v>
      </c>
      <c r="AI54">
        <f>19.1477190577539*1</f>
        <v>19.1477190577539</v>
      </c>
      <c r="AJ54">
        <f>3.38168071579879*1</f>
        <v>3.3816807157987898</v>
      </c>
      <c r="AK54">
        <v>1</v>
      </c>
      <c r="AL54">
        <v>0</v>
      </c>
      <c r="AM54">
        <v>0</v>
      </c>
    </row>
    <row r="55" spans="1:39" hidden="1" x14ac:dyDescent="0.2">
      <c r="A55" t="s">
        <v>155</v>
      </c>
      <c r="B55" t="s">
        <v>156</v>
      </c>
      <c r="C55" t="s">
        <v>156</v>
      </c>
      <c r="D55" t="s">
        <v>4</v>
      </c>
      <c r="E55">
        <v>0</v>
      </c>
      <c r="F55">
        <v>1</v>
      </c>
      <c r="G55">
        <v>0</v>
      </c>
      <c r="H55">
        <v>0</v>
      </c>
      <c r="I55" t="s">
        <v>18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4.3</v>
      </c>
      <c r="AE55">
        <v>268</v>
      </c>
      <c r="AF55">
        <v>14.916775632037769</v>
      </c>
      <c r="AG55">
        <v>16.110832317126039</v>
      </c>
      <c r="AH55">
        <v>19.951120049587349</v>
      </c>
      <c r="AI55">
        <f>10.9082302223511*1</f>
        <v>10.908230222351101</v>
      </c>
      <c r="AJ55">
        <f>1.9367760418546*1</f>
        <v>1.9367760418546001</v>
      </c>
      <c r="AK55">
        <v>1</v>
      </c>
      <c r="AL55">
        <v>0</v>
      </c>
      <c r="AM55">
        <v>0</v>
      </c>
    </row>
    <row r="56" spans="1:39" hidden="1" x14ac:dyDescent="0.2">
      <c r="A56" t="s">
        <v>157</v>
      </c>
      <c r="B56" t="s">
        <v>158</v>
      </c>
      <c r="C56" t="s">
        <v>158</v>
      </c>
      <c r="D56" t="s">
        <v>3</v>
      </c>
      <c r="E56">
        <v>1</v>
      </c>
      <c r="F56">
        <v>0</v>
      </c>
      <c r="G56">
        <v>0</v>
      </c>
      <c r="H56">
        <v>0</v>
      </c>
      <c r="I56" t="s">
        <v>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4.9000000000000004</v>
      </c>
      <c r="AE56">
        <v>271</v>
      </c>
      <c r="AF56">
        <v>18.13636363636363</v>
      </c>
      <c r="AG56">
        <v>17.989037340772981</v>
      </c>
      <c r="AH56">
        <v>33.426024897748349</v>
      </c>
      <c r="AI56">
        <f>25.4857851895378*1</f>
        <v>25.4857851895378</v>
      </c>
      <c r="AJ56">
        <f>4.73080109532378*1</f>
        <v>4.7308010953237796</v>
      </c>
      <c r="AK56">
        <v>1</v>
      </c>
      <c r="AL56">
        <v>0</v>
      </c>
      <c r="AM56">
        <v>0</v>
      </c>
    </row>
    <row r="57" spans="1:39" hidden="1" x14ac:dyDescent="0.2">
      <c r="A57" t="s">
        <v>159</v>
      </c>
      <c r="B57" t="s">
        <v>160</v>
      </c>
      <c r="C57" t="s">
        <v>160</v>
      </c>
      <c r="D57" t="s">
        <v>4</v>
      </c>
      <c r="E57">
        <v>0</v>
      </c>
      <c r="F57">
        <v>1</v>
      </c>
      <c r="G57">
        <v>0</v>
      </c>
      <c r="H57">
        <v>0</v>
      </c>
      <c r="I57" t="s">
        <v>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4.8</v>
      </c>
      <c r="AE57">
        <v>272</v>
      </c>
      <c r="AF57">
        <v>14.252394481589249</v>
      </c>
      <c r="AG57">
        <v>13.512229925382179</v>
      </c>
      <c r="AH57">
        <v>19.378653993897601</v>
      </c>
      <c r="AI57">
        <f>15.7534067903082*1</f>
        <v>15.753406790308199</v>
      </c>
      <c r="AJ57">
        <f>3.52816343646059*1</f>
        <v>3.5281634364605901</v>
      </c>
      <c r="AK57">
        <v>1</v>
      </c>
      <c r="AL57">
        <v>0</v>
      </c>
      <c r="AM57">
        <v>0</v>
      </c>
    </row>
    <row r="58" spans="1:39" hidden="1" x14ac:dyDescent="0.2">
      <c r="A58" t="s">
        <v>161</v>
      </c>
      <c r="B58" t="s">
        <v>162</v>
      </c>
      <c r="C58" t="s">
        <v>162</v>
      </c>
      <c r="D58" t="s">
        <v>4</v>
      </c>
      <c r="E58">
        <v>0</v>
      </c>
      <c r="F58">
        <v>1</v>
      </c>
      <c r="G58">
        <v>0</v>
      </c>
      <c r="H58">
        <v>0</v>
      </c>
      <c r="I58" t="s">
        <v>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4.5</v>
      </c>
      <c r="AE58">
        <v>274</v>
      </c>
      <c r="AF58">
        <v>12.461538461538449</v>
      </c>
      <c r="AG58">
        <v>11.684948833203711</v>
      </c>
      <c r="AH58">
        <v>21.06017884305404</v>
      </c>
      <c r="AI58">
        <f>13.9465839723941*1</f>
        <v>13.9465839723941</v>
      </c>
      <c r="AJ58">
        <f>2.43998907788418*1</f>
        <v>2.4399890778841802</v>
      </c>
      <c r="AK58">
        <v>1</v>
      </c>
      <c r="AL58">
        <v>0</v>
      </c>
      <c r="AM58">
        <v>0</v>
      </c>
    </row>
    <row r="59" spans="1:39" hidden="1" x14ac:dyDescent="0.2">
      <c r="A59" t="s">
        <v>163</v>
      </c>
      <c r="B59" t="s">
        <v>164</v>
      </c>
      <c r="C59" t="s">
        <v>164</v>
      </c>
      <c r="D59" t="s">
        <v>5</v>
      </c>
      <c r="E59">
        <v>0</v>
      </c>
      <c r="F59">
        <v>0</v>
      </c>
      <c r="G59">
        <v>1</v>
      </c>
      <c r="H59">
        <v>0</v>
      </c>
      <c r="I59" t="s">
        <v>19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</v>
      </c>
      <c r="AE59">
        <v>283</v>
      </c>
      <c r="AF59">
        <v>9.6825684527328946</v>
      </c>
      <c r="AG59">
        <v>8.8720581741063249</v>
      </c>
      <c r="AH59">
        <v>8.4205345969819625</v>
      </c>
      <c r="AI59">
        <f>7.99807401642716*1</f>
        <v>7.99807401642716</v>
      </c>
      <c r="AJ59">
        <f>1.14896400895363*1</f>
        <v>1.1489640089536299</v>
      </c>
      <c r="AK59">
        <v>1</v>
      </c>
      <c r="AL59">
        <v>0</v>
      </c>
      <c r="AM59">
        <v>0</v>
      </c>
    </row>
    <row r="60" spans="1:39" hidden="1" x14ac:dyDescent="0.2">
      <c r="A60" t="s">
        <v>165</v>
      </c>
      <c r="B60" t="s">
        <v>166</v>
      </c>
      <c r="C60" t="s">
        <v>166</v>
      </c>
      <c r="D60" t="s">
        <v>5</v>
      </c>
      <c r="E60">
        <v>0</v>
      </c>
      <c r="F60">
        <v>0</v>
      </c>
      <c r="G60">
        <v>1</v>
      </c>
      <c r="H60">
        <v>0</v>
      </c>
      <c r="I60" t="s">
        <v>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5.7</v>
      </c>
      <c r="AE60">
        <v>284</v>
      </c>
      <c r="AF60">
        <v>22.94731273014521</v>
      </c>
      <c r="AG60">
        <v>12.438917495690401</v>
      </c>
      <c r="AH60">
        <v>19.200532794472181</v>
      </c>
      <c r="AI60">
        <f>18.5595104500233*1</f>
        <v>18.5595104500233</v>
      </c>
      <c r="AJ60">
        <f>3.52936600080256*1</f>
        <v>3.5293660008025598</v>
      </c>
      <c r="AK60">
        <v>1</v>
      </c>
      <c r="AL60">
        <v>0</v>
      </c>
      <c r="AM60">
        <v>0</v>
      </c>
    </row>
    <row r="61" spans="1:39" hidden="1" x14ac:dyDescent="0.2">
      <c r="A61" t="s">
        <v>167</v>
      </c>
      <c r="B61" t="s">
        <v>168</v>
      </c>
      <c r="C61" t="s">
        <v>168</v>
      </c>
      <c r="D61" t="s">
        <v>4</v>
      </c>
      <c r="E61">
        <v>0</v>
      </c>
      <c r="F61">
        <v>1</v>
      </c>
      <c r="G61">
        <v>0</v>
      </c>
      <c r="H61">
        <v>0</v>
      </c>
      <c r="I61" t="s">
        <v>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4.3</v>
      </c>
      <c r="AE61">
        <v>285</v>
      </c>
      <c r="AF61">
        <v>15.25735294117646</v>
      </c>
      <c r="AG61">
        <v>16.11667902719168</v>
      </c>
      <c r="AH61">
        <v>8.61784334696776</v>
      </c>
      <c r="AI61">
        <f>9.91723811408057*1</f>
        <v>9.9172381140805701</v>
      </c>
      <c r="AJ61">
        <f>1.5470226974028*1</f>
        <v>1.5470226974028001</v>
      </c>
      <c r="AK61">
        <v>1</v>
      </c>
      <c r="AL61">
        <v>0</v>
      </c>
      <c r="AM61">
        <v>0</v>
      </c>
    </row>
    <row r="62" spans="1:39" hidden="1" x14ac:dyDescent="0.2">
      <c r="A62" t="s">
        <v>169</v>
      </c>
      <c r="B62" t="s">
        <v>170</v>
      </c>
      <c r="C62" t="s">
        <v>169</v>
      </c>
      <c r="D62" t="s">
        <v>5</v>
      </c>
      <c r="E62">
        <v>0</v>
      </c>
      <c r="F62">
        <v>0</v>
      </c>
      <c r="G62">
        <v>1</v>
      </c>
      <c r="H62">
        <v>0</v>
      </c>
      <c r="I62" t="s">
        <v>19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</v>
      </c>
      <c r="AE62">
        <v>286</v>
      </c>
      <c r="AF62">
        <v>12.61040900826087</v>
      </c>
      <c r="AG62">
        <v>12.797544771492801</v>
      </c>
      <c r="AH62">
        <v>14.32999531673244</v>
      </c>
      <c r="AI62">
        <f>10.0970591628408*1</f>
        <v>10.0970591628408</v>
      </c>
      <c r="AJ62">
        <f>1.95667415789548*1</f>
        <v>1.95667415789548</v>
      </c>
      <c r="AK62">
        <v>1</v>
      </c>
      <c r="AL62">
        <v>0</v>
      </c>
      <c r="AM62">
        <v>0</v>
      </c>
    </row>
    <row r="63" spans="1:39" hidden="1" x14ac:dyDescent="0.2">
      <c r="A63" t="s">
        <v>171</v>
      </c>
      <c r="B63" t="s">
        <v>172</v>
      </c>
      <c r="C63" t="s">
        <v>171</v>
      </c>
      <c r="D63" t="s">
        <v>5</v>
      </c>
      <c r="E63">
        <v>0</v>
      </c>
      <c r="F63">
        <v>0</v>
      </c>
      <c r="G63">
        <v>1</v>
      </c>
      <c r="H63">
        <v>0</v>
      </c>
      <c r="I63" t="s">
        <v>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5.2</v>
      </c>
      <c r="AE63">
        <v>287</v>
      </c>
      <c r="AF63">
        <v>17.5</v>
      </c>
      <c r="AG63">
        <v>17.89378960716855</v>
      </c>
      <c r="AH63">
        <v>13.89178293853716</v>
      </c>
      <c r="AI63">
        <f>14.3845578497176*1</f>
        <v>14.3845578497176</v>
      </c>
      <c r="AJ63">
        <f>2.84525108421075*1</f>
        <v>2.8452510842107501</v>
      </c>
      <c r="AK63">
        <v>1</v>
      </c>
      <c r="AL63">
        <v>0</v>
      </c>
      <c r="AM63">
        <v>0</v>
      </c>
    </row>
    <row r="64" spans="1:39" hidden="1" x14ac:dyDescent="0.2">
      <c r="A64" t="s">
        <v>173</v>
      </c>
      <c r="B64" t="s">
        <v>174</v>
      </c>
      <c r="C64" t="s">
        <v>174</v>
      </c>
      <c r="D64" t="s">
        <v>4</v>
      </c>
      <c r="E64">
        <v>0</v>
      </c>
      <c r="F64">
        <v>1</v>
      </c>
      <c r="G64">
        <v>0</v>
      </c>
      <c r="H64">
        <v>0</v>
      </c>
      <c r="I64" t="s">
        <v>19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4.5</v>
      </c>
      <c r="AE64">
        <v>288</v>
      </c>
      <c r="AF64">
        <v>11.29291685994907</v>
      </c>
      <c r="AG64">
        <v>10.47221389828041</v>
      </c>
      <c r="AH64">
        <v>20.04</v>
      </c>
      <c r="AI64">
        <f>12.6941462540826*1</f>
        <v>12.6941462540826</v>
      </c>
      <c r="AJ64">
        <f>2.45674807229193*1</f>
        <v>2.4567480722919299</v>
      </c>
      <c r="AK64">
        <v>1</v>
      </c>
      <c r="AL64">
        <v>0</v>
      </c>
      <c r="AM64">
        <v>0</v>
      </c>
    </row>
    <row r="65" spans="1:39" hidden="1" x14ac:dyDescent="0.2">
      <c r="A65" t="s">
        <v>175</v>
      </c>
      <c r="B65" t="s">
        <v>176</v>
      </c>
      <c r="C65" t="s">
        <v>176</v>
      </c>
      <c r="D65" t="s">
        <v>5</v>
      </c>
      <c r="E65">
        <v>0</v>
      </c>
      <c r="F65">
        <v>0</v>
      </c>
      <c r="G65">
        <v>1</v>
      </c>
      <c r="H65">
        <v>0</v>
      </c>
      <c r="I65" t="s">
        <v>19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5.6</v>
      </c>
      <c r="AE65">
        <v>294</v>
      </c>
      <c r="AF65">
        <v>17.420096395931441</v>
      </c>
      <c r="AG65">
        <v>13.43523203163751</v>
      </c>
      <c r="AH65">
        <v>21.368273468622029</v>
      </c>
      <c r="AI65">
        <f>13.9772817354342*1</f>
        <v>13.9772817354342</v>
      </c>
      <c r="AJ65">
        <f>2.85964853930847*1</f>
        <v>2.8596485393084699</v>
      </c>
      <c r="AK65">
        <v>1</v>
      </c>
      <c r="AL65">
        <v>0</v>
      </c>
      <c r="AM65">
        <v>0</v>
      </c>
    </row>
    <row r="66" spans="1:39" hidden="1" x14ac:dyDescent="0.2">
      <c r="A66" t="s">
        <v>177</v>
      </c>
      <c r="B66" t="s">
        <v>178</v>
      </c>
      <c r="C66" t="s">
        <v>178</v>
      </c>
      <c r="D66" t="s">
        <v>3</v>
      </c>
      <c r="E66">
        <v>1</v>
      </c>
      <c r="F66">
        <v>0</v>
      </c>
      <c r="G66">
        <v>0</v>
      </c>
      <c r="H66">
        <v>0</v>
      </c>
      <c r="I66" t="s">
        <v>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</v>
      </c>
      <c r="AE66">
        <v>295</v>
      </c>
      <c r="AF66">
        <v>17.347000112555069</v>
      </c>
      <c r="AG66">
        <v>17.628187377624439</v>
      </c>
      <c r="AH66">
        <v>26.528543620690371</v>
      </c>
      <c r="AI66">
        <f>16.4938703464124*1</f>
        <v>16.4938703464124</v>
      </c>
      <c r="AJ66">
        <f>3.20439292936975*1</f>
        <v>3.20439292936975</v>
      </c>
      <c r="AK66">
        <v>1</v>
      </c>
      <c r="AL66">
        <v>0</v>
      </c>
      <c r="AM66">
        <v>0</v>
      </c>
    </row>
    <row r="67" spans="1:39" hidden="1" x14ac:dyDescent="0.2">
      <c r="A67" t="s">
        <v>179</v>
      </c>
      <c r="B67" t="s">
        <v>180</v>
      </c>
      <c r="C67" t="s">
        <v>179</v>
      </c>
      <c r="D67" t="s">
        <v>6</v>
      </c>
      <c r="E67">
        <v>0</v>
      </c>
      <c r="F67">
        <v>0</v>
      </c>
      <c r="G67">
        <v>0</v>
      </c>
      <c r="H67">
        <v>1</v>
      </c>
      <c r="I67" t="s">
        <v>19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5.8</v>
      </c>
      <c r="AE67">
        <v>299</v>
      </c>
      <c r="AF67">
        <v>20.421151329998128</v>
      </c>
      <c r="AG67">
        <v>22.426868780705991</v>
      </c>
      <c r="AH67">
        <v>16.019142457059921</v>
      </c>
      <c r="AI67">
        <f>31.7007608349691*1</f>
        <v>31.700760834969099</v>
      </c>
      <c r="AJ67">
        <f>5.28314550077816*1</f>
        <v>5.2831455007781596</v>
      </c>
      <c r="AK67">
        <v>1</v>
      </c>
      <c r="AL67">
        <v>0</v>
      </c>
      <c r="AM67">
        <v>0</v>
      </c>
    </row>
    <row r="68" spans="1:39" hidden="1" x14ac:dyDescent="0.2">
      <c r="A68" t="s">
        <v>181</v>
      </c>
      <c r="B68" t="s">
        <v>182</v>
      </c>
      <c r="C68" t="s">
        <v>182</v>
      </c>
      <c r="D68" t="s">
        <v>4</v>
      </c>
      <c r="E68">
        <v>0</v>
      </c>
      <c r="F68">
        <v>1</v>
      </c>
      <c r="G68">
        <v>0</v>
      </c>
      <c r="H68">
        <v>0</v>
      </c>
      <c r="I68" t="s">
        <v>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4.7</v>
      </c>
      <c r="AE68">
        <v>302</v>
      </c>
      <c r="AF68">
        <v>13.24074074074074</v>
      </c>
      <c r="AG68">
        <v>11.109254627134939</v>
      </c>
      <c r="AH68">
        <v>33.552576019611621</v>
      </c>
      <c r="AI68">
        <f>7.86623461569238*1</f>
        <v>7.8662346156923801</v>
      </c>
      <c r="AJ68">
        <f>1.31369197898978*1</f>
        <v>1.3136919789897801</v>
      </c>
      <c r="AK68">
        <v>1</v>
      </c>
      <c r="AL68">
        <v>0</v>
      </c>
      <c r="AM68">
        <v>0</v>
      </c>
    </row>
    <row r="69" spans="1:39" hidden="1" x14ac:dyDescent="0.2">
      <c r="A69" t="s">
        <v>183</v>
      </c>
      <c r="B69" t="s">
        <v>184</v>
      </c>
      <c r="C69" t="s">
        <v>184</v>
      </c>
      <c r="D69" t="s">
        <v>4</v>
      </c>
      <c r="E69">
        <v>0</v>
      </c>
      <c r="F69">
        <v>1</v>
      </c>
      <c r="G69">
        <v>0</v>
      </c>
      <c r="H69">
        <v>0</v>
      </c>
      <c r="I69" t="s">
        <v>19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4.5</v>
      </c>
      <c r="AE69">
        <v>304</v>
      </c>
      <c r="AF69">
        <v>11.862467215430801</v>
      </c>
      <c r="AG69">
        <v>15.744957011322439</v>
      </c>
      <c r="AH69">
        <v>12.45590866478015</v>
      </c>
      <c r="AI69">
        <f>11.552712000129*1</f>
        <v>11.552712000129</v>
      </c>
      <c r="AJ69">
        <f>2.31423971378782*1</f>
        <v>2.3142397137878201</v>
      </c>
      <c r="AK69">
        <v>1</v>
      </c>
      <c r="AL69">
        <v>0</v>
      </c>
      <c r="AM69">
        <v>0</v>
      </c>
    </row>
    <row r="70" spans="1:39" hidden="1" x14ac:dyDescent="0.2">
      <c r="A70" t="s">
        <v>185</v>
      </c>
      <c r="B70" t="s">
        <v>186</v>
      </c>
      <c r="C70" t="s">
        <v>186</v>
      </c>
      <c r="D70" t="s">
        <v>4</v>
      </c>
      <c r="E70">
        <v>0</v>
      </c>
      <c r="F70">
        <v>1</v>
      </c>
      <c r="G70">
        <v>0</v>
      </c>
      <c r="H70">
        <v>0</v>
      </c>
      <c r="I70" t="s">
        <v>20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4.5</v>
      </c>
      <c r="AE70">
        <v>319</v>
      </c>
      <c r="AF70">
        <v>0</v>
      </c>
      <c r="AG70">
        <v>0</v>
      </c>
      <c r="AH70">
        <v>0</v>
      </c>
      <c r="AI70">
        <f>0*1</f>
        <v>0</v>
      </c>
      <c r="AJ70">
        <f>0*1</f>
        <v>0</v>
      </c>
      <c r="AK70">
        <v>1</v>
      </c>
      <c r="AL70">
        <v>0</v>
      </c>
      <c r="AM70">
        <v>0</v>
      </c>
    </row>
    <row r="71" spans="1:39" hidden="1" x14ac:dyDescent="0.2">
      <c r="A71" t="s">
        <v>187</v>
      </c>
      <c r="B71" t="s">
        <v>188</v>
      </c>
      <c r="C71" t="s">
        <v>188</v>
      </c>
      <c r="D71" t="s">
        <v>6</v>
      </c>
      <c r="E71">
        <v>0</v>
      </c>
      <c r="F71">
        <v>0</v>
      </c>
      <c r="G71">
        <v>0</v>
      </c>
      <c r="H71">
        <v>1</v>
      </c>
      <c r="I71" t="s">
        <v>20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5.6</v>
      </c>
      <c r="AE71">
        <v>320</v>
      </c>
      <c r="AF71">
        <v>0</v>
      </c>
      <c r="AG71">
        <v>0</v>
      </c>
      <c r="AH71">
        <v>0</v>
      </c>
      <c r="AI71">
        <f>0*1</f>
        <v>0</v>
      </c>
      <c r="AJ71">
        <f>0*1</f>
        <v>0</v>
      </c>
      <c r="AK71">
        <v>1</v>
      </c>
      <c r="AL71">
        <v>0</v>
      </c>
      <c r="AM71">
        <v>0</v>
      </c>
    </row>
    <row r="72" spans="1:39" hidden="1" x14ac:dyDescent="0.2">
      <c r="A72" t="s">
        <v>189</v>
      </c>
      <c r="B72" t="s">
        <v>190</v>
      </c>
      <c r="C72" t="s">
        <v>190</v>
      </c>
      <c r="D72" t="s">
        <v>3</v>
      </c>
      <c r="E72">
        <v>1</v>
      </c>
      <c r="F72">
        <v>0</v>
      </c>
      <c r="G72">
        <v>0</v>
      </c>
      <c r="H72">
        <v>0</v>
      </c>
      <c r="I72" t="s">
        <v>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4.4000000000000004</v>
      </c>
      <c r="AE72">
        <v>338</v>
      </c>
      <c r="AF72">
        <v>0</v>
      </c>
      <c r="AG72">
        <v>0</v>
      </c>
      <c r="AH72">
        <v>0</v>
      </c>
      <c r="AI72">
        <f>0*1</f>
        <v>0</v>
      </c>
      <c r="AJ72">
        <f>0*1</f>
        <v>0</v>
      </c>
      <c r="AK72">
        <v>1</v>
      </c>
      <c r="AL72">
        <v>0</v>
      </c>
      <c r="AM72">
        <v>0</v>
      </c>
    </row>
    <row r="73" spans="1:39" hidden="1" x14ac:dyDescent="0.2">
      <c r="A73" t="s">
        <v>191</v>
      </c>
      <c r="B73" t="s">
        <v>192</v>
      </c>
      <c r="C73" t="s">
        <v>192</v>
      </c>
      <c r="D73" t="s">
        <v>5</v>
      </c>
      <c r="E73">
        <v>0</v>
      </c>
      <c r="F73">
        <v>0</v>
      </c>
      <c r="G73">
        <v>1</v>
      </c>
      <c r="H73">
        <v>0</v>
      </c>
      <c r="I73" t="s">
        <v>21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</v>
      </c>
      <c r="AE73">
        <v>345</v>
      </c>
      <c r="AF73">
        <v>12.717391304347821</v>
      </c>
      <c r="AG73">
        <v>9.8527120225321969</v>
      </c>
      <c r="AH73">
        <v>12.53333333333333</v>
      </c>
      <c r="AI73">
        <f>14.6522755099214*1</f>
        <v>14.652275509921401</v>
      </c>
      <c r="AJ73">
        <f>3.06158200086868*1</f>
        <v>3.0615820008686798</v>
      </c>
      <c r="AK73">
        <v>1</v>
      </c>
      <c r="AL73">
        <v>0</v>
      </c>
      <c r="AM73">
        <v>0</v>
      </c>
    </row>
    <row r="74" spans="1:39" hidden="1" x14ac:dyDescent="0.2">
      <c r="A74" t="s">
        <v>157</v>
      </c>
      <c r="B74" t="s">
        <v>193</v>
      </c>
      <c r="C74" t="s">
        <v>194</v>
      </c>
      <c r="D74" t="s">
        <v>5</v>
      </c>
      <c r="E74">
        <v>0</v>
      </c>
      <c r="F74">
        <v>0</v>
      </c>
      <c r="G74">
        <v>1</v>
      </c>
      <c r="H74">
        <v>0</v>
      </c>
      <c r="I74" t="s">
        <v>21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5.2</v>
      </c>
      <c r="AE74">
        <v>346</v>
      </c>
      <c r="AF74">
        <v>13.86934673366834</v>
      </c>
      <c r="AG74">
        <v>13.76151295724258</v>
      </c>
      <c r="AH74">
        <v>14.764926173000569</v>
      </c>
      <c r="AI74">
        <f>10.5957584446601*1</f>
        <v>10.595758444660101</v>
      </c>
      <c r="AJ74">
        <f>1.99784512738099*1</f>
        <v>1.9978451273809901</v>
      </c>
      <c r="AK74">
        <v>1</v>
      </c>
      <c r="AL74">
        <v>0</v>
      </c>
      <c r="AM74">
        <v>0</v>
      </c>
    </row>
    <row r="75" spans="1:39" hidden="1" x14ac:dyDescent="0.2">
      <c r="A75" t="s">
        <v>195</v>
      </c>
      <c r="B75" t="s">
        <v>196</v>
      </c>
      <c r="C75" t="s">
        <v>196</v>
      </c>
      <c r="D75" t="s">
        <v>4</v>
      </c>
      <c r="E75">
        <v>0</v>
      </c>
      <c r="F75">
        <v>1</v>
      </c>
      <c r="G75">
        <v>0</v>
      </c>
      <c r="H75">
        <v>0</v>
      </c>
      <c r="I75" t="s">
        <v>21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4.2</v>
      </c>
      <c r="AE75">
        <v>354</v>
      </c>
      <c r="AF75">
        <v>12.195121951219511</v>
      </c>
      <c r="AG75">
        <v>10.25787973638489</v>
      </c>
      <c r="AH75">
        <v>13.54606926406926</v>
      </c>
      <c r="AI75">
        <f>2.92163016628106*1</f>
        <v>2.92163016628106</v>
      </c>
      <c r="AJ75">
        <f>0.58616180405337*1</f>
        <v>0.58616180405337004</v>
      </c>
      <c r="AK75">
        <v>1</v>
      </c>
      <c r="AL75">
        <v>0</v>
      </c>
      <c r="AM75">
        <v>0</v>
      </c>
    </row>
    <row r="76" spans="1:39" hidden="1" x14ac:dyDescent="0.2">
      <c r="A76" t="s">
        <v>159</v>
      </c>
      <c r="B76" t="s">
        <v>76</v>
      </c>
      <c r="C76" t="s">
        <v>76</v>
      </c>
      <c r="D76" t="s">
        <v>4</v>
      </c>
      <c r="E76">
        <v>0</v>
      </c>
      <c r="F76">
        <v>1</v>
      </c>
      <c r="G76">
        <v>0</v>
      </c>
      <c r="H76">
        <v>0</v>
      </c>
      <c r="I76" t="s">
        <v>21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4.5999999999999996</v>
      </c>
      <c r="AE76">
        <v>358</v>
      </c>
      <c r="AF76">
        <v>16.862943373584908</v>
      </c>
      <c r="AG76">
        <v>15.17122345524241</v>
      </c>
      <c r="AH76">
        <v>12.27051331853249</v>
      </c>
      <c r="AI76">
        <f>12.326842851842*1</f>
        <v>12.326842851842001</v>
      </c>
      <c r="AJ76">
        <f>2.71741108211622*1</f>
        <v>2.7174110821162198</v>
      </c>
      <c r="AK76">
        <v>1</v>
      </c>
      <c r="AL76">
        <v>0</v>
      </c>
      <c r="AM76">
        <v>0</v>
      </c>
    </row>
    <row r="77" spans="1:39" hidden="1" x14ac:dyDescent="0.2">
      <c r="A77" t="s">
        <v>197</v>
      </c>
      <c r="B77" t="s">
        <v>198</v>
      </c>
      <c r="C77" t="s">
        <v>198</v>
      </c>
      <c r="D77" t="s">
        <v>5</v>
      </c>
      <c r="E77">
        <v>0</v>
      </c>
      <c r="F77">
        <v>0</v>
      </c>
      <c r="G77">
        <v>1</v>
      </c>
      <c r="H77">
        <v>0</v>
      </c>
      <c r="I77" t="s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363</v>
      </c>
      <c r="AF77">
        <v>11.50029716920446</v>
      </c>
      <c r="AG77">
        <v>13.06585122556462</v>
      </c>
      <c r="AH77">
        <v>10.06982394633043</v>
      </c>
      <c r="AI77">
        <f>12.0581091371331*1</f>
        <v>12.0581091371331</v>
      </c>
      <c r="AJ77">
        <f>2.29611291548453*1</f>
        <v>2.2961129154845299</v>
      </c>
      <c r="AK77">
        <v>1</v>
      </c>
      <c r="AL77">
        <v>0</v>
      </c>
      <c r="AM77">
        <v>0</v>
      </c>
    </row>
    <row r="78" spans="1:39" hidden="1" x14ac:dyDescent="0.2">
      <c r="A78" t="s">
        <v>199</v>
      </c>
      <c r="B78" t="s">
        <v>200</v>
      </c>
      <c r="C78" t="s">
        <v>200</v>
      </c>
      <c r="D78" t="s">
        <v>6</v>
      </c>
      <c r="E78">
        <v>0</v>
      </c>
      <c r="F78">
        <v>0</v>
      </c>
      <c r="G78">
        <v>0</v>
      </c>
      <c r="H78">
        <v>1</v>
      </c>
      <c r="I78" t="s">
        <v>21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5.7</v>
      </c>
      <c r="AE78">
        <v>369</v>
      </c>
      <c r="AF78">
        <v>16.766948018001699</v>
      </c>
      <c r="AG78">
        <v>26.443081828063399</v>
      </c>
      <c r="AH78">
        <v>28.58975087763066</v>
      </c>
      <c r="AI78">
        <f>16.0833179543925*1</f>
        <v>16.083317954392498</v>
      </c>
      <c r="AJ78">
        <f>3.57162872340848*1</f>
        <v>3.5716287234084798</v>
      </c>
      <c r="AK78">
        <v>1</v>
      </c>
      <c r="AL78">
        <v>0</v>
      </c>
      <c r="AM78">
        <v>0</v>
      </c>
    </row>
    <row r="79" spans="1:39" hidden="1" x14ac:dyDescent="0.2">
      <c r="A79" t="s">
        <v>201</v>
      </c>
      <c r="B79" t="s">
        <v>202</v>
      </c>
      <c r="C79" t="s">
        <v>202</v>
      </c>
      <c r="D79" t="s">
        <v>5</v>
      </c>
      <c r="E79">
        <v>0</v>
      </c>
      <c r="F79">
        <v>0</v>
      </c>
      <c r="G79">
        <v>1</v>
      </c>
      <c r="H79">
        <v>0</v>
      </c>
      <c r="I79" t="s">
        <v>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4.5</v>
      </c>
      <c r="AE79">
        <v>372</v>
      </c>
      <c r="AF79">
        <v>8.9537800248263135</v>
      </c>
      <c r="AG79">
        <v>8.5153449173835742</v>
      </c>
      <c r="AH79">
        <v>12.375</v>
      </c>
      <c r="AI79">
        <f>10.9331158172803*1</f>
        <v>10.933115817280299</v>
      </c>
      <c r="AJ79">
        <f>2.24014518492951*1</f>
        <v>2.24014518492951</v>
      </c>
      <c r="AK79">
        <v>1</v>
      </c>
      <c r="AL79">
        <v>0</v>
      </c>
      <c r="AM79">
        <v>0</v>
      </c>
    </row>
    <row r="80" spans="1:39" x14ac:dyDescent="0.2">
      <c r="A80" t="s">
        <v>126</v>
      </c>
      <c r="B80" t="s">
        <v>127</v>
      </c>
      <c r="C80" t="s">
        <v>127</v>
      </c>
      <c r="D80" t="s">
        <v>5</v>
      </c>
      <c r="E80">
        <v>0</v>
      </c>
      <c r="F80">
        <v>0</v>
      </c>
      <c r="G80">
        <v>1</v>
      </c>
      <c r="H80">
        <v>0</v>
      </c>
      <c r="I80" t="s">
        <v>16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10.9</v>
      </c>
      <c r="AE80">
        <v>208</v>
      </c>
      <c r="AF80">
        <v>35.577339041747713</v>
      </c>
      <c r="AG80">
        <v>33.805674976435711</v>
      </c>
      <c r="AH80">
        <v>19.600000000000001</v>
      </c>
      <c r="AI80">
        <f>18.6288637574281*0.75</f>
        <v>13.971647818071075</v>
      </c>
      <c r="AJ80">
        <f>4.90916237964389*0.75</f>
        <v>3.6818717847329174</v>
      </c>
      <c r="AK80">
        <v>0.75</v>
      </c>
      <c r="AL80">
        <v>1</v>
      </c>
      <c r="AM80">
        <v>1</v>
      </c>
    </row>
    <row r="81" spans="1:39" hidden="1" x14ac:dyDescent="0.2">
      <c r="A81" t="s">
        <v>205</v>
      </c>
      <c r="B81" t="s">
        <v>206</v>
      </c>
      <c r="C81" t="s">
        <v>205</v>
      </c>
      <c r="D81" t="s">
        <v>6</v>
      </c>
      <c r="E81">
        <v>0</v>
      </c>
      <c r="F81">
        <v>0</v>
      </c>
      <c r="G81">
        <v>0</v>
      </c>
      <c r="H81">
        <v>1</v>
      </c>
      <c r="I81" t="s">
        <v>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7.1</v>
      </c>
      <c r="AE81">
        <v>383</v>
      </c>
      <c r="AF81">
        <v>17.999999999999989</v>
      </c>
      <c r="AG81">
        <v>25.424837639472681</v>
      </c>
      <c r="AH81">
        <v>27.24817957379684</v>
      </c>
      <c r="AI81">
        <f>13.4002537513796*1</f>
        <v>13.4002537513796</v>
      </c>
      <c r="AJ81">
        <f>2.66067646236711*1</f>
        <v>2.66067646236711</v>
      </c>
      <c r="AK81">
        <v>1</v>
      </c>
      <c r="AL81">
        <v>0</v>
      </c>
      <c r="AM81">
        <v>0</v>
      </c>
    </row>
    <row r="82" spans="1:39" hidden="1" x14ac:dyDescent="0.2">
      <c r="A82" t="s">
        <v>207</v>
      </c>
      <c r="B82" t="s">
        <v>208</v>
      </c>
      <c r="C82" t="s">
        <v>208</v>
      </c>
      <c r="D82" t="s">
        <v>6</v>
      </c>
      <c r="E82">
        <v>0</v>
      </c>
      <c r="F82">
        <v>0</v>
      </c>
      <c r="G82">
        <v>0</v>
      </c>
      <c r="H82">
        <v>1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7.1</v>
      </c>
      <c r="AE82">
        <v>388</v>
      </c>
      <c r="AF82">
        <v>15.39682539682539</v>
      </c>
      <c r="AG82">
        <v>16.639576699977329</v>
      </c>
      <c r="AH82">
        <v>14.25424943225932</v>
      </c>
      <c r="AI82">
        <f>9.72988435336365*1</f>
        <v>9.7298843533636497</v>
      </c>
      <c r="AJ82">
        <f>1.82501840217057*1</f>
        <v>1.82501840217057</v>
      </c>
      <c r="AK82">
        <v>1</v>
      </c>
      <c r="AL82">
        <v>0</v>
      </c>
      <c r="AM82">
        <v>0</v>
      </c>
    </row>
    <row r="83" spans="1:39" hidden="1" x14ac:dyDescent="0.2">
      <c r="A83" t="s">
        <v>70</v>
      </c>
      <c r="B83" t="s">
        <v>209</v>
      </c>
      <c r="C83" t="s">
        <v>209</v>
      </c>
      <c r="D83" t="s">
        <v>5</v>
      </c>
      <c r="E83">
        <v>0</v>
      </c>
      <c r="F83">
        <v>0</v>
      </c>
      <c r="G83">
        <v>1</v>
      </c>
      <c r="H83">
        <v>0</v>
      </c>
      <c r="I83" t="s">
        <v>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</v>
      </c>
      <c r="AE83">
        <v>390</v>
      </c>
      <c r="AF83">
        <v>9.8611111111111143</v>
      </c>
      <c r="AG83">
        <v>9.8061113238107112</v>
      </c>
      <c r="AH83">
        <v>13.72997465382036</v>
      </c>
      <c r="AI83">
        <f>5.85980438206124*1</f>
        <v>5.85980438206124</v>
      </c>
      <c r="AJ83">
        <f>1.1450717695112*1</f>
        <v>1.1450717695112</v>
      </c>
      <c r="AK83">
        <v>1</v>
      </c>
      <c r="AL83">
        <v>0</v>
      </c>
      <c r="AM83">
        <v>0</v>
      </c>
    </row>
    <row r="84" spans="1:39" hidden="1" x14ac:dyDescent="0.2">
      <c r="A84" t="s">
        <v>210</v>
      </c>
      <c r="B84" t="s">
        <v>211</v>
      </c>
      <c r="C84" t="s">
        <v>211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5.3</v>
      </c>
      <c r="AE84">
        <v>391</v>
      </c>
      <c r="AF84">
        <v>11.31868131868131</v>
      </c>
      <c r="AG84">
        <v>11.54806395607307</v>
      </c>
      <c r="AH84">
        <v>11.36</v>
      </c>
      <c r="AI84">
        <f>15.4634724028777*1</f>
        <v>15.4634724028777</v>
      </c>
      <c r="AJ84">
        <f>3.37058446868345*1</f>
        <v>3.3705844686834499</v>
      </c>
      <c r="AK84">
        <v>1</v>
      </c>
      <c r="AL84">
        <v>0</v>
      </c>
      <c r="AM84">
        <v>0</v>
      </c>
    </row>
    <row r="85" spans="1:39" hidden="1" x14ac:dyDescent="0.2">
      <c r="A85" t="s">
        <v>212</v>
      </c>
      <c r="B85" t="s">
        <v>213</v>
      </c>
      <c r="C85" t="s">
        <v>213</v>
      </c>
      <c r="D85" t="s">
        <v>4</v>
      </c>
      <c r="E85">
        <v>0</v>
      </c>
      <c r="F85">
        <v>1</v>
      </c>
      <c r="G85">
        <v>0</v>
      </c>
      <c r="H85">
        <v>0</v>
      </c>
      <c r="I85" t="s">
        <v>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5.4</v>
      </c>
      <c r="AE85">
        <v>393</v>
      </c>
      <c r="AF85">
        <v>15.333333333333339</v>
      </c>
      <c r="AG85">
        <v>13.26413891248496</v>
      </c>
      <c r="AH85">
        <v>14.75479198647357</v>
      </c>
      <c r="AI85">
        <f>16.2634637870744*1</f>
        <v>16.2634637870744</v>
      </c>
      <c r="AJ85">
        <f>2.90733628885229*1</f>
        <v>2.90733628885229</v>
      </c>
      <c r="AK85">
        <v>1</v>
      </c>
      <c r="AL85">
        <v>0</v>
      </c>
      <c r="AM85">
        <v>0</v>
      </c>
    </row>
    <row r="86" spans="1:39" x14ac:dyDescent="0.2">
      <c r="A86" t="s">
        <v>99</v>
      </c>
      <c r="B86" t="s">
        <v>100</v>
      </c>
      <c r="C86" t="s">
        <v>100</v>
      </c>
      <c r="D86" t="s">
        <v>5</v>
      </c>
      <c r="E86">
        <v>0</v>
      </c>
      <c r="F86">
        <v>0</v>
      </c>
      <c r="G86">
        <v>1</v>
      </c>
      <c r="H86">
        <v>0</v>
      </c>
      <c r="I86" t="s">
        <v>14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7.9</v>
      </c>
      <c r="AE86">
        <v>113</v>
      </c>
      <c r="AF86">
        <v>28.269070082744591</v>
      </c>
      <c r="AG86">
        <v>22.208294325689</v>
      </c>
      <c r="AH86">
        <v>52.205262994086517</v>
      </c>
      <c r="AI86">
        <f>17.7370800895176*0.75</f>
        <v>13.3028100671382</v>
      </c>
      <c r="AJ86">
        <f>4.70124297457699*0.75</f>
        <v>3.5259322309327428</v>
      </c>
      <c r="AK86">
        <v>0.75</v>
      </c>
      <c r="AL86">
        <v>1</v>
      </c>
      <c r="AM86">
        <v>1</v>
      </c>
    </row>
    <row r="87" spans="1:39" hidden="1" x14ac:dyDescent="0.2">
      <c r="A87" t="s">
        <v>217</v>
      </c>
      <c r="B87" t="s">
        <v>218</v>
      </c>
      <c r="C87" t="s">
        <v>219</v>
      </c>
      <c r="D87" t="s">
        <v>5</v>
      </c>
      <c r="E87">
        <v>0</v>
      </c>
      <c r="F87">
        <v>0</v>
      </c>
      <c r="G87">
        <v>1</v>
      </c>
      <c r="H87">
        <v>0</v>
      </c>
      <c r="I87" t="s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12.9</v>
      </c>
      <c r="AE87">
        <v>395</v>
      </c>
      <c r="AF87">
        <v>34.883177570093473</v>
      </c>
      <c r="AG87">
        <v>34.807077751899847</v>
      </c>
      <c r="AH87">
        <v>54.69379557570106</v>
      </c>
      <c r="AI87">
        <f>27.3083512137161*1</f>
        <v>27.308351213716101</v>
      </c>
      <c r="AJ87">
        <f>5.5540475647603*1</f>
        <v>5.5540475647602996</v>
      </c>
      <c r="AK87">
        <v>1</v>
      </c>
      <c r="AL87">
        <v>0</v>
      </c>
      <c r="AM87">
        <v>0</v>
      </c>
    </row>
    <row r="88" spans="1:39" x14ac:dyDescent="0.2">
      <c r="A88" t="s">
        <v>214</v>
      </c>
      <c r="B88" t="s">
        <v>215</v>
      </c>
      <c r="C88" t="s">
        <v>216</v>
      </c>
      <c r="D88" t="s">
        <v>5</v>
      </c>
      <c r="E88">
        <v>0</v>
      </c>
      <c r="F88">
        <v>0</v>
      </c>
      <c r="G88">
        <v>1</v>
      </c>
      <c r="H88">
        <v>0</v>
      </c>
      <c r="I88" t="s">
        <v>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7.7</v>
      </c>
      <c r="AE88">
        <v>394</v>
      </c>
      <c r="AF88">
        <v>19.999999999999989</v>
      </c>
      <c r="AG88">
        <v>15.139777787767169</v>
      </c>
      <c r="AH88">
        <v>20.071801910507791</v>
      </c>
      <c r="AI88">
        <f>18.2040724900453*1</f>
        <v>18.204072490045299</v>
      </c>
      <c r="AJ88">
        <f>3.40211383011645*1</f>
        <v>3.4021138301164502</v>
      </c>
      <c r="AK88">
        <v>1</v>
      </c>
      <c r="AL88">
        <v>1</v>
      </c>
      <c r="AM88">
        <v>1</v>
      </c>
    </row>
    <row r="89" spans="1:39" hidden="1" x14ac:dyDescent="0.2">
      <c r="A89" t="s">
        <v>222</v>
      </c>
      <c r="B89" t="s">
        <v>223</v>
      </c>
      <c r="C89" t="s">
        <v>222</v>
      </c>
      <c r="D89" t="s">
        <v>4</v>
      </c>
      <c r="E89">
        <v>0</v>
      </c>
      <c r="F89">
        <v>1</v>
      </c>
      <c r="G89">
        <v>0</v>
      </c>
      <c r="H89">
        <v>0</v>
      </c>
      <c r="I89" t="s">
        <v>22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6.3</v>
      </c>
      <c r="AE89">
        <v>405</v>
      </c>
      <c r="AF89">
        <v>23.064516129032249</v>
      </c>
      <c r="AG89">
        <v>28.273318470984261</v>
      </c>
      <c r="AH89">
        <v>28.35522009926628</v>
      </c>
      <c r="AI89">
        <f>22.2215579834223*1</f>
        <v>22.221557983422301</v>
      </c>
      <c r="AJ89">
        <f>4.50200043803371*1</f>
        <v>4.5020004380337104</v>
      </c>
      <c r="AK89">
        <v>1</v>
      </c>
      <c r="AL89">
        <v>0</v>
      </c>
      <c r="AM89">
        <v>0</v>
      </c>
    </row>
    <row r="90" spans="1:39" hidden="1" x14ac:dyDescent="0.2">
      <c r="A90" t="s">
        <v>224</v>
      </c>
      <c r="B90" t="s">
        <v>225</v>
      </c>
      <c r="C90" t="s">
        <v>225</v>
      </c>
      <c r="D90" t="s">
        <v>4</v>
      </c>
      <c r="E90">
        <v>0</v>
      </c>
      <c r="F90">
        <v>1</v>
      </c>
      <c r="G90">
        <v>0</v>
      </c>
      <c r="H90">
        <v>0</v>
      </c>
      <c r="I90" t="s">
        <v>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5.5</v>
      </c>
      <c r="AE90">
        <v>409</v>
      </c>
      <c r="AF90">
        <v>16.269841269841269</v>
      </c>
      <c r="AG90">
        <v>18.837196970349972</v>
      </c>
      <c r="AH90">
        <v>21.726790123456791</v>
      </c>
      <c r="AI90">
        <f>10.9701020594013*1</f>
        <v>10.970102059401301</v>
      </c>
      <c r="AJ90">
        <f>2.00620548875575*1</f>
        <v>2.0062054887557501</v>
      </c>
      <c r="AK90">
        <v>1</v>
      </c>
      <c r="AL90">
        <v>0</v>
      </c>
      <c r="AM90">
        <v>0</v>
      </c>
    </row>
    <row r="91" spans="1:39" hidden="1" x14ac:dyDescent="0.2">
      <c r="A91" t="s">
        <v>226</v>
      </c>
      <c r="B91" t="s">
        <v>227</v>
      </c>
      <c r="C91" t="s">
        <v>226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6.4</v>
      </c>
      <c r="AE91">
        <v>411</v>
      </c>
      <c r="AF91">
        <v>18.08219178082193</v>
      </c>
      <c r="AG91">
        <v>22.277147729872809</v>
      </c>
      <c r="AH91">
        <v>8.6231621824573139</v>
      </c>
      <c r="AI91">
        <f>5.43529058042096*1</f>
        <v>5.4352905804209604</v>
      </c>
      <c r="AJ91">
        <f>0.983509459608848*1</f>
        <v>0.98350945960884795</v>
      </c>
      <c r="AK91">
        <v>1</v>
      </c>
      <c r="AL91">
        <v>0</v>
      </c>
      <c r="AM91">
        <v>0</v>
      </c>
    </row>
    <row r="92" spans="1:39" hidden="1" x14ac:dyDescent="0.2">
      <c r="A92" t="s">
        <v>228</v>
      </c>
      <c r="B92" t="s">
        <v>229</v>
      </c>
      <c r="C92" t="s">
        <v>229</v>
      </c>
      <c r="D92" t="s">
        <v>5</v>
      </c>
      <c r="E92">
        <v>0</v>
      </c>
      <c r="F92">
        <v>0</v>
      </c>
      <c r="G92">
        <v>1</v>
      </c>
      <c r="H92">
        <v>0</v>
      </c>
      <c r="I92" t="s">
        <v>23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6.3</v>
      </c>
      <c r="AE92">
        <v>415</v>
      </c>
      <c r="AF92">
        <v>16.714285714285712</v>
      </c>
      <c r="AG92">
        <v>23.706757320412379</v>
      </c>
      <c r="AH92">
        <v>20.612500000000001</v>
      </c>
      <c r="AI92">
        <f>17.2198850429195*1</f>
        <v>17.219885042919501</v>
      </c>
      <c r="AJ92">
        <f>3.59129407232724*1</f>
        <v>3.5912940723272402</v>
      </c>
      <c r="AK92">
        <v>1</v>
      </c>
      <c r="AL92">
        <v>0</v>
      </c>
      <c r="AM92">
        <v>0</v>
      </c>
    </row>
    <row r="93" spans="1:39" hidden="1" x14ac:dyDescent="0.2">
      <c r="A93" t="s">
        <v>230</v>
      </c>
      <c r="B93" t="s">
        <v>231</v>
      </c>
      <c r="C93" t="s">
        <v>232</v>
      </c>
      <c r="D93" t="s">
        <v>3</v>
      </c>
      <c r="E93">
        <v>1</v>
      </c>
      <c r="F93">
        <v>0</v>
      </c>
      <c r="G93">
        <v>0</v>
      </c>
      <c r="H93">
        <v>0</v>
      </c>
      <c r="I93" t="s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5.5</v>
      </c>
      <c r="AE93">
        <v>416</v>
      </c>
      <c r="AF93">
        <v>16.906406842179571</v>
      </c>
      <c r="AG93">
        <v>20.54623552095703</v>
      </c>
      <c r="AH93">
        <v>7.2822941327678166</v>
      </c>
      <c r="AI93">
        <f>6.686132758256*1</f>
        <v>6.686132758256</v>
      </c>
      <c r="AJ93">
        <f>1.41489384469607*1</f>
        <v>1.4148938446960699</v>
      </c>
      <c r="AK93">
        <v>1</v>
      </c>
      <c r="AL93">
        <v>0</v>
      </c>
      <c r="AM93">
        <v>0</v>
      </c>
    </row>
    <row r="94" spans="1:39" hidden="1" x14ac:dyDescent="0.2">
      <c r="A94" t="s">
        <v>233</v>
      </c>
      <c r="B94" t="s">
        <v>234</v>
      </c>
      <c r="C94" t="s">
        <v>234</v>
      </c>
      <c r="D94" t="s">
        <v>5</v>
      </c>
      <c r="E94">
        <v>0</v>
      </c>
      <c r="F94">
        <v>0</v>
      </c>
      <c r="G94">
        <v>1</v>
      </c>
      <c r="H94">
        <v>0</v>
      </c>
      <c r="I94" t="s">
        <v>23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9.1999999999999993</v>
      </c>
      <c r="AE94">
        <v>417</v>
      </c>
      <c r="AF94">
        <v>27.112626588907141</v>
      </c>
      <c r="AG94">
        <v>22.466844134236968</v>
      </c>
      <c r="AH94">
        <v>26.366666666666671</v>
      </c>
      <c r="AI94">
        <f>6.91943510389536*1</f>
        <v>6.9194351038953599</v>
      </c>
      <c r="AJ94">
        <f>1.33912526042062*1</f>
        <v>1.3391252604206201</v>
      </c>
      <c r="AK94">
        <v>1</v>
      </c>
      <c r="AL94">
        <v>0</v>
      </c>
      <c r="AM94">
        <v>0</v>
      </c>
    </row>
    <row r="95" spans="1:39" hidden="1" x14ac:dyDescent="0.2">
      <c r="A95" t="s">
        <v>235</v>
      </c>
      <c r="B95" t="s">
        <v>236</v>
      </c>
      <c r="C95" t="s">
        <v>236</v>
      </c>
      <c r="D95" t="s">
        <v>4</v>
      </c>
      <c r="E95">
        <v>0</v>
      </c>
      <c r="F95">
        <v>1</v>
      </c>
      <c r="G95">
        <v>0</v>
      </c>
      <c r="H95">
        <v>0</v>
      </c>
      <c r="I95" t="s">
        <v>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6.3</v>
      </c>
      <c r="AE95">
        <v>419</v>
      </c>
      <c r="AF95">
        <v>20</v>
      </c>
      <c r="AG95">
        <v>19.320455892106772</v>
      </c>
      <c r="AH95">
        <v>35.759307691801212</v>
      </c>
      <c r="AI95">
        <f>14.1760130662983*1</f>
        <v>14.176013066298299</v>
      </c>
      <c r="AJ95">
        <f>2.79194786277988*1</f>
        <v>2.7919478627798799</v>
      </c>
      <c r="AK95">
        <v>1</v>
      </c>
      <c r="AL95">
        <v>0</v>
      </c>
      <c r="AM95">
        <v>0</v>
      </c>
    </row>
    <row r="96" spans="1:39" hidden="1" x14ac:dyDescent="0.2">
      <c r="A96" t="s">
        <v>237</v>
      </c>
      <c r="B96" t="s">
        <v>238</v>
      </c>
      <c r="C96" t="s">
        <v>238</v>
      </c>
      <c r="D96" t="s">
        <v>6</v>
      </c>
      <c r="E96">
        <v>0</v>
      </c>
      <c r="F96">
        <v>0</v>
      </c>
      <c r="G96">
        <v>0</v>
      </c>
      <c r="H96">
        <v>1</v>
      </c>
      <c r="I96" t="s">
        <v>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15.2</v>
      </c>
      <c r="AE96">
        <v>420</v>
      </c>
      <c r="AF96">
        <v>38.873239436619727</v>
      </c>
      <c r="AG96">
        <v>37.655494150254299</v>
      </c>
      <c r="AH96">
        <v>25.72941176470588</v>
      </c>
      <c r="AI96">
        <f>23.6280689986231*1</f>
        <v>23.6280689986231</v>
      </c>
      <c r="AJ96">
        <f>4.67586349330213*1</f>
        <v>4.6758634933021304</v>
      </c>
      <c r="AK96">
        <v>1</v>
      </c>
      <c r="AL96">
        <v>0</v>
      </c>
      <c r="AM96">
        <v>0</v>
      </c>
    </row>
    <row r="97" spans="1:39" hidden="1" x14ac:dyDescent="0.2">
      <c r="A97" t="s">
        <v>239</v>
      </c>
      <c r="B97" t="s">
        <v>240</v>
      </c>
      <c r="C97" t="s">
        <v>240</v>
      </c>
      <c r="D97" t="s">
        <v>5</v>
      </c>
      <c r="E97">
        <v>0</v>
      </c>
      <c r="F97">
        <v>0</v>
      </c>
      <c r="G97">
        <v>1</v>
      </c>
      <c r="H97">
        <v>0</v>
      </c>
      <c r="I97" t="s">
        <v>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5.6</v>
      </c>
      <c r="AE97">
        <v>423</v>
      </c>
      <c r="AF97">
        <v>22.13973323358222</v>
      </c>
      <c r="AG97">
        <v>10.74504918267243</v>
      </c>
      <c r="AH97">
        <v>14.625</v>
      </c>
      <c r="AI97">
        <f>0*0</f>
        <v>0</v>
      </c>
      <c r="AJ97">
        <f>0.914516585499899*0</f>
        <v>0</v>
      </c>
      <c r="AK97">
        <v>0</v>
      </c>
      <c r="AL97">
        <v>1</v>
      </c>
      <c r="AM97">
        <v>0</v>
      </c>
    </row>
    <row r="98" spans="1:39" hidden="1" x14ac:dyDescent="0.2">
      <c r="A98" t="s">
        <v>241</v>
      </c>
      <c r="B98" t="s">
        <v>72</v>
      </c>
      <c r="C98" t="s">
        <v>72</v>
      </c>
      <c r="D98" t="s">
        <v>4</v>
      </c>
      <c r="E98">
        <v>0</v>
      </c>
      <c r="F98">
        <v>1</v>
      </c>
      <c r="G98">
        <v>0</v>
      </c>
      <c r="H98">
        <v>0</v>
      </c>
      <c r="I98" t="s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4.9000000000000004</v>
      </c>
      <c r="AE98">
        <v>424</v>
      </c>
      <c r="AF98">
        <v>15.99631724673347</v>
      </c>
      <c r="AG98">
        <v>18.212984796148049</v>
      </c>
      <c r="AH98">
        <v>13.385440511654</v>
      </c>
      <c r="AI98">
        <f>6.17294001067668*1</f>
        <v>6.1729400106766796</v>
      </c>
      <c r="AJ98">
        <f>1.46642121869436*1</f>
        <v>1.4664212186943599</v>
      </c>
      <c r="AK98">
        <v>1</v>
      </c>
      <c r="AL98">
        <v>0</v>
      </c>
      <c r="AM98">
        <v>0</v>
      </c>
    </row>
    <row r="99" spans="1:39" hidden="1" x14ac:dyDescent="0.2">
      <c r="A99" t="s">
        <v>242</v>
      </c>
      <c r="B99" t="s">
        <v>243</v>
      </c>
      <c r="C99" t="s">
        <v>244</v>
      </c>
      <c r="D99" t="s">
        <v>5</v>
      </c>
      <c r="E99">
        <v>0</v>
      </c>
      <c r="F99">
        <v>0</v>
      </c>
      <c r="G99">
        <v>1</v>
      </c>
      <c r="H99">
        <v>0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4.9000000000000004</v>
      </c>
      <c r="AE99">
        <v>425</v>
      </c>
      <c r="AF99">
        <v>10.91666666666667</v>
      </c>
      <c r="AG99">
        <v>11.78310175432353</v>
      </c>
      <c r="AH99">
        <v>9.8488707821512964</v>
      </c>
      <c r="AI99">
        <f>9.60616867411701*1</f>
        <v>9.6061686741170096</v>
      </c>
      <c r="AJ99">
        <f>1.91696395811665*1</f>
        <v>1.91696395811665</v>
      </c>
      <c r="AK99">
        <v>1</v>
      </c>
      <c r="AL99">
        <v>0</v>
      </c>
      <c r="AM99">
        <v>0</v>
      </c>
    </row>
    <row r="100" spans="1:39" hidden="1" x14ac:dyDescent="0.2">
      <c r="A100" t="s">
        <v>245</v>
      </c>
      <c r="B100" t="s">
        <v>246</v>
      </c>
      <c r="C100" t="s">
        <v>245</v>
      </c>
      <c r="D100" t="s">
        <v>4</v>
      </c>
      <c r="E100">
        <v>0</v>
      </c>
      <c r="F100">
        <v>1</v>
      </c>
      <c r="G100">
        <v>0</v>
      </c>
      <c r="H100">
        <v>0</v>
      </c>
      <c r="I100" t="s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5.4</v>
      </c>
      <c r="AE100">
        <v>429</v>
      </c>
      <c r="AF100">
        <v>14.50819672131148</v>
      </c>
      <c r="AG100">
        <v>14.264778021073459</v>
      </c>
      <c r="AH100">
        <v>18.166666666666671</v>
      </c>
      <c r="AI100">
        <f>6.11591432487837*1</f>
        <v>6.1159143248783696</v>
      </c>
      <c r="AJ100">
        <f>1.15222863317876*1</f>
        <v>1.1522286331787599</v>
      </c>
      <c r="AK100">
        <v>1</v>
      </c>
      <c r="AL100">
        <v>0</v>
      </c>
      <c r="AM100">
        <v>0</v>
      </c>
    </row>
    <row r="101" spans="1:39" hidden="1" x14ac:dyDescent="0.2">
      <c r="A101" t="s">
        <v>247</v>
      </c>
      <c r="B101" t="s">
        <v>248</v>
      </c>
      <c r="C101" t="s">
        <v>248</v>
      </c>
      <c r="D101" t="s">
        <v>5</v>
      </c>
      <c r="E101">
        <v>0</v>
      </c>
      <c r="F101">
        <v>0</v>
      </c>
      <c r="G101">
        <v>1</v>
      </c>
      <c r="H101">
        <v>0</v>
      </c>
      <c r="I101" t="s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6.5</v>
      </c>
      <c r="AE101">
        <v>434</v>
      </c>
      <c r="AF101">
        <v>18.064454243060961</v>
      </c>
      <c r="AG101">
        <v>22.317354158229708</v>
      </c>
      <c r="AH101">
        <v>13.275987609969301</v>
      </c>
      <c r="AI101">
        <f>7.80144447261687*1</f>
        <v>7.8014444726168701</v>
      </c>
      <c r="AJ101">
        <f>1.31188817871356*1</f>
        <v>1.3118881787135599</v>
      </c>
      <c r="AK101">
        <v>1</v>
      </c>
      <c r="AL101">
        <v>0</v>
      </c>
      <c r="AM101">
        <v>0</v>
      </c>
    </row>
    <row r="102" spans="1:39" hidden="1" x14ac:dyDescent="0.2">
      <c r="A102" t="s">
        <v>249</v>
      </c>
      <c r="B102" t="s">
        <v>250</v>
      </c>
      <c r="C102" t="s">
        <v>249</v>
      </c>
      <c r="D102" t="s">
        <v>5</v>
      </c>
      <c r="E102">
        <v>0</v>
      </c>
      <c r="F102">
        <v>0</v>
      </c>
      <c r="G102">
        <v>1</v>
      </c>
      <c r="H102">
        <v>0</v>
      </c>
      <c r="I102" t="s">
        <v>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4.9000000000000004</v>
      </c>
      <c r="AE102">
        <v>439</v>
      </c>
      <c r="AF102">
        <v>0</v>
      </c>
      <c r="AG102">
        <v>0</v>
      </c>
      <c r="AH102">
        <v>0</v>
      </c>
      <c r="AI102">
        <f>0*1</f>
        <v>0</v>
      </c>
      <c r="AJ102">
        <f>0*1</f>
        <v>0</v>
      </c>
      <c r="AK102">
        <v>1</v>
      </c>
      <c r="AL102">
        <v>0</v>
      </c>
      <c r="AM102">
        <v>0</v>
      </c>
    </row>
    <row r="103" spans="1:39" hidden="1" x14ac:dyDescent="0.2">
      <c r="A103" t="s">
        <v>251</v>
      </c>
      <c r="B103" t="s">
        <v>252</v>
      </c>
      <c r="C103" t="s">
        <v>253</v>
      </c>
      <c r="D103" t="s">
        <v>5</v>
      </c>
      <c r="E103">
        <v>0</v>
      </c>
      <c r="F103">
        <v>0</v>
      </c>
      <c r="G103">
        <v>1</v>
      </c>
      <c r="H103">
        <v>0</v>
      </c>
      <c r="I103" t="s">
        <v>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8.4</v>
      </c>
      <c r="AE103">
        <v>441</v>
      </c>
      <c r="AF103">
        <v>25.893800227726569</v>
      </c>
      <c r="AG103">
        <v>20.09503327133579</v>
      </c>
      <c r="AH103">
        <v>47.46153846153846</v>
      </c>
      <c r="AI103">
        <f>17.8759831694863*1</f>
        <v>17.8759831694863</v>
      </c>
      <c r="AJ103">
        <f>3.85336822851699*1</f>
        <v>3.8533682285169899</v>
      </c>
      <c r="AK103">
        <v>1</v>
      </c>
      <c r="AL103">
        <v>0</v>
      </c>
      <c r="AM103">
        <v>0</v>
      </c>
    </row>
    <row r="104" spans="1:39" hidden="1" x14ac:dyDescent="0.2">
      <c r="A104" t="s">
        <v>254</v>
      </c>
      <c r="B104" t="s">
        <v>255</v>
      </c>
      <c r="C104" t="s">
        <v>256</v>
      </c>
      <c r="D104" t="s">
        <v>5</v>
      </c>
      <c r="E104">
        <v>0</v>
      </c>
      <c r="F104">
        <v>0</v>
      </c>
      <c r="G104">
        <v>1</v>
      </c>
      <c r="H104">
        <v>0</v>
      </c>
      <c r="I104" t="s">
        <v>24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4.8</v>
      </c>
      <c r="AE104">
        <v>443</v>
      </c>
      <c r="AF104">
        <v>12.711864406779659</v>
      </c>
      <c r="AG104">
        <v>14.49311077534022</v>
      </c>
      <c r="AH104">
        <v>12.36032528396604</v>
      </c>
      <c r="AI104">
        <f>9.33171375110364*1</f>
        <v>9.3317137511036403</v>
      </c>
      <c r="AJ104">
        <f>1.88015554816679*1</f>
        <v>1.88015554816679</v>
      </c>
      <c r="AK104">
        <v>1</v>
      </c>
      <c r="AL104">
        <v>0</v>
      </c>
      <c r="AM104">
        <v>0</v>
      </c>
    </row>
    <row r="105" spans="1:39" x14ac:dyDescent="0.2">
      <c r="A105" t="s">
        <v>300</v>
      </c>
      <c r="B105" t="s">
        <v>301</v>
      </c>
      <c r="C105" t="s">
        <v>301</v>
      </c>
      <c r="D105" t="s">
        <v>6</v>
      </c>
      <c r="E105">
        <v>0</v>
      </c>
      <c r="F105">
        <v>0</v>
      </c>
      <c r="G105">
        <v>0</v>
      </c>
      <c r="H105">
        <v>1</v>
      </c>
      <c r="I105" t="s">
        <v>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6.6</v>
      </c>
      <c r="AE105">
        <v>530</v>
      </c>
      <c r="AF105">
        <v>18.129602665585889</v>
      </c>
      <c r="AG105">
        <v>16.931292080225951</v>
      </c>
      <c r="AH105">
        <v>24.934006566420649</v>
      </c>
      <c r="AI105">
        <f>15.8630217373832*1</f>
        <v>15.8630217373832</v>
      </c>
      <c r="AJ105">
        <f>3.25300271855517*1</f>
        <v>3.25300271855517</v>
      </c>
      <c r="AK105">
        <v>1</v>
      </c>
      <c r="AL105">
        <v>1</v>
      </c>
      <c r="AM105">
        <v>1</v>
      </c>
    </row>
    <row r="106" spans="1:39" hidden="1" x14ac:dyDescent="0.2">
      <c r="A106" t="s">
        <v>260</v>
      </c>
      <c r="B106" t="s">
        <v>261</v>
      </c>
      <c r="C106" t="s">
        <v>261</v>
      </c>
      <c r="D106" t="s">
        <v>5</v>
      </c>
      <c r="E106">
        <v>0</v>
      </c>
      <c r="F106">
        <v>0</v>
      </c>
      <c r="G106">
        <v>1</v>
      </c>
      <c r="H106">
        <v>0</v>
      </c>
      <c r="I106" t="s">
        <v>24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6.4</v>
      </c>
      <c r="AE106">
        <v>447</v>
      </c>
      <c r="AF106">
        <v>19.322467556557651</v>
      </c>
      <c r="AG106">
        <v>16.136222769696349</v>
      </c>
      <c r="AH106">
        <v>23.155890094954952</v>
      </c>
      <c r="AI106">
        <f>17.7456277737577*1</f>
        <v>17.7456277737577</v>
      </c>
      <c r="AJ106">
        <f>3.19633301027949*1</f>
        <v>3.1963330102794898</v>
      </c>
      <c r="AK106">
        <v>1</v>
      </c>
      <c r="AL106">
        <v>0</v>
      </c>
      <c r="AM106">
        <v>0</v>
      </c>
    </row>
    <row r="107" spans="1:39" hidden="1" x14ac:dyDescent="0.2">
      <c r="A107" t="s">
        <v>262</v>
      </c>
      <c r="B107" t="s">
        <v>263</v>
      </c>
      <c r="C107" t="s">
        <v>61</v>
      </c>
      <c r="D107" t="s">
        <v>4</v>
      </c>
      <c r="E107">
        <v>0</v>
      </c>
      <c r="F107">
        <v>1</v>
      </c>
      <c r="G107">
        <v>0</v>
      </c>
      <c r="H107">
        <v>0</v>
      </c>
      <c r="I107" t="s">
        <v>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4.4000000000000004</v>
      </c>
      <c r="AE107">
        <v>455</v>
      </c>
      <c r="AF107">
        <v>13.33333333333333</v>
      </c>
      <c r="AG107">
        <v>12.68380683965551</v>
      </c>
      <c r="AH107">
        <v>12.14117449495496</v>
      </c>
      <c r="AI107">
        <f>7.55868252324676*1</f>
        <v>7.5586825232467598</v>
      </c>
      <c r="AJ107">
        <f>1.32851038474235*1</f>
        <v>1.3285103847423501</v>
      </c>
      <c r="AK107">
        <v>1</v>
      </c>
      <c r="AL107">
        <v>0</v>
      </c>
      <c r="AM107">
        <v>0</v>
      </c>
    </row>
    <row r="108" spans="1:39" x14ac:dyDescent="0.2">
      <c r="A108" t="s">
        <v>45</v>
      </c>
      <c r="B108" t="s">
        <v>46</v>
      </c>
      <c r="C108" t="s">
        <v>45</v>
      </c>
      <c r="D108" t="s">
        <v>4</v>
      </c>
      <c r="E108">
        <v>0</v>
      </c>
      <c r="F108">
        <v>1</v>
      </c>
      <c r="G108">
        <v>0</v>
      </c>
      <c r="H108">
        <v>0</v>
      </c>
      <c r="I108" t="s">
        <v>11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6.1</v>
      </c>
      <c r="AE108">
        <v>2</v>
      </c>
      <c r="AF108">
        <v>19.106295306102769</v>
      </c>
      <c r="AG108">
        <v>22.1366595093243</v>
      </c>
      <c r="AH108">
        <v>8.2809250709962257</v>
      </c>
      <c r="AI108">
        <f>14.1767515001371*1</f>
        <v>14.176751500137099</v>
      </c>
      <c r="AJ108">
        <f>2.94141263107225*1</f>
        <v>2.9414126310722502</v>
      </c>
      <c r="AK108">
        <v>1</v>
      </c>
      <c r="AL108">
        <v>1</v>
      </c>
      <c r="AM108">
        <v>1</v>
      </c>
    </row>
    <row r="109" spans="1:39" hidden="1" x14ac:dyDescent="0.2">
      <c r="A109" t="s">
        <v>85</v>
      </c>
      <c r="B109" t="s">
        <v>266</v>
      </c>
      <c r="C109" t="s">
        <v>266</v>
      </c>
      <c r="D109" t="s">
        <v>5</v>
      </c>
      <c r="E109">
        <v>0</v>
      </c>
      <c r="F109">
        <v>0</v>
      </c>
      <c r="G109">
        <v>1</v>
      </c>
      <c r="H109">
        <v>0</v>
      </c>
      <c r="I109" t="s">
        <v>24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6.9</v>
      </c>
      <c r="AE109">
        <v>460</v>
      </c>
      <c r="AF109">
        <v>20.784342668661129</v>
      </c>
      <c r="AG109">
        <v>25.355739710472999</v>
      </c>
      <c r="AH109">
        <v>11.38785345995962</v>
      </c>
      <c r="AI109">
        <f>13.4323515640875*1</f>
        <v>13.432351564087501</v>
      </c>
      <c r="AJ109">
        <f>2.57633694172456*1</f>
        <v>2.5763369417245601</v>
      </c>
      <c r="AK109">
        <v>1</v>
      </c>
      <c r="AL109">
        <v>0</v>
      </c>
      <c r="AM109">
        <v>0</v>
      </c>
    </row>
    <row r="110" spans="1:39" x14ac:dyDescent="0.2">
      <c r="A110" t="s">
        <v>105</v>
      </c>
      <c r="B110" t="s">
        <v>106</v>
      </c>
      <c r="C110" t="s">
        <v>106</v>
      </c>
      <c r="D110" t="s">
        <v>6</v>
      </c>
      <c r="E110">
        <v>0</v>
      </c>
      <c r="F110">
        <v>0</v>
      </c>
      <c r="G110">
        <v>0</v>
      </c>
      <c r="H110">
        <v>1</v>
      </c>
      <c r="I110" t="s">
        <v>14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6.1</v>
      </c>
      <c r="AE110">
        <v>124</v>
      </c>
      <c r="AF110">
        <v>28.686058147047522</v>
      </c>
      <c r="AG110">
        <v>14.649532501635329</v>
      </c>
      <c r="AH110">
        <v>35.349553571428572</v>
      </c>
      <c r="AI110">
        <f>13.9246153944711*0.75</f>
        <v>10.443461545853324</v>
      </c>
      <c r="AJ110">
        <f>3.58072608999026*0.75</f>
        <v>2.6855445674926948</v>
      </c>
      <c r="AK110">
        <v>0.75</v>
      </c>
      <c r="AL110">
        <v>1</v>
      </c>
      <c r="AM110">
        <v>1</v>
      </c>
    </row>
    <row r="111" spans="1:39" hidden="1" x14ac:dyDescent="0.2">
      <c r="A111" t="s">
        <v>251</v>
      </c>
      <c r="B111" t="s">
        <v>269</v>
      </c>
      <c r="C111" t="s">
        <v>270</v>
      </c>
      <c r="D111" t="s">
        <v>5</v>
      </c>
      <c r="E111">
        <v>0</v>
      </c>
      <c r="F111">
        <v>0</v>
      </c>
      <c r="G111">
        <v>1</v>
      </c>
      <c r="H111">
        <v>0</v>
      </c>
      <c r="I111" t="s">
        <v>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6.2</v>
      </c>
      <c r="AE111">
        <v>476</v>
      </c>
      <c r="AF111">
        <v>18.296703296703289</v>
      </c>
      <c r="AG111">
        <v>16.947813819052168</v>
      </c>
      <c r="AH111">
        <v>17.262544648595359</v>
      </c>
      <c r="AI111">
        <f>8.71922248147217*1</f>
        <v>8.7192224814721708</v>
      </c>
      <c r="AJ111">
        <f>1.68294461571924*1</f>
        <v>1.68294461571924</v>
      </c>
      <c r="AK111">
        <v>1</v>
      </c>
      <c r="AL111">
        <v>0</v>
      </c>
      <c r="AM111">
        <v>0</v>
      </c>
    </row>
    <row r="112" spans="1:39" hidden="1" x14ac:dyDescent="0.2">
      <c r="A112" t="s">
        <v>271</v>
      </c>
      <c r="B112" t="s">
        <v>272</v>
      </c>
      <c r="C112" t="s">
        <v>272</v>
      </c>
      <c r="D112" t="s">
        <v>4</v>
      </c>
      <c r="E112">
        <v>0</v>
      </c>
      <c r="F112">
        <v>1</v>
      </c>
      <c r="G112">
        <v>0</v>
      </c>
      <c r="H112">
        <v>0</v>
      </c>
      <c r="I112" t="s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4.4000000000000004</v>
      </c>
      <c r="AE112">
        <v>477</v>
      </c>
      <c r="AF112">
        <v>14.27964438074995</v>
      </c>
      <c r="AG112">
        <v>16.23599939179644</v>
      </c>
      <c r="AH112">
        <v>20.155693386063309</v>
      </c>
      <c r="AI112">
        <f>9.73620048459291*1</f>
        <v>9.73620048459291</v>
      </c>
      <c r="AJ112">
        <f>2.03802741873492*1</f>
        <v>2.0380274187349201</v>
      </c>
      <c r="AK112">
        <v>1</v>
      </c>
      <c r="AL112">
        <v>0</v>
      </c>
      <c r="AM112">
        <v>0</v>
      </c>
    </row>
    <row r="113" spans="1:39" hidden="1" x14ac:dyDescent="0.2">
      <c r="A113" t="s">
        <v>273</v>
      </c>
      <c r="B113" t="s">
        <v>274</v>
      </c>
      <c r="C113" t="s">
        <v>274</v>
      </c>
      <c r="D113" t="s">
        <v>5</v>
      </c>
      <c r="E113">
        <v>0</v>
      </c>
      <c r="F113">
        <v>0</v>
      </c>
      <c r="G113">
        <v>1</v>
      </c>
      <c r="H113">
        <v>0</v>
      </c>
      <c r="I113" t="s">
        <v>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7.2</v>
      </c>
      <c r="AE113">
        <v>479</v>
      </c>
      <c r="AF113">
        <v>17.031682369822271</v>
      </c>
      <c r="AG113">
        <v>15.78464965065537</v>
      </c>
      <c r="AH113">
        <v>16.628346861204381</v>
      </c>
      <c r="AI113">
        <f>8.06390498317754*1</f>
        <v>8.0639049831775402</v>
      </c>
      <c r="AJ113">
        <f>1.41383506089185*1</f>
        <v>1.41383506089185</v>
      </c>
      <c r="AK113">
        <v>1</v>
      </c>
      <c r="AL113">
        <v>0</v>
      </c>
      <c r="AM113">
        <v>0</v>
      </c>
    </row>
    <row r="114" spans="1:39" hidden="1" x14ac:dyDescent="0.2">
      <c r="A114" t="s">
        <v>72</v>
      </c>
      <c r="B114" t="s">
        <v>275</v>
      </c>
      <c r="C114" t="s">
        <v>275</v>
      </c>
      <c r="D114" t="s">
        <v>4</v>
      </c>
      <c r="E114">
        <v>0</v>
      </c>
      <c r="F114">
        <v>1</v>
      </c>
      <c r="G114">
        <v>0</v>
      </c>
      <c r="H114">
        <v>0</v>
      </c>
      <c r="I114" t="s">
        <v>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4.4000000000000004</v>
      </c>
      <c r="AE114">
        <v>480</v>
      </c>
      <c r="AF114">
        <v>12.142857142857141</v>
      </c>
      <c r="AG114">
        <v>11.606658866712859</v>
      </c>
      <c r="AH114">
        <v>31.5</v>
      </c>
      <c r="AI114">
        <f>9.24518369598289*1</f>
        <v>9.2451836959828899</v>
      </c>
      <c r="AJ114">
        <f>1.77327368268457*1</f>
        <v>1.7732736826845701</v>
      </c>
      <c r="AK114">
        <v>1</v>
      </c>
      <c r="AL114">
        <v>0</v>
      </c>
      <c r="AM114">
        <v>0</v>
      </c>
    </row>
    <row r="115" spans="1:39" hidden="1" x14ac:dyDescent="0.2">
      <c r="A115" t="s">
        <v>276</v>
      </c>
      <c r="B115" t="s">
        <v>277</v>
      </c>
      <c r="C115" t="s">
        <v>277</v>
      </c>
      <c r="D115" t="s">
        <v>6</v>
      </c>
      <c r="E115">
        <v>0</v>
      </c>
      <c r="F115">
        <v>0</v>
      </c>
      <c r="G115">
        <v>0</v>
      </c>
      <c r="H115">
        <v>1</v>
      </c>
      <c r="I115" t="s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8.5</v>
      </c>
      <c r="AE115">
        <v>482</v>
      </c>
      <c r="AF115">
        <v>26.72413793103448</v>
      </c>
      <c r="AG115">
        <v>22.940687793611382</v>
      </c>
      <c r="AH115">
        <v>39.023227510612848</v>
      </c>
      <c r="AI115">
        <f>17.0706900440979*1</f>
        <v>17.070690044097901</v>
      </c>
      <c r="AJ115">
        <f>3.20073553025235*1</f>
        <v>3.2007355302523499</v>
      </c>
      <c r="AK115">
        <v>1</v>
      </c>
      <c r="AL115">
        <v>0</v>
      </c>
      <c r="AM115">
        <v>0</v>
      </c>
    </row>
    <row r="116" spans="1:39" hidden="1" x14ac:dyDescent="0.2">
      <c r="A116" t="s">
        <v>62</v>
      </c>
      <c r="B116" t="s">
        <v>278</v>
      </c>
      <c r="C116" t="s">
        <v>279</v>
      </c>
      <c r="D116" t="s">
        <v>5</v>
      </c>
      <c r="E116">
        <v>0</v>
      </c>
      <c r="F116">
        <v>0</v>
      </c>
      <c r="G116">
        <v>1</v>
      </c>
      <c r="H116">
        <v>0</v>
      </c>
      <c r="I116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</v>
      </c>
      <c r="AE116">
        <v>483</v>
      </c>
      <c r="AF116">
        <v>12.17054263565892</v>
      </c>
      <c r="AG116">
        <v>9.7156948581386331</v>
      </c>
      <c r="AH116">
        <v>8.6077109869093142</v>
      </c>
      <c r="AI116">
        <f>2.80083854445002*1</f>
        <v>2.8008385444500199</v>
      </c>
      <c r="AJ116">
        <f>0.55853062048306*1</f>
        <v>0.55853062048306001</v>
      </c>
      <c r="AK116">
        <v>1</v>
      </c>
      <c r="AL116">
        <v>0</v>
      </c>
      <c r="AM116">
        <v>0</v>
      </c>
    </row>
    <row r="117" spans="1:39" hidden="1" x14ac:dyDescent="0.2">
      <c r="A117" t="s">
        <v>280</v>
      </c>
      <c r="B117" t="s">
        <v>281</v>
      </c>
      <c r="C117" t="s">
        <v>282</v>
      </c>
      <c r="D117" t="s">
        <v>5</v>
      </c>
      <c r="E117">
        <v>0</v>
      </c>
      <c r="F117">
        <v>0</v>
      </c>
      <c r="G117">
        <v>1</v>
      </c>
      <c r="H117">
        <v>0</v>
      </c>
      <c r="I117" t="s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</v>
      </c>
      <c r="AE117">
        <v>484</v>
      </c>
      <c r="AF117">
        <v>13.036809815950919</v>
      </c>
      <c r="AG117">
        <v>11.73829474456773</v>
      </c>
      <c r="AH117">
        <v>28.706521360360071</v>
      </c>
      <c r="AI117">
        <f>9.39920922119838*1</f>
        <v>9.3992092211983795</v>
      </c>
      <c r="AJ117">
        <f>2.03802763366738*1</f>
        <v>2.0380276336673799</v>
      </c>
      <c r="AK117">
        <v>1</v>
      </c>
      <c r="AL117">
        <v>0</v>
      </c>
      <c r="AM117">
        <v>0</v>
      </c>
    </row>
    <row r="118" spans="1:39" hidden="1" x14ac:dyDescent="0.2">
      <c r="A118" t="s">
        <v>283</v>
      </c>
      <c r="B118" t="s">
        <v>284</v>
      </c>
      <c r="C118" t="s">
        <v>284</v>
      </c>
      <c r="D118" t="s">
        <v>4</v>
      </c>
      <c r="E118">
        <v>0</v>
      </c>
      <c r="F118">
        <v>1</v>
      </c>
      <c r="G118">
        <v>0</v>
      </c>
      <c r="H118">
        <v>0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4.5</v>
      </c>
      <c r="AE118">
        <v>490</v>
      </c>
      <c r="AF118">
        <v>10.539731379217031</v>
      </c>
      <c r="AG118">
        <v>13.37755896480331</v>
      </c>
      <c r="AH118">
        <v>11.283766797836551</v>
      </c>
      <c r="AI118">
        <f>4.1222785150076*1</f>
        <v>4.1222785150075998</v>
      </c>
      <c r="AJ118">
        <f>0.751944973437425*1</f>
        <v>0.75194497343742495</v>
      </c>
      <c r="AK118">
        <v>1</v>
      </c>
      <c r="AL118">
        <v>0</v>
      </c>
      <c r="AM118">
        <v>0</v>
      </c>
    </row>
    <row r="119" spans="1:39" hidden="1" x14ac:dyDescent="0.2">
      <c r="A119" t="s">
        <v>285</v>
      </c>
      <c r="B119" t="s">
        <v>286</v>
      </c>
      <c r="C119" t="s">
        <v>286</v>
      </c>
      <c r="D119" t="s">
        <v>3</v>
      </c>
      <c r="E119">
        <v>1</v>
      </c>
      <c r="F119">
        <v>0</v>
      </c>
      <c r="G119">
        <v>0</v>
      </c>
      <c r="H119">
        <v>0</v>
      </c>
      <c r="I119" t="s">
        <v>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</v>
      </c>
      <c r="AE119">
        <v>494</v>
      </c>
      <c r="AF119">
        <v>20.50632911392406</v>
      </c>
      <c r="AG119">
        <v>22.01325998003632</v>
      </c>
      <c r="AH119">
        <v>16.84898563600137</v>
      </c>
      <c r="AI119">
        <f>11.9737242745301*1</f>
        <v>11.973724274530101</v>
      </c>
      <c r="AJ119">
        <f>2.46075928694428*1</f>
        <v>2.4607592869442798</v>
      </c>
      <c r="AK119">
        <v>1</v>
      </c>
      <c r="AL119">
        <v>0</v>
      </c>
      <c r="AM119">
        <v>0</v>
      </c>
    </row>
    <row r="120" spans="1:39" hidden="1" x14ac:dyDescent="0.2">
      <c r="A120" t="s">
        <v>287</v>
      </c>
      <c r="B120" t="s">
        <v>288</v>
      </c>
      <c r="C120" t="s">
        <v>288</v>
      </c>
      <c r="D120" t="s">
        <v>4</v>
      </c>
      <c r="E120">
        <v>0</v>
      </c>
      <c r="F120">
        <v>1</v>
      </c>
      <c r="G120">
        <v>0</v>
      </c>
      <c r="H120">
        <v>0</v>
      </c>
      <c r="I120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5.4</v>
      </c>
      <c r="AE120">
        <v>496</v>
      </c>
      <c r="AF120">
        <v>14.886767765631239</v>
      </c>
      <c r="AG120">
        <v>14.9767610758795</v>
      </c>
      <c r="AH120">
        <v>14.06499089625728</v>
      </c>
      <c r="AI120">
        <f>10.8737210435995*1</f>
        <v>10.873721043599501</v>
      </c>
      <c r="AJ120">
        <f>2.2751187642216*1</f>
        <v>2.2751187642216002</v>
      </c>
      <c r="AK120">
        <v>1</v>
      </c>
      <c r="AL120">
        <v>0</v>
      </c>
      <c r="AM120">
        <v>0</v>
      </c>
    </row>
    <row r="121" spans="1:39" x14ac:dyDescent="0.2">
      <c r="A121" t="s">
        <v>289</v>
      </c>
      <c r="B121" t="s">
        <v>290</v>
      </c>
      <c r="C121" t="s">
        <v>290</v>
      </c>
      <c r="D121" t="s">
        <v>4</v>
      </c>
      <c r="E121">
        <v>0</v>
      </c>
      <c r="F121">
        <v>1</v>
      </c>
      <c r="G121">
        <v>0</v>
      </c>
      <c r="H121">
        <v>0</v>
      </c>
      <c r="I121" t="s">
        <v>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4.8</v>
      </c>
      <c r="AE121">
        <v>506</v>
      </c>
      <c r="AF121">
        <v>17.277421405472278</v>
      </c>
      <c r="AG121">
        <v>14.64219777339863</v>
      </c>
      <c r="AH121">
        <v>22.788307053766889</v>
      </c>
      <c r="AI121">
        <f>14.4878715136563*0.75</f>
        <v>10.865903635242224</v>
      </c>
      <c r="AJ121">
        <f>3.40546440041803*0.75</f>
        <v>2.5540983003135227</v>
      </c>
      <c r="AK121">
        <v>0.75</v>
      </c>
      <c r="AL121">
        <v>1</v>
      </c>
      <c r="AM121">
        <v>1</v>
      </c>
    </row>
    <row r="122" spans="1:39" hidden="1" x14ac:dyDescent="0.2">
      <c r="A122" t="s">
        <v>291</v>
      </c>
      <c r="B122" t="s">
        <v>292</v>
      </c>
      <c r="C122" t="s">
        <v>292</v>
      </c>
      <c r="D122" t="s">
        <v>5</v>
      </c>
      <c r="E122">
        <v>0</v>
      </c>
      <c r="F122">
        <v>0</v>
      </c>
      <c r="G122">
        <v>1</v>
      </c>
      <c r="H122">
        <v>0</v>
      </c>
      <c r="I122" t="s">
        <v>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5</v>
      </c>
      <c r="AE122">
        <v>507</v>
      </c>
      <c r="AF122">
        <v>8.3688765242121033</v>
      </c>
      <c r="AG122">
        <v>7.9635745478037876</v>
      </c>
      <c r="AH122">
        <v>17.54666666666667</v>
      </c>
      <c r="AI122">
        <f>11.7246734599981*1</f>
        <v>11.724673459998099</v>
      </c>
      <c r="AJ122">
        <f>2.39548907312035*1</f>
        <v>2.3954890731203502</v>
      </c>
      <c r="AK122">
        <v>1</v>
      </c>
      <c r="AL122">
        <v>0</v>
      </c>
      <c r="AM122">
        <v>0</v>
      </c>
    </row>
    <row r="123" spans="1:39" hidden="1" x14ac:dyDescent="0.2">
      <c r="A123" t="s">
        <v>273</v>
      </c>
      <c r="B123" t="s">
        <v>293</v>
      </c>
      <c r="C123" t="s">
        <v>293</v>
      </c>
      <c r="D123" t="s">
        <v>5</v>
      </c>
      <c r="E123">
        <v>0</v>
      </c>
      <c r="F123">
        <v>0</v>
      </c>
      <c r="G123">
        <v>1</v>
      </c>
      <c r="H123">
        <v>0</v>
      </c>
      <c r="I123" t="s">
        <v>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5.2</v>
      </c>
      <c r="AE123">
        <v>516</v>
      </c>
      <c r="AF123">
        <v>14.133655467456229</v>
      </c>
      <c r="AG123">
        <v>15.983172548596469</v>
      </c>
      <c r="AH123">
        <v>18.518193959781481</v>
      </c>
      <c r="AI123">
        <f>10.8832268819776*1</f>
        <v>10.883226881977601</v>
      </c>
      <c r="AJ123">
        <f>2.05550946043867*1</f>
        <v>2.0555094604386701</v>
      </c>
      <c r="AK123">
        <v>1</v>
      </c>
      <c r="AL123">
        <v>0</v>
      </c>
      <c r="AM123">
        <v>0</v>
      </c>
    </row>
    <row r="124" spans="1:39" hidden="1" x14ac:dyDescent="0.2">
      <c r="A124" t="s">
        <v>294</v>
      </c>
      <c r="B124" t="s">
        <v>295</v>
      </c>
      <c r="C124" t="s">
        <v>295</v>
      </c>
      <c r="D124" t="s">
        <v>5</v>
      </c>
      <c r="E124">
        <v>0</v>
      </c>
      <c r="F124">
        <v>0</v>
      </c>
      <c r="G124">
        <v>1</v>
      </c>
      <c r="H124">
        <v>0</v>
      </c>
      <c r="I124" t="s">
        <v>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5.4</v>
      </c>
      <c r="AE124">
        <v>518</v>
      </c>
      <c r="AF124">
        <v>17.690900151798719</v>
      </c>
      <c r="AG124">
        <v>13.722645154851421</v>
      </c>
      <c r="AH124">
        <v>33.470873339948632</v>
      </c>
      <c r="AI124">
        <f>15.2534970539775*1</f>
        <v>15.253497053977499</v>
      </c>
      <c r="AJ124">
        <f>2.81574023533881*1</f>
        <v>2.8157402353388101</v>
      </c>
      <c r="AK124">
        <v>1</v>
      </c>
      <c r="AL124">
        <v>0</v>
      </c>
      <c r="AM124">
        <v>0</v>
      </c>
    </row>
    <row r="125" spans="1:39" hidden="1" x14ac:dyDescent="0.2">
      <c r="A125" t="s">
        <v>296</v>
      </c>
      <c r="B125" t="s">
        <v>297</v>
      </c>
      <c r="C125" t="s">
        <v>296</v>
      </c>
      <c r="D125" t="s">
        <v>4</v>
      </c>
      <c r="E125">
        <v>0</v>
      </c>
      <c r="F125">
        <v>1</v>
      </c>
      <c r="G125">
        <v>0</v>
      </c>
      <c r="H125">
        <v>0</v>
      </c>
      <c r="I125" t="s">
        <v>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4.5</v>
      </c>
      <c r="AE125">
        <v>520</v>
      </c>
      <c r="AF125">
        <v>11.86046511627907</v>
      </c>
      <c r="AG125">
        <v>12.375799385799199</v>
      </c>
      <c r="AH125">
        <v>19.657015097067919</v>
      </c>
      <c r="AI125">
        <f>17.4277138174505*1</f>
        <v>17.427713817450499</v>
      </c>
      <c r="AJ125">
        <f>3.72570249862142*1</f>
        <v>3.7257024986214198</v>
      </c>
      <c r="AK125">
        <v>1</v>
      </c>
      <c r="AL125">
        <v>0</v>
      </c>
      <c r="AM125">
        <v>0</v>
      </c>
    </row>
    <row r="126" spans="1:39" x14ac:dyDescent="0.2">
      <c r="A126" t="s">
        <v>257</v>
      </c>
      <c r="B126" t="s">
        <v>258</v>
      </c>
      <c r="C126" t="s">
        <v>259</v>
      </c>
      <c r="D126" t="s">
        <v>4</v>
      </c>
      <c r="E126">
        <v>0</v>
      </c>
      <c r="F126">
        <v>1</v>
      </c>
      <c r="G126">
        <v>0</v>
      </c>
      <c r="H126">
        <v>0</v>
      </c>
      <c r="I126" t="s">
        <v>24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5.2</v>
      </c>
      <c r="AE126">
        <v>444</v>
      </c>
      <c r="AF126">
        <v>17.142857142857139</v>
      </c>
      <c r="AG126">
        <v>16.31832331634358</v>
      </c>
      <c r="AH126">
        <v>11.691992016218229</v>
      </c>
      <c r="AI126">
        <f>12.3142814066507*1</f>
        <v>12.3142814066507</v>
      </c>
      <c r="AJ126">
        <f>2.2393789115849*1</f>
        <v>2.2393789115848999</v>
      </c>
      <c r="AK126">
        <v>1</v>
      </c>
      <c r="AL126">
        <v>1</v>
      </c>
      <c r="AM126">
        <v>1</v>
      </c>
    </row>
    <row r="127" spans="1:39" x14ac:dyDescent="0.2">
      <c r="A127" t="s">
        <v>220</v>
      </c>
      <c r="B127" t="s">
        <v>221</v>
      </c>
      <c r="C127" t="s">
        <v>221</v>
      </c>
      <c r="D127" t="s">
        <v>4</v>
      </c>
      <c r="E127">
        <v>0</v>
      </c>
      <c r="F127">
        <v>1</v>
      </c>
      <c r="G127">
        <v>0</v>
      </c>
      <c r="H127">
        <v>0</v>
      </c>
      <c r="I127" t="s">
        <v>22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5.9</v>
      </c>
      <c r="AE127">
        <v>402</v>
      </c>
      <c r="AF127">
        <v>19.531340947934432</v>
      </c>
      <c r="AG127">
        <v>26.048013770211131</v>
      </c>
      <c r="AH127">
        <v>27.292014142123879</v>
      </c>
      <c r="AI127">
        <f>11.2221876762546*1</f>
        <v>11.222187676254601</v>
      </c>
      <c r="AJ127">
        <f>2.0915291196851*1</f>
        <v>2.0915291196851</v>
      </c>
      <c r="AK127">
        <v>1</v>
      </c>
      <c r="AL127">
        <v>1</v>
      </c>
      <c r="AM127">
        <v>1</v>
      </c>
    </row>
    <row r="128" spans="1:39" hidden="1" x14ac:dyDescent="0.2">
      <c r="A128" t="s">
        <v>70</v>
      </c>
      <c r="B128" t="s">
        <v>302</v>
      </c>
      <c r="C128" t="s">
        <v>302</v>
      </c>
      <c r="D128" t="s">
        <v>5</v>
      </c>
      <c r="E128">
        <v>0</v>
      </c>
      <c r="F128">
        <v>0</v>
      </c>
      <c r="G128">
        <v>1</v>
      </c>
      <c r="H128">
        <v>0</v>
      </c>
      <c r="I128" t="s">
        <v>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4.9000000000000004</v>
      </c>
      <c r="AE128">
        <v>532</v>
      </c>
      <c r="AF128">
        <v>9.8611111111111089</v>
      </c>
      <c r="AG128">
        <v>6.9242454777315192</v>
      </c>
      <c r="AH128">
        <v>14.238888888888891</v>
      </c>
      <c r="AI128">
        <f>4.36124874847112*1</f>
        <v>4.3612487484711204</v>
      </c>
      <c r="AJ128">
        <f>0.96258639636821*1</f>
        <v>0.96258639636820997</v>
      </c>
      <c r="AK128">
        <v>1</v>
      </c>
      <c r="AL128">
        <v>0</v>
      </c>
      <c r="AM128">
        <v>0</v>
      </c>
    </row>
    <row r="129" spans="1:39" hidden="1" x14ac:dyDescent="0.2">
      <c r="A129" t="s">
        <v>303</v>
      </c>
      <c r="B129" t="s">
        <v>304</v>
      </c>
      <c r="C129" t="s">
        <v>304</v>
      </c>
      <c r="D129" t="s">
        <v>3</v>
      </c>
      <c r="E129">
        <v>1</v>
      </c>
      <c r="F129">
        <v>0</v>
      </c>
      <c r="G129">
        <v>0</v>
      </c>
      <c r="H129">
        <v>0</v>
      </c>
      <c r="I129" t="s">
        <v>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4.4000000000000004</v>
      </c>
      <c r="AE129">
        <v>538</v>
      </c>
      <c r="AF129">
        <v>17.203469152035471</v>
      </c>
      <c r="AG129">
        <v>16.9218456089163</v>
      </c>
      <c r="AH129">
        <v>24.708213089390021</v>
      </c>
      <c r="AI129">
        <f>11.7784558148415*1</f>
        <v>11.7784558148415</v>
      </c>
      <c r="AJ129">
        <f>2.19470595421664*1</f>
        <v>2.1947059542166398</v>
      </c>
      <c r="AK129">
        <v>1</v>
      </c>
      <c r="AL129">
        <v>0</v>
      </c>
      <c r="AM129">
        <v>0</v>
      </c>
    </row>
    <row r="130" spans="1:39" hidden="1" x14ac:dyDescent="0.2">
      <c r="A130" t="s">
        <v>305</v>
      </c>
      <c r="B130" t="s">
        <v>306</v>
      </c>
      <c r="C130" t="s">
        <v>306</v>
      </c>
      <c r="D130" t="s">
        <v>6</v>
      </c>
      <c r="E130">
        <v>0</v>
      </c>
      <c r="F130">
        <v>0</v>
      </c>
      <c r="G130">
        <v>0</v>
      </c>
      <c r="H130">
        <v>1</v>
      </c>
      <c r="I130" t="s">
        <v>27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5</v>
      </c>
      <c r="AE130">
        <v>539</v>
      </c>
      <c r="AF130">
        <v>11.93877551020408</v>
      </c>
      <c r="AG130">
        <v>13.31179806147289</v>
      </c>
      <c r="AH130">
        <v>9.7360461760461732</v>
      </c>
      <c r="AI130">
        <f>12.1402783144897*1</f>
        <v>12.1402783144897</v>
      </c>
      <c r="AJ130">
        <f>2.48294236338873*1</f>
        <v>2.4829423633887302</v>
      </c>
      <c r="AK130">
        <v>1</v>
      </c>
      <c r="AL130">
        <v>0</v>
      </c>
      <c r="AM130">
        <v>0</v>
      </c>
    </row>
    <row r="131" spans="1:39" hidden="1" x14ac:dyDescent="0.2">
      <c r="A131" t="s">
        <v>307</v>
      </c>
      <c r="B131" t="s">
        <v>308</v>
      </c>
      <c r="C131" t="s">
        <v>308</v>
      </c>
      <c r="D131" t="s">
        <v>4</v>
      </c>
      <c r="E131">
        <v>0</v>
      </c>
      <c r="F131">
        <v>1</v>
      </c>
      <c r="G131">
        <v>0</v>
      </c>
      <c r="H131">
        <v>0</v>
      </c>
      <c r="I131" t="s">
        <v>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4.4000000000000004</v>
      </c>
      <c r="AE131">
        <v>568</v>
      </c>
      <c r="AF131">
        <v>8.2636751015420611</v>
      </c>
      <c r="AG131">
        <v>17.981552396454841</v>
      </c>
      <c r="AH131">
        <v>17.219053653294871</v>
      </c>
      <c r="AI131">
        <f>13.4537170449866*1</f>
        <v>13.4537170449866</v>
      </c>
      <c r="AJ131">
        <f>2.18000439194313*1</f>
        <v>2.1800043919431298</v>
      </c>
      <c r="AK131">
        <v>1</v>
      </c>
      <c r="AL131">
        <v>0</v>
      </c>
      <c r="AM131">
        <v>0</v>
      </c>
    </row>
    <row r="132" spans="1:39" hidden="1" x14ac:dyDescent="0.2">
      <c r="A132" t="s">
        <v>309</v>
      </c>
      <c r="B132" t="s">
        <v>310</v>
      </c>
      <c r="C132" t="s">
        <v>310</v>
      </c>
      <c r="D132" t="s">
        <v>5</v>
      </c>
      <c r="E132">
        <v>0</v>
      </c>
      <c r="F132">
        <v>0</v>
      </c>
      <c r="G132">
        <v>1</v>
      </c>
      <c r="H132">
        <v>0</v>
      </c>
      <c r="I132" t="s">
        <v>28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4.9000000000000004</v>
      </c>
      <c r="AE132">
        <v>580</v>
      </c>
      <c r="AF132">
        <v>9.4879518072289155</v>
      </c>
      <c r="AG132">
        <v>8.8300667072208334</v>
      </c>
      <c r="AH132">
        <v>6.9022672937577143</v>
      </c>
      <c r="AI132">
        <f>11.6689483701329*1</f>
        <v>11.668948370132901</v>
      </c>
      <c r="AJ132">
        <f>2.32978520494084*1</f>
        <v>2.3297852049408401</v>
      </c>
      <c r="AK132">
        <v>1</v>
      </c>
      <c r="AL132">
        <v>0</v>
      </c>
      <c r="AM132">
        <v>0</v>
      </c>
    </row>
    <row r="133" spans="1:39" hidden="1" x14ac:dyDescent="0.2">
      <c r="A133" t="s">
        <v>311</v>
      </c>
      <c r="B133" t="s">
        <v>312</v>
      </c>
      <c r="C133" t="s">
        <v>312</v>
      </c>
      <c r="D133" t="s">
        <v>5</v>
      </c>
      <c r="E133">
        <v>0</v>
      </c>
      <c r="F133">
        <v>0</v>
      </c>
      <c r="G133">
        <v>1</v>
      </c>
      <c r="H133">
        <v>0</v>
      </c>
      <c r="I133" t="s">
        <v>28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6.8</v>
      </c>
      <c r="AE133">
        <v>589</v>
      </c>
      <c r="AF133">
        <v>17.83950617283951</v>
      </c>
      <c r="AG133">
        <v>15.123439200513729</v>
      </c>
      <c r="AH133">
        <v>35.658216726084383</v>
      </c>
      <c r="AI133">
        <f>24.212937939108*1</f>
        <v>24.212937939107999</v>
      </c>
      <c r="AJ133">
        <f>4.80199205196184*1</f>
        <v>4.8019920519618404</v>
      </c>
      <c r="AK133">
        <v>1</v>
      </c>
      <c r="AL133">
        <v>0</v>
      </c>
      <c r="AM133">
        <v>0</v>
      </c>
    </row>
    <row r="134" spans="1:39" hidden="1" x14ac:dyDescent="0.2">
      <c r="A134" t="s">
        <v>313</v>
      </c>
      <c r="B134" t="s">
        <v>314</v>
      </c>
      <c r="C134" t="s">
        <v>314</v>
      </c>
      <c r="D134" t="s">
        <v>5</v>
      </c>
      <c r="E134">
        <v>0</v>
      </c>
      <c r="F134">
        <v>0</v>
      </c>
      <c r="G134">
        <v>1</v>
      </c>
      <c r="H134">
        <v>0</v>
      </c>
      <c r="I134" t="s">
        <v>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6.3</v>
      </c>
      <c r="AE134">
        <v>590</v>
      </c>
      <c r="AF134">
        <v>19.269662921348321</v>
      </c>
      <c r="AG134">
        <v>22.56855621558152</v>
      </c>
      <c r="AH134">
        <v>9.2285714285714295</v>
      </c>
      <c r="AI134">
        <f>7.2259895801221*1</f>
        <v>7.2259895801220999</v>
      </c>
      <c r="AJ134">
        <f>1.52214637050147*1</f>
        <v>1.5221463705014699</v>
      </c>
      <c r="AK134">
        <v>1</v>
      </c>
      <c r="AL134">
        <v>0</v>
      </c>
      <c r="AM134">
        <v>0</v>
      </c>
    </row>
    <row r="135" spans="1:39" hidden="1" x14ac:dyDescent="0.2">
      <c r="A135" t="s">
        <v>159</v>
      </c>
      <c r="B135" t="s">
        <v>315</v>
      </c>
      <c r="C135" t="s">
        <v>315</v>
      </c>
      <c r="D135" t="s">
        <v>5</v>
      </c>
      <c r="E135">
        <v>0</v>
      </c>
      <c r="F135">
        <v>0</v>
      </c>
      <c r="G135">
        <v>1</v>
      </c>
      <c r="H135">
        <v>0</v>
      </c>
      <c r="I135" t="s">
        <v>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7.6</v>
      </c>
      <c r="AE135">
        <v>592</v>
      </c>
      <c r="AF135">
        <v>20.890027748788501</v>
      </c>
      <c r="AG135">
        <v>22.542870656152569</v>
      </c>
      <c r="AH135">
        <v>19.431198817311142</v>
      </c>
      <c r="AI135">
        <f>17.6301100327551*1</f>
        <v>17.630110032755098</v>
      </c>
      <c r="AJ135">
        <f>3.59149492794422*1</f>
        <v>3.5914949279442201</v>
      </c>
      <c r="AK135">
        <v>1</v>
      </c>
      <c r="AL135">
        <v>0</v>
      </c>
      <c r="AM135">
        <v>0</v>
      </c>
    </row>
    <row r="136" spans="1:39" hidden="1" x14ac:dyDescent="0.2">
      <c r="A136" t="s">
        <v>130</v>
      </c>
      <c r="B136" t="s">
        <v>316</v>
      </c>
      <c r="C136" t="s">
        <v>317</v>
      </c>
      <c r="D136" t="s">
        <v>4</v>
      </c>
      <c r="E136">
        <v>0</v>
      </c>
      <c r="F136">
        <v>1</v>
      </c>
      <c r="G136">
        <v>0</v>
      </c>
      <c r="H136">
        <v>0</v>
      </c>
      <c r="I136" t="s">
        <v>28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5.5</v>
      </c>
      <c r="AE136">
        <v>593</v>
      </c>
      <c r="AF136">
        <v>18.644067796610159</v>
      </c>
      <c r="AG136">
        <v>16.751399489315109</v>
      </c>
      <c r="AH136">
        <v>11.36</v>
      </c>
      <c r="AI136">
        <f>5.06532965750217*1</f>
        <v>5.0653296575021702</v>
      </c>
      <c r="AJ136">
        <f>0.96619929753976*1</f>
        <v>0.96619929753975997</v>
      </c>
      <c r="AK136">
        <v>1</v>
      </c>
      <c r="AL136">
        <v>0</v>
      </c>
      <c r="AM136">
        <v>0</v>
      </c>
    </row>
    <row r="137" spans="1:39" hidden="1" x14ac:dyDescent="0.2">
      <c r="A137" t="s">
        <v>318</v>
      </c>
      <c r="B137" t="s">
        <v>319</v>
      </c>
      <c r="C137" t="s">
        <v>318</v>
      </c>
      <c r="D137" t="s">
        <v>5</v>
      </c>
      <c r="E137">
        <v>0</v>
      </c>
      <c r="F137">
        <v>0</v>
      </c>
      <c r="G137">
        <v>1</v>
      </c>
      <c r="H137">
        <v>0</v>
      </c>
      <c r="I137" t="s">
        <v>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9.9</v>
      </c>
      <c r="AE137">
        <v>600</v>
      </c>
      <c r="AF137">
        <v>26.968869211255701</v>
      </c>
      <c r="AG137">
        <v>31.585243135269831</v>
      </c>
      <c r="AH137">
        <v>27.110357517240551</v>
      </c>
      <c r="AI137">
        <f>24.8924991339569*1</f>
        <v>24.8924991339569</v>
      </c>
      <c r="AJ137">
        <f>4.96166904035868*1</f>
        <v>4.9616690403586796</v>
      </c>
      <c r="AK137">
        <v>1</v>
      </c>
      <c r="AL137">
        <v>0</v>
      </c>
      <c r="AM137">
        <v>0</v>
      </c>
    </row>
    <row r="138" spans="1:39" hidden="1" x14ac:dyDescent="0.2">
      <c r="A138" t="s">
        <v>320</v>
      </c>
      <c r="B138" t="s">
        <v>321</v>
      </c>
      <c r="C138" t="s">
        <v>321</v>
      </c>
      <c r="D138" t="s">
        <v>4</v>
      </c>
      <c r="E138">
        <v>0</v>
      </c>
      <c r="F138">
        <v>1</v>
      </c>
      <c r="G138">
        <v>0</v>
      </c>
      <c r="H138">
        <v>0</v>
      </c>
      <c r="I138" t="s">
        <v>28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4.9000000000000004</v>
      </c>
      <c r="AE138">
        <v>602</v>
      </c>
      <c r="AF138">
        <v>13.07692307692308</v>
      </c>
      <c r="AG138">
        <v>12.97298002152127</v>
      </c>
      <c r="AH138">
        <v>9.0974483430458886</v>
      </c>
      <c r="AI138">
        <f>4.71940664398374*1</f>
        <v>4.7194066439837403</v>
      </c>
      <c r="AJ138">
        <f>1.14561101372989*1</f>
        <v>1.14561101372989</v>
      </c>
      <c r="AK138">
        <v>1</v>
      </c>
      <c r="AL138">
        <v>0</v>
      </c>
      <c r="AM138">
        <v>0</v>
      </c>
    </row>
    <row r="139" spans="1:39" hidden="1" x14ac:dyDescent="0.2">
      <c r="A139" t="s">
        <v>322</v>
      </c>
      <c r="B139" t="s">
        <v>323</v>
      </c>
      <c r="C139" t="s">
        <v>324</v>
      </c>
      <c r="D139" t="s">
        <v>4</v>
      </c>
      <c r="E139">
        <v>0</v>
      </c>
      <c r="F139">
        <v>1</v>
      </c>
      <c r="G139">
        <v>0</v>
      </c>
      <c r="H139">
        <v>0</v>
      </c>
      <c r="I139" t="s">
        <v>28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4.5999999999999996</v>
      </c>
      <c r="AE139">
        <v>603</v>
      </c>
      <c r="AF139">
        <v>14.54545454545454</v>
      </c>
      <c r="AG139">
        <v>15.837216529226049</v>
      </c>
      <c r="AH139">
        <v>10.535850102278671</v>
      </c>
      <c r="AI139">
        <f>0*0</f>
        <v>0</v>
      </c>
      <c r="AJ139">
        <f>7.82930447055391*0</f>
        <v>0</v>
      </c>
      <c r="AK139">
        <v>0</v>
      </c>
      <c r="AL139">
        <v>0</v>
      </c>
      <c r="AM139">
        <v>0</v>
      </c>
    </row>
    <row r="140" spans="1:39" hidden="1" x14ac:dyDescent="0.2">
      <c r="A140" t="s">
        <v>325</v>
      </c>
      <c r="B140" t="s">
        <v>326</v>
      </c>
      <c r="C140" t="s">
        <v>326</v>
      </c>
      <c r="D140" t="s">
        <v>6</v>
      </c>
      <c r="E140">
        <v>0</v>
      </c>
      <c r="F140">
        <v>0</v>
      </c>
      <c r="G140">
        <v>0</v>
      </c>
      <c r="H140">
        <v>1</v>
      </c>
      <c r="I140" t="s">
        <v>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5.4</v>
      </c>
      <c r="AE140">
        <v>613</v>
      </c>
      <c r="AF140">
        <v>17.89189189189187</v>
      </c>
      <c r="AG140">
        <v>19.22267504156607</v>
      </c>
      <c r="AH140">
        <v>8.3853132366182788</v>
      </c>
      <c r="AI140">
        <f>14.2567987046322*1</f>
        <v>14.2567987046322</v>
      </c>
      <c r="AJ140">
        <f>2.8303823841416*1</f>
        <v>2.8303823841416</v>
      </c>
      <c r="AK140">
        <v>1</v>
      </c>
      <c r="AL140">
        <v>0</v>
      </c>
      <c r="AM140">
        <v>0</v>
      </c>
    </row>
    <row r="141" spans="1:39" hidden="1" x14ac:dyDescent="0.2">
      <c r="A141" t="s">
        <v>327</v>
      </c>
      <c r="B141" t="s">
        <v>328</v>
      </c>
      <c r="C141" t="s">
        <v>328</v>
      </c>
      <c r="D141" t="s">
        <v>5</v>
      </c>
      <c r="E141">
        <v>0</v>
      </c>
      <c r="F141">
        <v>0</v>
      </c>
      <c r="G141">
        <v>1</v>
      </c>
      <c r="H141">
        <v>0</v>
      </c>
      <c r="I141" t="s">
        <v>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7.5</v>
      </c>
      <c r="AE141">
        <v>615</v>
      </c>
      <c r="AF141">
        <v>23.564752381364961</v>
      </c>
      <c r="AG141">
        <v>22.395172857915689</v>
      </c>
      <c r="AH141">
        <v>16.468429345876238</v>
      </c>
      <c r="AI141">
        <f>10.8503804834083*1</f>
        <v>10.8503804834083</v>
      </c>
      <c r="AJ141">
        <f>2.17885711791606*1</f>
        <v>2.1788571179160598</v>
      </c>
      <c r="AK141">
        <v>1</v>
      </c>
      <c r="AL141">
        <v>0</v>
      </c>
      <c r="AM141">
        <v>0</v>
      </c>
    </row>
    <row r="142" spans="1:39" hidden="1" x14ac:dyDescent="0.2">
      <c r="A142" t="s">
        <v>329</v>
      </c>
      <c r="B142" t="s">
        <v>330</v>
      </c>
      <c r="C142" t="s">
        <v>330</v>
      </c>
      <c r="D142" t="s">
        <v>4</v>
      </c>
      <c r="E142">
        <v>0</v>
      </c>
      <c r="F142">
        <v>1</v>
      </c>
      <c r="G142">
        <v>0</v>
      </c>
      <c r="H142">
        <v>0</v>
      </c>
      <c r="I142" t="s">
        <v>29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4.5</v>
      </c>
      <c r="AE142">
        <v>623</v>
      </c>
      <c r="AF142">
        <v>14.22222222222222</v>
      </c>
      <c r="AG142">
        <v>16.771753722243041</v>
      </c>
      <c r="AH142">
        <v>8.7562111901186732</v>
      </c>
      <c r="AI142">
        <f>2.94910897986975*1</f>
        <v>2.9491089798697501</v>
      </c>
      <c r="AJ142">
        <f>0.682587160830522*1</f>
        <v>0.68258716083052196</v>
      </c>
      <c r="AK142">
        <v>1</v>
      </c>
      <c r="AL142">
        <v>0</v>
      </c>
      <c r="AM142">
        <v>0</v>
      </c>
    </row>
    <row r="143" spans="1:39" hidden="1" x14ac:dyDescent="0.2">
      <c r="A143" t="s">
        <v>331</v>
      </c>
      <c r="B143" t="s">
        <v>332</v>
      </c>
      <c r="C143" t="s">
        <v>332</v>
      </c>
      <c r="D143" t="s">
        <v>5</v>
      </c>
      <c r="E143">
        <v>0</v>
      </c>
      <c r="F143">
        <v>0</v>
      </c>
      <c r="G143">
        <v>1</v>
      </c>
      <c r="H143">
        <v>0</v>
      </c>
      <c r="I143" t="s">
        <v>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6.2</v>
      </c>
      <c r="AE143">
        <v>624</v>
      </c>
      <c r="AF143">
        <v>18.92989137747746</v>
      </c>
      <c r="AG143">
        <v>27.88269811033717</v>
      </c>
      <c r="AH143">
        <v>18.155359866672161</v>
      </c>
      <c r="AI143">
        <f>14.3886581352408*1</f>
        <v>14.388658135240799</v>
      </c>
      <c r="AJ143">
        <f>2.68074016098836*1</f>
        <v>2.6807401609883601</v>
      </c>
      <c r="AK143">
        <v>1</v>
      </c>
      <c r="AL143">
        <v>0</v>
      </c>
      <c r="AM143">
        <v>0</v>
      </c>
    </row>
    <row r="144" spans="1:39" hidden="1" x14ac:dyDescent="0.2">
      <c r="A144" t="s">
        <v>57</v>
      </c>
      <c r="B144" t="s">
        <v>333</v>
      </c>
      <c r="C144" t="s">
        <v>334</v>
      </c>
      <c r="D144" t="s">
        <v>5</v>
      </c>
      <c r="E144">
        <v>0</v>
      </c>
      <c r="F144">
        <v>0</v>
      </c>
      <c r="G144">
        <v>1</v>
      </c>
      <c r="H144">
        <v>0</v>
      </c>
      <c r="I144" t="s">
        <v>29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5.8</v>
      </c>
      <c r="AE144">
        <v>626</v>
      </c>
      <c r="AF144">
        <v>16.651814030166111</v>
      </c>
      <c r="AG144">
        <v>18.88211674510266</v>
      </c>
      <c r="AH144">
        <v>10.56</v>
      </c>
      <c r="AI144">
        <f>5.44726751370651*1</f>
        <v>5.4472675137065103</v>
      </c>
      <c r="AJ144">
        <f>1.18507440473277*1</f>
        <v>1.1850744047327699</v>
      </c>
      <c r="AK144">
        <v>1</v>
      </c>
      <c r="AL144">
        <v>0</v>
      </c>
      <c r="AM144">
        <v>0</v>
      </c>
    </row>
    <row r="145" spans="1:39" hidden="1" x14ac:dyDescent="0.2">
      <c r="A145" t="s">
        <v>335</v>
      </c>
      <c r="B145" t="s">
        <v>336</v>
      </c>
      <c r="C145" t="s">
        <v>336</v>
      </c>
      <c r="D145" t="s">
        <v>5</v>
      </c>
      <c r="E145">
        <v>0</v>
      </c>
      <c r="F145">
        <v>0</v>
      </c>
      <c r="G145">
        <v>1</v>
      </c>
      <c r="H145">
        <v>0</v>
      </c>
      <c r="I145" t="s">
        <v>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4.9000000000000004</v>
      </c>
      <c r="AE145">
        <v>629</v>
      </c>
      <c r="AF145">
        <v>15.74468085106383</v>
      </c>
      <c r="AG145">
        <v>13.656227721447539</v>
      </c>
      <c r="AH145">
        <v>10.16</v>
      </c>
      <c r="AI145">
        <f>7.0106243791163*1</f>
        <v>7.0106243791163001</v>
      </c>
      <c r="AJ145">
        <f>1.58112493515602*1</f>
        <v>1.5811249351560199</v>
      </c>
      <c r="AK145">
        <v>1</v>
      </c>
      <c r="AL145">
        <v>0</v>
      </c>
      <c r="AM145">
        <v>0</v>
      </c>
    </row>
    <row r="146" spans="1:39" hidden="1" x14ac:dyDescent="0.2">
      <c r="A146" t="s">
        <v>337</v>
      </c>
      <c r="B146" t="s">
        <v>338</v>
      </c>
      <c r="C146" t="s">
        <v>338</v>
      </c>
      <c r="D146" t="s">
        <v>4</v>
      </c>
      <c r="E146">
        <v>0</v>
      </c>
      <c r="F146">
        <v>1</v>
      </c>
      <c r="G146">
        <v>0</v>
      </c>
      <c r="H146">
        <v>0</v>
      </c>
      <c r="I146" t="s">
        <v>30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4.7</v>
      </c>
      <c r="AE146">
        <v>640</v>
      </c>
      <c r="AF146">
        <v>13.2025332009436</v>
      </c>
      <c r="AG146">
        <v>9.508966530005921</v>
      </c>
      <c r="AH146">
        <v>28.722222222222221</v>
      </c>
      <c r="AI146">
        <f>21.6963562339621*1</f>
        <v>21.696356233962099</v>
      </c>
      <c r="AJ146">
        <f>3.64429417394212*1</f>
        <v>3.6442941739421202</v>
      </c>
      <c r="AK146">
        <v>1</v>
      </c>
      <c r="AL146">
        <v>0</v>
      </c>
      <c r="AM146">
        <v>0</v>
      </c>
    </row>
    <row r="147" spans="1:39" x14ac:dyDescent="0.2">
      <c r="A147" t="s">
        <v>203</v>
      </c>
      <c r="B147" t="s">
        <v>204</v>
      </c>
      <c r="C147" t="s">
        <v>204</v>
      </c>
      <c r="D147" t="s">
        <v>4</v>
      </c>
      <c r="E147">
        <v>0</v>
      </c>
      <c r="F147">
        <v>1</v>
      </c>
      <c r="G147">
        <v>0</v>
      </c>
      <c r="H147">
        <v>0</v>
      </c>
      <c r="I147" t="s">
        <v>22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</v>
      </c>
      <c r="AE147">
        <v>379</v>
      </c>
      <c r="AF147">
        <v>24.885995615837171</v>
      </c>
      <c r="AG147">
        <v>29.890333814648159</v>
      </c>
      <c r="AH147">
        <v>12.641380795827599</v>
      </c>
      <c r="AI147">
        <f>3.3131421336633*0.25</f>
        <v>0.828285533415825</v>
      </c>
      <c r="AJ147">
        <f>2.44990701601687*0.25</f>
        <v>0.61247675400421753</v>
      </c>
      <c r="AK147">
        <v>0.25</v>
      </c>
      <c r="AL147">
        <v>1</v>
      </c>
      <c r="AM147">
        <v>1</v>
      </c>
    </row>
    <row r="148" spans="1:39" hidden="1" x14ac:dyDescent="0.2">
      <c r="A148" t="s">
        <v>342</v>
      </c>
      <c r="B148" t="s">
        <v>343</v>
      </c>
      <c r="C148" t="s">
        <v>344</v>
      </c>
      <c r="D148" t="s">
        <v>5</v>
      </c>
      <c r="E148">
        <v>0</v>
      </c>
      <c r="F148">
        <v>0</v>
      </c>
      <c r="G148">
        <v>1</v>
      </c>
      <c r="H148">
        <v>0</v>
      </c>
      <c r="I148" t="s">
        <v>30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4.9000000000000004</v>
      </c>
      <c r="AE148">
        <v>660</v>
      </c>
      <c r="AF148">
        <v>10.90909090909091</v>
      </c>
      <c r="AG148">
        <v>8.3699827541790608</v>
      </c>
      <c r="AH148">
        <v>12.035756819461589</v>
      </c>
      <c r="AI148">
        <f>10.1011629628325*1</f>
        <v>10.1011629628325</v>
      </c>
      <c r="AJ148">
        <f>2.17229839334443*1</f>
        <v>2.17229839334443</v>
      </c>
      <c r="AK148">
        <v>1</v>
      </c>
      <c r="AL148">
        <v>0</v>
      </c>
      <c r="AM148">
        <v>0</v>
      </c>
    </row>
    <row r="149" spans="1:39" hidden="1" x14ac:dyDescent="0.2">
      <c r="A149" t="s">
        <v>345</v>
      </c>
      <c r="B149" t="s">
        <v>346</v>
      </c>
      <c r="C149" t="s">
        <v>347</v>
      </c>
      <c r="D149" t="s">
        <v>5</v>
      </c>
      <c r="E149">
        <v>0</v>
      </c>
      <c r="F149">
        <v>0</v>
      </c>
      <c r="G149">
        <v>1</v>
      </c>
      <c r="H149">
        <v>0</v>
      </c>
      <c r="I149" t="s">
        <v>30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5</v>
      </c>
      <c r="AE149">
        <v>664</v>
      </c>
      <c r="AF149">
        <v>11.63636363636363</v>
      </c>
      <c r="AG149">
        <v>10.13513050958241</v>
      </c>
      <c r="AH149">
        <v>14.9120284597577</v>
      </c>
      <c r="AI149">
        <f>13.8716695292714*1</f>
        <v>13.871669529271401</v>
      </c>
      <c r="AJ149">
        <f>2.61603246445366*1</f>
        <v>2.6160324644536601</v>
      </c>
      <c r="AK149">
        <v>1</v>
      </c>
      <c r="AL149">
        <v>0</v>
      </c>
      <c r="AM149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Corridore</cp:lastModifiedBy>
  <dcterms:created xsi:type="dcterms:W3CDTF">2024-11-22T21:52:12Z</dcterms:created>
  <dcterms:modified xsi:type="dcterms:W3CDTF">2024-11-22T21:55:27Z</dcterms:modified>
</cp:coreProperties>
</file>