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2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orridog/Documents/FPL-predictor/Predictions/2024-25/"/>
    </mc:Choice>
  </mc:AlternateContent>
  <xr:revisionPtr revIDLastSave="0" documentId="13_ncr:1_{E654275C-F04D-2E49-AE5C-03917F15612D}" xr6:coauthVersionLast="47" xr6:coauthVersionMax="47" xr10:uidLastSave="{00000000-0000-0000-0000-000000000000}"/>
  <bookViews>
    <workbookView xWindow="240" yWindow="760" windowWidth="20420" windowHeight="176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184" i="1" l="1"/>
  <c r="AH184" i="1"/>
  <c r="AI183" i="1"/>
  <c r="AH183" i="1"/>
  <c r="AI182" i="1"/>
  <c r="AH182" i="1"/>
  <c r="AI181" i="1"/>
  <c r="AH181" i="1"/>
  <c r="AI180" i="1"/>
  <c r="AH180" i="1"/>
  <c r="AI179" i="1"/>
  <c r="AH179" i="1"/>
  <c r="AI178" i="1"/>
  <c r="AH178" i="1"/>
  <c r="AI107" i="1"/>
  <c r="AH107" i="1"/>
  <c r="AI176" i="1"/>
  <c r="AH176" i="1"/>
  <c r="AI175" i="1"/>
  <c r="AH175" i="1"/>
  <c r="AI174" i="1"/>
  <c r="AH174" i="1"/>
  <c r="AI173" i="1"/>
  <c r="AH173" i="1"/>
  <c r="AI172" i="1"/>
  <c r="AH172" i="1"/>
  <c r="AI171" i="1"/>
  <c r="AH171" i="1"/>
  <c r="AI170" i="1"/>
  <c r="AH170" i="1"/>
  <c r="AI169" i="1"/>
  <c r="AH169" i="1"/>
  <c r="AI168" i="1"/>
  <c r="AH168" i="1"/>
  <c r="AI167" i="1"/>
  <c r="AH167" i="1"/>
  <c r="AI166" i="1"/>
  <c r="AH166" i="1"/>
  <c r="AI165" i="1"/>
  <c r="AH165" i="1"/>
  <c r="AI164" i="1"/>
  <c r="AH164" i="1"/>
  <c r="AI163" i="1"/>
  <c r="AH163" i="1"/>
  <c r="AI162" i="1"/>
  <c r="AH162" i="1"/>
  <c r="AI161" i="1"/>
  <c r="AH161" i="1"/>
  <c r="AI160" i="1"/>
  <c r="AH160" i="1"/>
  <c r="AI159" i="1"/>
  <c r="AH159" i="1"/>
  <c r="AI158" i="1"/>
  <c r="AH158" i="1"/>
  <c r="AI157" i="1"/>
  <c r="AH157" i="1"/>
  <c r="AI156" i="1"/>
  <c r="AH156" i="1"/>
  <c r="AI155" i="1"/>
  <c r="AH155" i="1"/>
  <c r="AI154" i="1"/>
  <c r="AH154" i="1"/>
  <c r="AI153" i="1"/>
  <c r="AH153" i="1"/>
  <c r="AI152" i="1"/>
  <c r="AH152" i="1"/>
  <c r="AI76" i="1"/>
  <c r="AH76" i="1"/>
  <c r="AI150" i="1"/>
  <c r="AH150" i="1"/>
  <c r="AI149" i="1"/>
  <c r="AH149" i="1"/>
  <c r="AI133" i="1"/>
  <c r="AH133" i="1"/>
  <c r="AI147" i="1"/>
  <c r="AH147" i="1"/>
  <c r="AI146" i="1"/>
  <c r="AH146" i="1"/>
  <c r="AI145" i="1"/>
  <c r="AH145" i="1"/>
  <c r="AI144" i="1"/>
  <c r="AH144" i="1"/>
  <c r="AI143" i="1"/>
  <c r="AH143" i="1"/>
  <c r="AI142" i="1"/>
  <c r="AH142" i="1"/>
  <c r="AI134" i="1"/>
  <c r="AH134" i="1"/>
  <c r="AI140" i="1"/>
  <c r="AH140" i="1"/>
  <c r="AI139" i="1"/>
  <c r="AH139" i="1"/>
  <c r="AI138" i="1"/>
  <c r="AH138" i="1"/>
  <c r="AI137" i="1"/>
  <c r="AH137" i="1"/>
  <c r="AI136" i="1"/>
  <c r="AH136" i="1"/>
  <c r="AI135" i="1"/>
  <c r="AH135" i="1"/>
  <c r="AI89" i="1"/>
  <c r="AH89" i="1"/>
  <c r="AI24" i="1"/>
  <c r="AH24" i="1"/>
  <c r="AI132" i="1"/>
  <c r="AH132" i="1"/>
  <c r="AI131" i="1"/>
  <c r="AH131" i="1"/>
  <c r="AI130" i="1"/>
  <c r="AH130" i="1"/>
  <c r="AI129" i="1"/>
  <c r="AH129" i="1"/>
  <c r="AI128" i="1"/>
  <c r="AH128" i="1"/>
  <c r="AI151" i="1"/>
  <c r="AH151" i="1"/>
  <c r="AI126" i="1"/>
  <c r="AH126" i="1"/>
  <c r="AI125" i="1"/>
  <c r="AH125" i="1"/>
  <c r="AI124" i="1"/>
  <c r="AH124" i="1"/>
  <c r="AI123" i="1"/>
  <c r="AH123" i="1"/>
  <c r="AI122" i="1"/>
  <c r="AH122" i="1"/>
  <c r="AI121" i="1"/>
  <c r="AH121" i="1"/>
  <c r="AI120" i="1"/>
  <c r="AH120" i="1"/>
  <c r="AI119" i="1"/>
  <c r="AH119" i="1"/>
  <c r="AI118" i="1"/>
  <c r="AH118" i="1"/>
  <c r="AI117" i="1"/>
  <c r="AH117" i="1"/>
  <c r="AI116" i="1"/>
  <c r="AH116" i="1"/>
  <c r="AI115" i="1"/>
  <c r="AH115" i="1"/>
  <c r="AI114" i="1"/>
  <c r="AH114" i="1"/>
  <c r="AI113" i="1"/>
  <c r="AH113" i="1"/>
  <c r="AI112" i="1"/>
  <c r="AH112" i="1"/>
  <c r="AI111" i="1"/>
  <c r="AH111" i="1"/>
  <c r="AI110" i="1"/>
  <c r="AH110" i="1"/>
  <c r="AI109" i="1"/>
  <c r="AH109" i="1"/>
  <c r="AI108" i="1"/>
  <c r="AH108" i="1"/>
  <c r="AI35" i="1"/>
  <c r="AH35" i="1"/>
  <c r="AI106" i="1"/>
  <c r="AH106" i="1"/>
  <c r="AI105" i="1"/>
  <c r="AH105" i="1"/>
  <c r="AI104" i="1"/>
  <c r="AH104" i="1"/>
  <c r="AI103" i="1"/>
  <c r="AH103" i="1"/>
  <c r="AI102" i="1"/>
  <c r="AH102" i="1"/>
  <c r="AI101" i="1"/>
  <c r="AH101" i="1"/>
  <c r="AI100" i="1"/>
  <c r="AH100" i="1"/>
  <c r="AI99" i="1"/>
  <c r="AH99" i="1"/>
  <c r="AI98" i="1"/>
  <c r="AH98" i="1"/>
  <c r="AI97" i="1"/>
  <c r="AH97" i="1"/>
  <c r="AI96" i="1"/>
  <c r="AH96" i="1"/>
  <c r="AI95" i="1"/>
  <c r="AH95" i="1"/>
  <c r="AI94" i="1"/>
  <c r="AH94" i="1"/>
  <c r="AI93" i="1"/>
  <c r="AH93" i="1"/>
  <c r="AI92" i="1"/>
  <c r="AH92" i="1"/>
  <c r="AI91" i="1"/>
  <c r="AH91" i="1"/>
  <c r="AI90" i="1"/>
  <c r="AH90" i="1"/>
  <c r="AI141" i="1"/>
  <c r="AH141" i="1"/>
  <c r="AI88" i="1"/>
  <c r="AH88" i="1"/>
  <c r="AI87" i="1"/>
  <c r="AH87" i="1"/>
  <c r="AI86" i="1"/>
  <c r="AH86" i="1"/>
  <c r="AI85" i="1"/>
  <c r="AH85" i="1"/>
  <c r="AI84" i="1"/>
  <c r="AH84" i="1"/>
  <c r="AI83" i="1"/>
  <c r="AH83" i="1"/>
  <c r="AI82" i="1"/>
  <c r="AH82" i="1"/>
  <c r="AI81" i="1"/>
  <c r="AH81" i="1"/>
  <c r="AI80" i="1"/>
  <c r="AH80" i="1"/>
  <c r="AI79" i="1"/>
  <c r="AH79" i="1"/>
  <c r="AI78" i="1"/>
  <c r="AH78" i="1"/>
  <c r="AI177" i="1"/>
  <c r="AH177" i="1"/>
  <c r="AI148" i="1"/>
  <c r="AH148" i="1"/>
  <c r="AI75" i="1"/>
  <c r="AH75" i="1"/>
  <c r="AI74" i="1"/>
  <c r="AH74" i="1"/>
  <c r="AI73" i="1"/>
  <c r="AH73" i="1"/>
  <c r="AI72" i="1"/>
  <c r="AH72" i="1"/>
  <c r="AI71" i="1"/>
  <c r="AH71" i="1"/>
  <c r="AI70" i="1"/>
  <c r="AH70" i="1"/>
  <c r="AI69" i="1"/>
  <c r="AH69" i="1"/>
  <c r="AI68" i="1"/>
  <c r="AH68" i="1"/>
  <c r="AI67" i="1"/>
  <c r="AH67" i="1"/>
  <c r="AI66" i="1"/>
  <c r="AH66" i="1"/>
  <c r="AI65" i="1"/>
  <c r="AH65" i="1"/>
  <c r="AI64" i="1"/>
  <c r="AH64" i="1"/>
  <c r="AI63" i="1"/>
  <c r="AH63" i="1"/>
  <c r="AI62" i="1"/>
  <c r="AH62" i="1"/>
  <c r="AI61" i="1"/>
  <c r="AH61" i="1"/>
  <c r="AI60" i="1"/>
  <c r="AH60" i="1"/>
  <c r="AI59" i="1"/>
  <c r="AH59" i="1"/>
  <c r="AI58" i="1"/>
  <c r="AH58" i="1"/>
  <c r="AI57" i="1"/>
  <c r="AH57" i="1"/>
  <c r="AI56" i="1"/>
  <c r="AH56" i="1"/>
  <c r="AI55" i="1"/>
  <c r="AH55" i="1"/>
  <c r="AI54" i="1"/>
  <c r="AH54" i="1"/>
  <c r="AI53" i="1"/>
  <c r="AH53" i="1"/>
  <c r="AI52" i="1"/>
  <c r="AH52" i="1"/>
  <c r="AI51" i="1"/>
  <c r="AH51" i="1"/>
  <c r="AI50" i="1"/>
  <c r="AH50" i="1"/>
  <c r="AI49" i="1"/>
  <c r="AH49" i="1"/>
  <c r="AI48" i="1"/>
  <c r="AH48" i="1"/>
  <c r="AI47" i="1"/>
  <c r="AH47" i="1"/>
  <c r="AI46" i="1"/>
  <c r="AH46" i="1"/>
  <c r="AI45" i="1"/>
  <c r="AH45" i="1"/>
  <c r="AI44" i="1"/>
  <c r="AH44" i="1"/>
  <c r="AI43" i="1"/>
  <c r="AH43" i="1"/>
  <c r="AI42" i="1"/>
  <c r="AH42" i="1"/>
  <c r="AI41" i="1"/>
  <c r="AH41" i="1"/>
  <c r="AI40" i="1"/>
  <c r="AH40" i="1"/>
  <c r="AI39" i="1"/>
  <c r="AH39" i="1"/>
  <c r="AO38" i="1"/>
  <c r="AI38" i="1"/>
  <c r="AH38" i="1"/>
  <c r="AO37" i="1"/>
  <c r="AI37" i="1"/>
  <c r="AH37" i="1"/>
  <c r="AO36" i="1"/>
  <c r="AI36" i="1"/>
  <c r="AH36" i="1"/>
  <c r="AO35" i="1"/>
  <c r="AI25" i="1"/>
  <c r="AH25" i="1"/>
  <c r="AO34" i="1"/>
  <c r="AI34" i="1"/>
  <c r="AH34" i="1"/>
  <c r="AO33" i="1"/>
  <c r="AI33" i="1"/>
  <c r="AH33" i="1"/>
  <c r="AO32" i="1"/>
  <c r="AI32" i="1"/>
  <c r="AH32" i="1"/>
  <c r="AO31" i="1"/>
  <c r="AI31" i="1"/>
  <c r="AH31" i="1"/>
  <c r="AO30" i="1"/>
  <c r="AI30" i="1"/>
  <c r="AH30" i="1"/>
  <c r="AO29" i="1"/>
  <c r="AI29" i="1"/>
  <c r="AH29" i="1"/>
  <c r="AO28" i="1"/>
  <c r="AI28" i="1"/>
  <c r="AH28" i="1"/>
  <c r="AO27" i="1"/>
  <c r="AI27" i="1"/>
  <c r="AH27" i="1"/>
  <c r="AO26" i="1"/>
  <c r="AI26" i="1"/>
  <c r="AH26" i="1"/>
  <c r="AO25" i="1"/>
  <c r="AI23" i="1"/>
  <c r="AH23" i="1"/>
  <c r="AO24" i="1"/>
  <c r="AI77" i="1"/>
  <c r="AH77" i="1"/>
  <c r="AO23" i="1"/>
  <c r="AI127" i="1"/>
  <c r="AH127" i="1"/>
  <c r="AO22" i="1"/>
  <c r="AI22" i="1"/>
  <c r="AH22" i="1"/>
  <c r="AO21" i="1"/>
  <c r="AI21" i="1"/>
  <c r="AH21" i="1"/>
  <c r="AO20" i="1"/>
  <c r="AI20" i="1"/>
  <c r="AH20" i="1"/>
  <c r="AO19" i="1"/>
  <c r="AI19" i="1"/>
  <c r="AH19" i="1"/>
  <c r="AI18" i="1"/>
  <c r="AH18" i="1"/>
  <c r="AI17" i="1"/>
  <c r="AH17" i="1"/>
  <c r="AI16" i="1"/>
  <c r="AH16" i="1"/>
  <c r="AI15" i="1"/>
  <c r="AH15" i="1"/>
  <c r="AI14" i="1"/>
  <c r="AH14" i="1"/>
  <c r="AI13" i="1"/>
  <c r="AH13" i="1"/>
  <c r="AO12" i="1"/>
  <c r="AO15" i="1" s="1"/>
  <c r="AI12" i="1"/>
  <c r="AH12" i="1"/>
  <c r="AI11" i="1"/>
  <c r="AH11" i="1"/>
  <c r="AP10" i="1"/>
  <c r="AI10" i="1"/>
  <c r="AH10" i="1"/>
  <c r="AP9" i="1"/>
  <c r="AI9" i="1"/>
  <c r="AH9" i="1"/>
  <c r="AP8" i="1"/>
  <c r="AI8" i="1"/>
  <c r="AH8" i="1"/>
  <c r="AP7" i="1"/>
  <c r="AI7" i="1"/>
  <c r="AH7" i="1"/>
  <c r="AP6" i="1"/>
  <c r="AI6" i="1"/>
  <c r="AH6" i="1"/>
  <c r="AI5" i="1"/>
  <c r="AH5" i="1"/>
  <c r="AO4" i="1"/>
  <c r="AI4" i="1"/>
  <c r="AH4" i="1"/>
  <c r="AI3" i="1"/>
  <c r="AH3" i="1"/>
  <c r="AI2" i="1"/>
  <c r="AH2" i="1"/>
  <c r="AO2" i="1" s="1"/>
  <c r="AO17" i="1" l="1"/>
</calcChain>
</file>

<file path=xl/sharedStrings.xml><?xml version="1.0" encoding="utf-8"?>
<sst xmlns="http://schemas.openxmlformats.org/spreadsheetml/2006/main" count="985" uniqueCount="432">
  <si>
    <t>Total Points</t>
  </si>
  <si>
    <t>MAX</t>
  </si>
  <si>
    <t>Total Cost</t>
  </si>
  <si>
    <t>GKP</t>
  </si>
  <si>
    <t>DEF</t>
  </si>
  <si>
    <t>MID</t>
  </si>
  <si>
    <t>FWD</t>
  </si>
  <si>
    <t>TOTAL</t>
  </si>
  <si>
    <t>Transfers</t>
  </si>
  <si>
    <t>Free</t>
  </si>
  <si>
    <t>Cost</t>
  </si>
  <si>
    <t>Profit</t>
  </si>
  <si>
    <t>ARS</t>
  </si>
  <si>
    <t>AVL</t>
  </si>
  <si>
    <t>BOU</t>
  </si>
  <si>
    <t>BRE</t>
  </si>
  <si>
    <t>BHA</t>
  </si>
  <si>
    <t>CHE</t>
  </si>
  <si>
    <t>CRY</t>
  </si>
  <si>
    <t>EVE</t>
  </si>
  <si>
    <t>FUL</t>
  </si>
  <si>
    <t>IPS</t>
  </si>
  <si>
    <t>LEI</t>
  </si>
  <si>
    <t>LIV</t>
  </si>
  <si>
    <t>MCI</t>
  </si>
  <si>
    <t>MUN</t>
  </si>
  <si>
    <t>NEW</t>
  </si>
  <si>
    <t>NFO</t>
  </si>
  <si>
    <t>SOU</t>
  </si>
  <si>
    <t>TOT</t>
  </si>
  <si>
    <t>WHU</t>
  </si>
  <si>
    <t>WOL</t>
  </si>
  <si>
    <t>First Name</t>
  </si>
  <si>
    <t>Surname</t>
  </si>
  <si>
    <t>Web Name</t>
  </si>
  <si>
    <t>Position</t>
  </si>
  <si>
    <t>Team</t>
  </si>
  <si>
    <t>ID</t>
  </si>
  <si>
    <t>ARIMA</t>
  </si>
  <si>
    <t>LSTM</t>
  </si>
  <si>
    <t>PP</t>
  </si>
  <si>
    <t>NEXT</t>
  </si>
  <si>
    <t>Health</t>
  </si>
  <si>
    <t>PREV</t>
  </si>
  <si>
    <t>Selected</t>
  </si>
  <si>
    <t>Gabriel</t>
  </si>
  <si>
    <t>dos Santos Magalhães</t>
  </si>
  <si>
    <t>Kai</t>
  </si>
  <si>
    <t>Havertz</t>
  </si>
  <si>
    <t>Martinelli Silva</t>
  </si>
  <si>
    <t>Martinelli</t>
  </si>
  <si>
    <t>David</t>
  </si>
  <si>
    <t>Raya Martin</t>
  </si>
  <si>
    <t>Raya</t>
  </si>
  <si>
    <t>Declan</t>
  </si>
  <si>
    <t>Rice</t>
  </si>
  <si>
    <t>William</t>
  </si>
  <si>
    <t>Saliba</t>
  </si>
  <si>
    <t>Thomas</t>
  </si>
  <si>
    <t>Partey</t>
  </si>
  <si>
    <t>Leandro</t>
  </si>
  <si>
    <t>Trossard</t>
  </si>
  <si>
    <t>Leon</t>
  </si>
  <si>
    <t>Bailey</t>
  </si>
  <si>
    <t>Lucas</t>
  </si>
  <si>
    <t>Digne</t>
  </si>
  <si>
    <t>Jhon</t>
  </si>
  <si>
    <t>Durán</t>
  </si>
  <si>
    <t>Duran</t>
  </si>
  <si>
    <t>Ezri</t>
  </si>
  <si>
    <t>Konsa Ngoyo</t>
  </si>
  <si>
    <t>Konsa</t>
  </si>
  <si>
    <t>Ian</t>
  </si>
  <si>
    <t>Maatsen</t>
  </si>
  <si>
    <t>Emiliano</t>
  </si>
  <si>
    <t>Martínez Romero</t>
  </si>
  <si>
    <t>Martinez</t>
  </si>
  <si>
    <t>John</t>
  </si>
  <si>
    <t>McGinn</t>
  </si>
  <si>
    <t>Morgan</t>
  </si>
  <si>
    <t>Rogers</t>
  </si>
  <si>
    <t>Youri</t>
  </si>
  <si>
    <t>Tielemans</t>
  </si>
  <si>
    <t>Ollie</t>
  </si>
  <si>
    <t>Watkins</t>
  </si>
  <si>
    <t>Brooks</t>
  </si>
  <si>
    <t>Ryan</t>
  </si>
  <si>
    <t>Christie</t>
  </si>
  <si>
    <t>Lewis</t>
  </si>
  <si>
    <t>Cook</t>
  </si>
  <si>
    <t>Milos</t>
  </si>
  <si>
    <t>Kerkez</t>
  </si>
  <si>
    <t>Justin</t>
  </si>
  <si>
    <t>Kluivert</t>
  </si>
  <si>
    <t>Dango</t>
  </si>
  <si>
    <t>Ouattara</t>
  </si>
  <si>
    <t>O.Dango</t>
  </si>
  <si>
    <t>Antoine</t>
  </si>
  <si>
    <t>Semenyo</t>
  </si>
  <si>
    <t>Marcus</t>
  </si>
  <si>
    <t>Tavernier</t>
  </si>
  <si>
    <t>Illia</t>
  </si>
  <si>
    <t>Zabarnyi</t>
  </si>
  <si>
    <t>Kepa</t>
  </si>
  <si>
    <t>Arrizabalaga</t>
  </si>
  <si>
    <t>Nathan</t>
  </si>
  <si>
    <t>Collins</t>
  </si>
  <si>
    <t>Mikkel</t>
  </si>
  <si>
    <t>Damsgaard</t>
  </si>
  <si>
    <t>Mark</t>
  </si>
  <si>
    <t>Flekken</t>
  </si>
  <si>
    <t>Vitaly</t>
  </si>
  <si>
    <t>Janelt</t>
  </si>
  <si>
    <t>Keane</t>
  </si>
  <si>
    <t>Lewis-Potter</t>
  </si>
  <si>
    <t>Bryan</t>
  </si>
  <si>
    <t>Mbeumo</t>
  </si>
  <si>
    <t>Christian</t>
  </si>
  <si>
    <t>Nørgaard</t>
  </si>
  <si>
    <t>Mads</t>
  </si>
  <si>
    <t>Roerslev Rasmussen</t>
  </si>
  <si>
    <t>Roerslev</t>
  </si>
  <si>
    <t>Kevin</t>
  </si>
  <si>
    <t>Schade</t>
  </si>
  <si>
    <t>Yoane</t>
  </si>
  <si>
    <t>Wissa</t>
  </si>
  <si>
    <t>Fábio</t>
  </si>
  <si>
    <t>Freitas Gouveia Carvalho</t>
  </si>
  <si>
    <t>Carvalho</t>
  </si>
  <si>
    <t>Carlos</t>
  </si>
  <si>
    <t>Baleba</t>
  </si>
  <si>
    <t>Dunk</t>
  </si>
  <si>
    <t>Pervis</t>
  </si>
  <si>
    <t>Estupiñán</t>
  </si>
  <si>
    <t>Estupiñan</t>
  </si>
  <si>
    <t>João Pedro</t>
  </si>
  <si>
    <t>Junqueira de Jesus</t>
  </si>
  <si>
    <t>Jan Paul</t>
  </si>
  <si>
    <t>van Hecke</t>
  </si>
  <si>
    <t>Van Hecke</t>
  </si>
  <si>
    <t>Joël</t>
  </si>
  <si>
    <t>Veltman</t>
  </si>
  <si>
    <t>Bart</t>
  </si>
  <si>
    <t>Verbruggen</t>
  </si>
  <si>
    <t>Danny</t>
  </si>
  <si>
    <t>Welbeck</t>
  </si>
  <si>
    <t>Georginio</t>
  </si>
  <si>
    <t>Rutter</t>
  </si>
  <si>
    <t>Moisés</t>
  </si>
  <si>
    <t>Caicedo Corozo</t>
  </si>
  <si>
    <t>Caicedo</t>
  </si>
  <si>
    <t>Levi</t>
  </si>
  <si>
    <t>Colwill</t>
  </si>
  <si>
    <t>Marc</t>
  </si>
  <si>
    <t>Cucurella Saseta</t>
  </si>
  <si>
    <t>Cucurella</t>
  </si>
  <si>
    <t>Enzo</t>
  </si>
  <si>
    <t>Fernández</t>
  </si>
  <si>
    <t>Malo</t>
  </si>
  <si>
    <t>Gusto</t>
  </si>
  <si>
    <t>Noni</t>
  </si>
  <si>
    <t>Madueke</t>
  </si>
  <si>
    <t>Nicolas</t>
  </si>
  <si>
    <t>Jackson</t>
  </si>
  <si>
    <t>N.Jackson</t>
  </si>
  <si>
    <t>Christopher</t>
  </si>
  <si>
    <t>Nkunku</t>
  </si>
  <si>
    <t>Cole</t>
  </si>
  <si>
    <t>Palmer</t>
  </si>
  <si>
    <t>Robert</t>
  </si>
  <si>
    <t>Sánchez</t>
  </si>
  <si>
    <t>Jadon</t>
  </si>
  <si>
    <t>Sancho</t>
  </si>
  <si>
    <t>Pedro</t>
  </si>
  <si>
    <t>Lomba Neto</t>
  </si>
  <si>
    <t>Neto</t>
  </si>
  <si>
    <t>Eberechi</t>
  </si>
  <si>
    <t>Eze</t>
  </si>
  <si>
    <t>Guéhi</t>
  </si>
  <si>
    <t>Dean</t>
  </si>
  <si>
    <t>Henderson</t>
  </si>
  <si>
    <t>Will</t>
  </si>
  <si>
    <t>Hughes</t>
  </si>
  <si>
    <t>Jefferson</t>
  </si>
  <si>
    <t>Lerma Solís</t>
  </si>
  <si>
    <t>Lerma</t>
  </si>
  <si>
    <t>Jean-Philippe</t>
  </si>
  <si>
    <t>Mateta</t>
  </si>
  <si>
    <t>Tyrick</t>
  </si>
  <si>
    <t>Mitchell</t>
  </si>
  <si>
    <t>Daniel</t>
  </si>
  <si>
    <t>Muñoz</t>
  </si>
  <si>
    <t>Ismaïla</t>
  </si>
  <si>
    <t>Sarr</t>
  </si>
  <si>
    <t>I.Sarr</t>
  </si>
  <si>
    <t>Abdoulaye</t>
  </si>
  <si>
    <t>Doucouré</t>
  </si>
  <si>
    <t>A.Doucoure</t>
  </si>
  <si>
    <t>Dominic</t>
  </si>
  <si>
    <t>Calvert-Lewin</t>
  </si>
  <si>
    <t>Idrissa</t>
  </si>
  <si>
    <t>Gueye</t>
  </si>
  <si>
    <t>Gana</t>
  </si>
  <si>
    <t>Jack</t>
  </si>
  <si>
    <t>Harrison</t>
  </si>
  <si>
    <t>Vitalii</t>
  </si>
  <si>
    <t>Mykolenko</t>
  </si>
  <si>
    <t>Jordan</t>
  </si>
  <si>
    <t>Pickford</t>
  </si>
  <si>
    <t>James</t>
  </si>
  <si>
    <t>Tarkowski</t>
  </si>
  <si>
    <t>Ashley</t>
  </si>
  <si>
    <t>Young</t>
  </si>
  <si>
    <t>Orel</t>
  </si>
  <si>
    <t>Mangala</t>
  </si>
  <si>
    <t>Emile</t>
  </si>
  <si>
    <t>Smith Rowe</t>
  </si>
  <si>
    <t>Adama</t>
  </si>
  <si>
    <t>Traoré</t>
  </si>
  <si>
    <t>Andreas</t>
  </si>
  <si>
    <t>Hoelgebaum Pereira</t>
  </si>
  <si>
    <t>Calvin</t>
  </si>
  <si>
    <t>Bassey</t>
  </si>
  <si>
    <t>Alex</t>
  </si>
  <si>
    <t>Iwobi</t>
  </si>
  <si>
    <t>Bernd</t>
  </si>
  <si>
    <t>Leno</t>
  </si>
  <si>
    <t>Saša</t>
  </si>
  <si>
    <t>Lukić</t>
  </si>
  <si>
    <t>Rodrigo</t>
  </si>
  <si>
    <t>Muniz Carvalho</t>
  </si>
  <si>
    <t>Muniz</t>
  </si>
  <si>
    <t>Raúl</t>
  </si>
  <si>
    <t>Jiménez</t>
  </si>
  <si>
    <t>Antonee</t>
  </si>
  <si>
    <t>Robinson</t>
  </si>
  <si>
    <t>Harry</t>
  </si>
  <si>
    <t>Wilson</t>
  </si>
  <si>
    <t>Sander</t>
  </si>
  <si>
    <t>Berge</t>
  </si>
  <si>
    <t>Dara</t>
  </si>
  <si>
    <t>O'Shea</t>
  </si>
  <si>
    <t>Facundo</t>
  </si>
  <si>
    <t>Buonanotte</t>
  </si>
  <si>
    <t>Ayew</t>
  </si>
  <si>
    <t>J.Ayew</t>
  </si>
  <si>
    <t>Boubakary</t>
  </si>
  <si>
    <t>Soumaré</t>
  </si>
  <si>
    <t>B.Soumaré</t>
  </si>
  <si>
    <t>Victor</t>
  </si>
  <si>
    <t>Kristiansen</t>
  </si>
  <si>
    <t>Jamie</t>
  </si>
  <si>
    <t>Vardy</t>
  </si>
  <si>
    <t>Winks</t>
  </si>
  <si>
    <t>Trent</t>
  </si>
  <si>
    <t>Alexander-Arnold</t>
  </si>
  <si>
    <t>Darwin</t>
  </si>
  <si>
    <t>Núñez Ribeiro</t>
  </si>
  <si>
    <t>Cody</t>
  </si>
  <si>
    <t>Gakpo</t>
  </si>
  <si>
    <t>Gravenberch</t>
  </si>
  <si>
    <t>Curtis</t>
  </si>
  <si>
    <t>Jones</t>
  </si>
  <si>
    <t>Ibrahima</t>
  </si>
  <si>
    <t>Konaté</t>
  </si>
  <si>
    <t>Luis</t>
  </si>
  <si>
    <t>Díaz</t>
  </si>
  <si>
    <t>Luis Díaz</t>
  </si>
  <si>
    <t>Mohamed</t>
  </si>
  <si>
    <t>Salah</t>
  </si>
  <si>
    <t>M.Salah</t>
  </si>
  <si>
    <t>Alexis</t>
  </si>
  <si>
    <t>Mac Allister</t>
  </si>
  <si>
    <t>Andrew</t>
  </si>
  <si>
    <t>Robertson</t>
  </si>
  <si>
    <t>Dominik</t>
  </si>
  <si>
    <t>Szoboszlai</t>
  </si>
  <si>
    <t>Virgil</t>
  </si>
  <si>
    <t>van Dijk</t>
  </si>
  <si>
    <t>Manuel</t>
  </si>
  <si>
    <t>Akanji</t>
  </si>
  <si>
    <t>Bernardo</t>
  </si>
  <si>
    <t>Veiga de Carvalho e Silva</t>
  </si>
  <si>
    <t>Phil</t>
  </si>
  <si>
    <t>Foden</t>
  </si>
  <si>
    <t>Joško</t>
  </si>
  <si>
    <t>Gvardiol</t>
  </si>
  <si>
    <t>Erling</t>
  </si>
  <si>
    <t>Haaland</t>
  </si>
  <si>
    <t>Mateo</t>
  </si>
  <si>
    <t>Kovačić</t>
  </si>
  <si>
    <t>Rico</t>
  </si>
  <si>
    <t>Ilkay</t>
  </si>
  <si>
    <t>Gündogan</t>
  </si>
  <si>
    <t>Amad</t>
  </si>
  <si>
    <t>Diallo</t>
  </si>
  <si>
    <t>Bruno</t>
  </si>
  <si>
    <t>Borges Fernandes</t>
  </si>
  <si>
    <t>B.Fernandes</t>
  </si>
  <si>
    <t>Diogo</t>
  </si>
  <si>
    <t>Dalot Teixeira</t>
  </si>
  <si>
    <t>Dalot</t>
  </si>
  <si>
    <t>Alejandro</t>
  </si>
  <si>
    <t>Garnacho</t>
  </si>
  <si>
    <t>Rasmus</t>
  </si>
  <si>
    <t>Højlund</t>
  </si>
  <si>
    <t>Maguire</t>
  </si>
  <si>
    <t>Lisandro</t>
  </si>
  <si>
    <t>Martínez</t>
  </si>
  <si>
    <t>André</t>
  </si>
  <si>
    <t>Onana</t>
  </si>
  <si>
    <t>Harvey</t>
  </si>
  <si>
    <t>Barnes</t>
  </si>
  <si>
    <t>Guimarães Rodriguez Moura</t>
  </si>
  <si>
    <t>Bruno G.</t>
  </si>
  <si>
    <t>Dan</t>
  </si>
  <si>
    <t>Burn</t>
  </si>
  <si>
    <t>Anthony</t>
  </si>
  <si>
    <t>Gordon</t>
  </si>
  <si>
    <t>Hall</t>
  </si>
  <si>
    <t>Alexander</t>
  </si>
  <si>
    <t>Isak</t>
  </si>
  <si>
    <t>Jacob</t>
  </si>
  <si>
    <t>Murphy</t>
  </si>
  <si>
    <t>J.Murphy</t>
  </si>
  <si>
    <t>Joelinton Cássio</t>
  </si>
  <si>
    <t>Apolinário de Lira</t>
  </si>
  <si>
    <t>Joelinton</t>
  </si>
  <si>
    <t>Tino</t>
  </si>
  <si>
    <t>Livramento</t>
  </si>
  <si>
    <t>Sean</t>
  </si>
  <si>
    <t>Longstaff</t>
  </si>
  <si>
    <t>Fabian</t>
  </si>
  <si>
    <t>Schär</t>
  </si>
  <si>
    <t>Sandro</t>
  </si>
  <si>
    <t>Tonali</t>
  </si>
  <si>
    <t>Joe</t>
  </si>
  <si>
    <t>Willock</t>
  </si>
  <si>
    <t>Ola</t>
  </si>
  <si>
    <t>Aina</t>
  </si>
  <si>
    <t>Elliot</t>
  </si>
  <si>
    <t>Anderson</t>
  </si>
  <si>
    <t>Taiwo</t>
  </si>
  <si>
    <t>Awoniyi</t>
  </si>
  <si>
    <t>Nicolás</t>
  </si>
  <si>
    <t>Domínguez</t>
  </si>
  <si>
    <t>Dominguez</t>
  </si>
  <si>
    <t>Elanga</t>
  </si>
  <si>
    <t>Gibbs-White</t>
  </si>
  <si>
    <t>Callum</t>
  </si>
  <si>
    <t>Hudson-Odoi</t>
  </si>
  <si>
    <t>Murillo</t>
  </si>
  <si>
    <t>Santiago Costa dos Santos</t>
  </si>
  <si>
    <t>Neco</t>
  </si>
  <si>
    <t>Williams</t>
  </si>
  <si>
    <t>N.Williams</t>
  </si>
  <si>
    <t>Matz</t>
  </si>
  <si>
    <t>Sels</t>
  </si>
  <si>
    <t>Chris</t>
  </si>
  <si>
    <t>Wood</t>
  </si>
  <si>
    <t>Yates</t>
  </si>
  <si>
    <t>Cameron</t>
  </si>
  <si>
    <t>Archer</t>
  </si>
  <si>
    <t>Adam</t>
  </si>
  <si>
    <t>Armstrong</t>
  </si>
  <si>
    <t>Jan</t>
  </si>
  <si>
    <t>Bednarek</t>
  </si>
  <si>
    <t>Kyle</t>
  </si>
  <si>
    <t>Walker-Peters</t>
  </si>
  <si>
    <t>Yves</t>
  </si>
  <si>
    <t>Bissouma</t>
  </si>
  <si>
    <t>Brennan</t>
  </si>
  <si>
    <t>Johnson</t>
  </si>
  <si>
    <t>Dejan</t>
  </si>
  <si>
    <t>Kulusevski</t>
  </si>
  <si>
    <t>Maddison</t>
  </si>
  <si>
    <t>Porro</t>
  </si>
  <si>
    <t>Pedro Porro</t>
  </si>
  <si>
    <t>Pape Matar</t>
  </si>
  <si>
    <t>P.M.Sarr</t>
  </si>
  <si>
    <t>Son</t>
  </si>
  <si>
    <t>Heung-min</t>
  </si>
  <si>
    <t>Destiny</t>
  </si>
  <si>
    <t>Udogie</t>
  </si>
  <si>
    <t>Aaron</t>
  </si>
  <si>
    <t>Wan-Bissaka</t>
  </si>
  <si>
    <t>Edson</t>
  </si>
  <si>
    <t>Álvarez Velázquez</t>
  </si>
  <si>
    <t>Álvarez</t>
  </si>
  <si>
    <t>Jarrod</t>
  </si>
  <si>
    <t>Bowen</t>
  </si>
  <si>
    <t>Emerson</t>
  </si>
  <si>
    <t>Palmieri dos Santos</t>
  </si>
  <si>
    <t>Max</t>
  </si>
  <si>
    <t>Kilman</t>
  </si>
  <si>
    <t>Mohammed</t>
  </si>
  <si>
    <t>Kudus</t>
  </si>
  <si>
    <t>Tolentino Coelho de Lima</t>
  </si>
  <si>
    <t>L.Paquetá</t>
  </si>
  <si>
    <t>Konstantinos</t>
  </si>
  <si>
    <t>Mavropanos</t>
  </si>
  <si>
    <t>Tomáš</t>
  </si>
  <si>
    <t>Souček</t>
  </si>
  <si>
    <t>Crysencio</t>
  </si>
  <si>
    <t>Summerville</t>
  </si>
  <si>
    <t>Rayan</t>
  </si>
  <si>
    <t>Aït-Nouri</t>
  </si>
  <si>
    <t>Jean-Ricner</t>
  </si>
  <si>
    <t>Bellegarde</t>
  </si>
  <si>
    <t>Matheus</t>
  </si>
  <si>
    <t>Santos Carneiro Da Cunha</t>
  </si>
  <si>
    <t>Cunha</t>
  </si>
  <si>
    <t>Matt</t>
  </si>
  <si>
    <t>Doherty</t>
  </si>
  <si>
    <t>Gonçalo Manuel</t>
  </si>
  <si>
    <t>Ganchinho Guedes</t>
  </si>
  <si>
    <t>Guedes</t>
  </si>
  <si>
    <t>João Victor</t>
  </si>
  <si>
    <t>Gomes da Silva</t>
  </si>
  <si>
    <t>J.Gomes</t>
  </si>
  <si>
    <t>José</t>
  </si>
  <si>
    <t>Malheiro de Sá</t>
  </si>
  <si>
    <t>José Sá</t>
  </si>
  <si>
    <t>Nélson</t>
  </si>
  <si>
    <t>Cabral Semedo</t>
  </si>
  <si>
    <t>N.Semedo</t>
  </si>
  <si>
    <t>Santiago</t>
  </si>
  <si>
    <t>Bueno</t>
  </si>
  <si>
    <t>S.Bueno</t>
  </si>
  <si>
    <t>Toti António</t>
  </si>
  <si>
    <t>Gomes</t>
  </si>
  <si>
    <t>Toti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</si>
</sst>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AL184" totalsRowShown="0">
  <autoFilter ref="A1:AL184" xr:uid="{00000000-0009-0000-0100-000001000000}">
    <filterColumn colId="37">
      <filters>
        <filter val="1"/>
      </filters>
    </filterColumn>
  </autoFilter>
  <sortState xmlns:xlrd2="http://schemas.microsoft.com/office/spreadsheetml/2017/richdata2" ref="A23:AL177">
    <sortCondition descending="1" ref="AI1:AI184"/>
  </sortState>
  <tableColumns count="38">
    <tableColumn id="1" xr3:uid="{00000000-0010-0000-0000-000001000000}" name="First Name"/>
    <tableColumn id="2" xr3:uid="{00000000-0010-0000-0000-000002000000}" name="Surname"/>
    <tableColumn id="3" xr3:uid="{00000000-0010-0000-0000-000003000000}" name="Web Name"/>
    <tableColumn id="4" xr3:uid="{00000000-0010-0000-0000-000004000000}" name="Position"/>
    <tableColumn id="5" xr3:uid="{00000000-0010-0000-0000-000005000000}" name="GKP"/>
    <tableColumn id="6" xr3:uid="{00000000-0010-0000-0000-000006000000}" name="DEF"/>
    <tableColumn id="7" xr3:uid="{00000000-0010-0000-0000-000007000000}" name="MID"/>
    <tableColumn id="8" xr3:uid="{00000000-0010-0000-0000-000008000000}" name="FWD"/>
    <tableColumn id="9" xr3:uid="{00000000-0010-0000-0000-000009000000}" name="Team"/>
    <tableColumn id="10" xr3:uid="{00000000-0010-0000-0000-00000A000000}" name="ARS"/>
    <tableColumn id="11" xr3:uid="{00000000-0010-0000-0000-00000B000000}" name="AVL"/>
    <tableColumn id="12" xr3:uid="{00000000-0010-0000-0000-00000C000000}" name="BOU"/>
    <tableColumn id="13" xr3:uid="{00000000-0010-0000-0000-00000D000000}" name="BRE"/>
    <tableColumn id="14" xr3:uid="{00000000-0010-0000-0000-00000E000000}" name="BHA"/>
    <tableColumn id="15" xr3:uid="{00000000-0010-0000-0000-00000F000000}" name="CHE"/>
    <tableColumn id="16" xr3:uid="{00000000-0010-0000-0000-000010000000}" name="CRY"/>
    <tableColumn id="17" xr3:uid="{00000000-0010-0000-0000-000011000000}" name="EVE"/>
    <tableColumn id="18" xr3:uid="{00000000-0010-0000-0000-000012000000}" name="FUL"/>
    <tableColumn id="19" xr3:uid="{00000000-0010-0000-0000-000013000000}" name="IPS"/>
    <tableColumn id="20" xr3:uid="{00000000-0010-0000-0000-000014000000}" name="LEI"/>
    <tableColumn id="21" xr3:uid="{00000000-0010-0000-0000-000015000000}" name="LIV"/>
    <tableColumn id="22" xr3:uid="{00000000-0010-0000-0000-000016000000}" name="MCI"/>
    <tableColumn id="23" xr3:uid="{00000000-0010-0000-0000-000017000000}" name="MUN"/>
    <tableColumn id="24" xr3:uid="{00000000-0010-0000-0000-000018000000}" name="NEW"/>
    <tableColumn id="25" xr3:uid="{00000000-0010-0000-0000-000019000000}" name="NFO"/>
    <tableColumn id="26" xr3:uid="{00000000-0010-0000-0000-00001A000000}" name="SOU"/>
    <tableColumn id="27" xr3:uid="{00000000-0010-0000-0000-00001B000000}" name="TOT"/>
    <tableColumn id="28" xr3:uid="{00000000-0010-0000-0000-00001C000000}" name="WHU"/>
    <tableColumn id="29" xr3:uid="{00000000-0010-0000-0000-00001D000000}" name="WOL"/>
    <tableColumn id="30" xr3:uid="{00000000-0010-0000-0000-00001E000000}" name="Cost"/>
    <tableColumn id="31" xr3:uid="{00000000-0010-0000-0000-00001F000000}" name="ID"/>
    <tableColumn id="32" xr3:uid="{00000000-0010-0000-0000-000020000000}" name="ARIMA"/>
    <tableColumn id="33" xr3:uid="{00000000-0010-0000-0000-000021000000}" name="LSTM"/>
    <tableColumn id="34" xr3:uid="{00000000-0010-0000-0000-000022000000}" name="PP"/>
    <tableColumn id="35" xr3:uid="{00000000-0010-0000-0000-000023000000}" name="NEXT"/>
    <tableColumn id="36" xr3:uid="{00000000-0010-0000-0000-000024000000}" name="Health"/>
    <tableColumn id="37" xr3:uid="{00000000-0010-0000-0000-000025000000}" name="PREV"/>
    <tableColumn id="38" xr3:uid="{00000000-0010-0000-0000-000026000000}" name="Selected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184"/>
  <sheetViews>
    <sheetView tabSelected="1" workbookViewId="0">
      <selection activeCell="C23" sqref="C23"/>
    </sheetView>
  </sheetViews>
  <sheetFormatPr baseColWidth="10" defaultColWidth="8.83203125" defaultRowHeight="15" x14ac:dyDescent="0.2"/>
  <cols>
    <col min="5" max="8" width="0" hidden="1" customWidth="1"/>
    <col min="10" max="29" width="0" hidden="1" customWidth="1"/>
    <col min="31" max="33" width="0" hidden="1" customWidth="1"/>
  </cols>
  <sheetData>
    <row r="1" spans="1:43" x14ac:dyDescent="0.2">
      <c r="A1" t="s">
        <v>32</v>
      </c>
      <c r="B1" t="s">
        <v>33</v>
      </c>
      <c r="C1" t="s">
        <v>34</v>
      </c>
      <c r="D1" t="s">
        <v>35</v>
      </c>
      <c r="E1" t="s">
        <v>3</v>
      </c>
      <c r="F1" t="s">
        <v>4</v>
      </c>
      <c r="G1" t="s">
        <v>5</v>
      </c>
      <c r="H1" t="s">
        <v>6</v>
      </c>
      <c r="I1" t="s">
        <v>36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  <c r="R1" t="s">
        <v>20</v>
      </c>
      <c r="S1" t="s">
        <v>21</v>
      </c>
      <c r="T1" t="s">
        <v>22</v>
      </c>
      <c r="U1" t="s">
        <v>23</v>
      </c>
      <c r="V1" t="s">
        <v>24</v>
      </c>
      <c r="W1" t="s">
        <v>25</v>
      </c>
      <c r="X1" t="s">
        <v>26</v>
      </c>
      <c r="Y1" t="s">
        <v>27</v>
      </c>
      <c r="Z1" t="s">
        <v>28</v>
      </c>
      <c r="AA1" t="s">
        <v>29</v>
      </c>
      <c r="AB1" t="s">
        <v>30</v>
      </c>
      <c r="AC1" t="s">
        <v>31</v>
      </c>
      <c r="AD1" t="s">
        <v>10</v>
      </c>
      <c r="AE1" t="s">
        <v>37</v>
      </c>
      <c r="AF1" t="s">
        <v>38</v>
      </c>
      <c r="AG1" t="s">
        <v>39</v>
      </c>
      <c r="AH1" t="s">
        <v>40</v>
      </c>
      <c r="AI1" t="s">
        <v>41</v>
      </c>
      <c r="AJ1" t="s">
        <v>42</v>
      </c>
      <c r="AK1" t="s">
        <v>43</v>
      </c>
      <c r="AL1" t="s">
        <v>44</v>
      </c>
    </row>
    <row r="2" spans="1:43" hidden="1" x14ac:dyDescent="0.2">
      <c r="A2" t="s">
        <v>45</v>
      </c>
      <c r="B2" t="s">
        <v>46</v>
      </c>
      <c r="C2" t="s">
        <v>45</v>
      </c>
      <c r="D2" t="s">
        <v>4</v>
      </c>
      <c r="E2">
        <v>0</v>
      </c>
      <c r="F2">
        <v>1</v>
      </c>
      <c r="G2">
        <v>0</v>
      </c>
      <c r="H2">
        <v>0</v>
      </c>
      <c r="I2" t="s">
        <v>12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6.3</v>
      </c>
      <c r="AE2">
        <v>2</v>
      </c>
      <c r="AF2">
        <v>47.734205658343662</v>
      </c>
      <c r="AG2">
        <v>52.639912280729497</v>
      </c>
      <c r="AH2">
        <f>36.2848026059507*1</f>
        <v>36.284802605950702</v>
      </c>
      <c r="AI2">
        <f>2.92194064188455*1</f>
        <v>2.9219406418845502</v>
      </c>
      <c r="AJ2">
        <v>1</v>
      </c>
      <c r="AK2">
        <v>0</v>
      </c>
      <c r="AL2">
        <v>0</v>
      </c>
      <c r="AN2" t="s">
        <v>0</v>
      </c>
      <c r="AO2">
        <f>SUMPRODUCT(Table1[Selected], Table1[PP])</f>
        <v>960.55521223177493</v>
      </c>
      <c r="AP2" t="s">
        <v>1</v>
      </c>
    </row>
    <row r="3" spans="1:43" hidden="1" x14ac:dyDescent="0.2">
      <c r="A3" t="s">
        <v>47</v>
      </c>
      <c r="B3" t="s">
        <v>48</v>
      </c>
      <c r="C3" t="s">
        <v>48</v>
      </c>
      <c r="D3" t="s">
        <v>6</v>
      </c>
      <c r="E3">
        <v>0</v>
      </c>
      <c r="F3">
        <v>0</v>
      </c>
      <c r="G3">
        <v>0</v>
      </c>
      <c r="H3">
        <v>1</v>
      </c>
      <c r="I3" t="s">
        <v>12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7.8</v>
      </c>
      <c r="AE3">
        <v>3</v>
      </c>
      <c r="AF3">
        <v>61.784198772676071</v>
      </c>
      <c r="AG3">
        <v>39.430340183287313</v>
      </c>
      <c r="AH3">
        <f>62.5324233719492*1</f>
        <v>62.5324233719492</v>
      </c>
      <c r="AI3">
        <f>5.38636574438739*1</f>
        <v>5.3863657443873896</v>
      </c>
      <c r="AJ3">
        <v>1</v>
      </c>
      <c r="AK3">
        <v>0</v>
      </c>
      <c r="AL3">
        <v>0</v>
      </c>
    </row>
    <row r="4" spans="1:43" hidden="1" x14ac:dyDescent="0.2">
      <c r="A4" t="s">
        <v>45</v>
      </c>
      <c r="B4" t="s">
        <v>49</v>
      </c>
      <c r="C4" t="s">
        <v>50</v>
      </c>
      <c r="D4" t="s">
        <v>5</v>
      </c>
      <c r="E4">
        <v>0</v>
      </c>
      <c r="F4">
        <v>0</v>
      </c>
      <c r="G4">
        <v>1</v>
      </c>
      <c r="H4">
        <v>0</v>
      </c>
      <c r="I4" t="s">
        <v>12</v>
      </c>
      <c r="J4">
        <v>1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6.6</v>
      </c>
      <c r="AE4">
        <v>8</v>
      </c>
      <c r="AF4">
        <v>52.133333333333319</v>
      </c>
      <c r="AG4">
        <v>63.507269662861653</v>
      </c>
      <c r="AH4">
        <f>27.7478614051737*1</f>
        <v>27.747861405173701</v>
      </c>
      <c r="AI4">
        <f>2.12319461114672*1</f>
        <v>2.1231946111467201</v>
      </c>
      <c r="AJ4">
        <v>1</v>
      </c>
      <c r="AK4">
        <v>0</v>
      </c>
      <c r="AL4">
        <v>0</v>
      </c>
      <c r="AN4" t="s">
        <v>2</v>
      </c>
      <c r="AO4">
        <f>SUMPRODUCT(Table1[Selected],Table1[Cost])</f>
        <v>96.699999999999989</v>
      </c>
      <c r="AP4">
        <v>102.3</v>
      </c>
    </row>
    <row r="5" spans="1:43" hidden="1" x14ac:dyDescent="0.2">
      <c r="A5" t="s">
        <v>51</v>
      </c>
      <c r="B5" t="s">
        <v>52</v>
      </c>
      <c r="C5" t="s">
        <v>53</v>
      </c>
      <c r="D5" t="s">
        <v>3</v>
      </c>
      <c r="E5">
        <v>1</v>
      </c>
      <c r="F5">
        <v>0</v>
      </c>
      <c r="G5">
        <v>0</v>
      </c>
      <c r="H5">
        <v>0</v>
      </c>
      <c r="I5" t="s">
        <v>12</v>
      </c>
      <c r="J5">
        <v>1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5.5</v>
      </c>
      <c r="AE5">
        <v>11</v>
      </c>
      <c r="AF5">
        <v>49.38463167273656</v>
      </c>
      <c r="AG5">
        <v>52.598258574248057</v>
      </c>
      <c r="AH5">
        <f>32.2009455674434*1</f>
        <v>32.200945567443398</v>
      </c>
      <c r="AI5">
        <f>2.87756514314884*1</f>
        <v>2.87756514314884</v>
      </c>
      <c r="AJ5">
        <v>1</v>
      </c>
      <c r="AK5">
        <v>0</v>
      </c>
      <c r="AL5">
        <v>0</v>
      </c>
    </row>
    <row r="6" spans="1:43" hidden="1" x14ac:dyDescent="0.2">
      <c r="A6" t="s">
        <v>54</v>
      </c>
      <c r="B6" t="s">
        <v>55</v>
      </c>
      <c r="C6" t="s">
        <v>55</v>
      </c>
      <c r="D6" t="s">
        <v>5</v>
      </c>
      <c r="E6">
        <v>0</v>
      </c>
      <c r="F6">
        <v>0</v>
      </c>
      <c r="G6">
        <v>1</v>
      </c>
      <c r="H6">
        <v>0</v>
      </c>
      <c r="I6" t="s">
        <v>12</v>
      </c>
      <c r="J6">
        <v>1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6.2</v>
      </c>
      <c r="AE6">
        <v>12</v>
      </c>
      <c r="AF6">
        <v>42.622220454275748</v>
      </c>
      <c r="AG6">
        <v>35.366979791757679</v>
      </c>
      <c r="AH6">
        <f>22.7230848038984*1</f>
        <v>22.723084803898399</v>
      </c>
      <c r="AI6">
        <f>1.91064655846206*1</f>
        <v>1.91064655846206</v>
      </c>
      <c r="AJ6">
        <v>1</v>
      </c>
      <c r="AK6">
        <v>0</v>
      </c>
      <c r="AL6">
        <v>0</v>
      </c>
      <c r="AN6" t="s">
        <v>3</v>
      </c>
      <c r="AO6">
        <v>2</v>
      </c>
      <c r="AP6">
        <f>SUMPRODUCT(Table1[Selected],Table1[GKP])</f>
        <v>2</v>
      </c>
      <c r="AQ6">
        <v>2</v>
      </c>
    </row>
    <row r="7" spans="1:43" hidden="1" x14ac:dyDescent="0.2">
      <c r="A7" t="s">
        <v>56</v>
      </c>
      <c r="B7" t="s">
        <v>57</v>
      </c>
      <c r="C7" t="s">
        <v>57</v>
      </c>
      <c r="D7" t="s">
        <v>4</v>
      </c>
      <c r="E7">
        <v>0</v>
      </c>
      <c r="F7">
        <v>1</v>
      </c>
      <c r="G7">
        <v>0</v>
      </c>
      <c r="H7">
        <v>0</v>
      </c>
      <c r="I7" t="s">
        <v>12</v>
      </c>
      <c r="J7">
        <v>1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6.2</v>
      </c>
      <c r="AE7">
        <v>14</v>
      </c>
      <c r="AF7">
        <v>50.232558139534909</v>
      </c>
      <c r="AG7">
        <v>39.091307054912178</v>
      </c>
      <c r="AH7">
        <f>33.7916424243934*1</f>
        <v>33.791642424393402</v>
      </c>
      <c r="AI7">
        <f>2.75856071395346*1</f>
        <v>2.75856071395346</v>
      </c>
      <c r="AJ7">
        <v>1</v>
      </c>
      <c r="AK7">
        <v>0</v>
      </c>
      <c r="AL7">
        <v>0</v>
      </c>
      <c r="AN7" t="s">
        <v>4</v>
      </c>
      <c r="AO7">
        <v>5</v>
      </c>
      <c r="AP7">
        <f>SUMPRODUCT(Table1[Selected],Table1[DEF])</f>
        <v>5</v>
      </c>
      <c r="AQ7">
        <v>5</v>
      </c>
    </row>
    <row r="8" spans="1:43" hidden="1" x14ac:dyDescent="0.2">
      <c r="A8" t="s">
        <v>58</v>
      </c>
      <c r="B8" t="s">
        <v>59</v>
      </c>
      <c r="C8" t="s">
        <v>58</v>
      </c>
      <c r="D8" t="s">
        <v>5</v>
      </c>
      <c r="E8">
        <v>0</v>
      </c>
      <c r="F8">
        <v>0</v>
      </c>
      <c r="G8">
        <v>1</v>
      </c>
      <c r="H8">
        <v>0</v>
      </c>
      <c r="I8" t="s">
        <v>12</v>
      </c>
      <c r="J8">
        <v>1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4.9000000000000004</v>
      </c>
      <c r="AE8">
        <v>15</v>
      </c>
      <c r="AF8">
        <v>29.843478260869539</v>
      </c>
      <c r="AG8">
        <v>26.77231621537036</v>
      </c>
      <c r="AH8">
        <f>26.5816703540972*1</f>
        <v>26.581670354097199</v>
      </c>
      <c r="AI8">
        <f>2.28111503330316*1</f>
        <v>2.28111503330316</v>
      </c>
      <c r="AJ8">
        <v>1</v>
      </c>
      <c r="AK8">
        <v>0</v>
      </c>
      <c r="AL8">
        <v>0</v>
      </c>
      <c r="AN8" t="s">
        <v>5</v>
      </c>
      <c r="AO8">
        <v>5</v>
      </c>
      <c r="AP8">
        <f>SUMPRODUCT(Table1[Selected],Table1[MID])</f>
        <v>5</v>
      </c>
      <c r="AQ8">
        <v>5</v>
      </c>
    </row>
    <row r="9" spans="1:43" hidden="1" x14ac:dyDescent="0.2">
      <c r="A9" t="s">
        <v>60</v>
      </c>
      <c r="B9" t="s">
        <v>61</v>
      </c>
      <c r="C9" t="s">
        <v>61</v>
      </c>
      <c r="D9" t="s">
        <v>5</v>
      </c>
      <c r="E9">
        <v>0</v>
      </c>
      <c r="F9">
        <v>0</v>
      </c>
      <c r="G9">
        <v>1</v>
      </c>
      <c r="H9">
        <v>0</v>
      </c>
      <c r="I9" t="s">
        <v>12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6.9</v>
      </c>
      <c r="AE9">
        <v>18</v>
      </c>
      <c r="AF9">
        <v>46.429319371727729</v>
      </c>
      <c r="AG9">
        <v>52.61970484707291</v>
      </c>
      <c r="AH9">
        <f>30.3401306173432*1</f>
        <v>30.340130617343199</v>
      </c>
      <c r="AI9">
        <f>2.62210835711086*1</f>
        <v>2.6221083571108599</v>
      </c>
      <c r="AJ9">
        <v>1</v>
      </c>
      <c r="AK9">
        <v>0</v>
      </c>
      <c r="AL9">
        <v>0</v>
      </c>
      <c r="AN9" t="s">
        <v>6</v>
      </c>
      <c r="AO9">
        <v>3</v>
      </c>
      <c r="AP9">
        <f>SUMPRODUCT(Table1[Selected],Table1[FWD])</f>
        <v>3</v>
      </c>
      <c r="AQ9">
        <v>3</v>
      </c>
    </row>
    <row r="10" spans="1:43" hidden="1" x14ac:dyDescent="0.2">
      <c r="A10" t="s">
        <v>62</v>
      </c>
      <c r="B10" t="s">
        <v>63</v>
      </c>
      <c r="C10" t="s">
        <v>63</v>
      </c>
      <c r="D10" t="s">
        <v>5</v>
      </c>
      <c r="E10">
        <v>0</v>
      </c>
      <c r="F10">
        <v>0</v>
      </c>
      <c r="G10">
        <v>1</v>
      </c>
      <c r="H10">
        <v>0</v>
      </c>
      <c r="I10" t="s">
        <v>13</v>
      </c>
      <c r="J10">
        <v>0</v>
      </c>
      <c r="K10">
        <v>1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6.2</v>
      </c>
      <c r="AE10">
        <v>34</v>
      </c>
      <c r="AF10">
        <v>34.141509433962277</v>
      </c>
      <c r="AG10">
        <v>31.617739389408381</v>
      </c>
      <c r="AH10">
        <f>20.2994039403948*1</f>
        <v>20.2994039403948</v>
      </c>
      <c r="AI10">
        <f>1.82227107987961*1</f>
        <v>1.82227107987961</v>
      </c>
      <c r="AJ10">
        <v>1</v>
      </c>
      <c r="AK10">
        <v>0</v>
      </c>
      <c r="AL10">
        <v>0</v>
      </c>
      <c r="AN10" t="s">
        <v>7</v>
      </c>
      <c r="AO10">
        <v>15</v>
      </c>
      <c r="AP10">
        <f>SUM(SUMPRODUCT(Table1[Selected],Table1[GKP]), SUMPRODUCT(Table1[Selected],Table1[DEF]), SUMPRODUCT(Table1[Selected],Table1[MID]), SUMPRODUCT(Table1[Selected],Table1[FWD]))</f>
        <v>15</v>
      </c>
      <c r="AQ10">
        <v>15</v>
      </c>
    </row>
    <row r="11" spans="1:43" hidden="1" x14ac:dyDescent="0.2">
      <c r="A11" t="s">
        <v>64</v>
      </c>
      <c r="B11" t="s">
        <v>65</v>
      </c>
      <c r="C11" t="s">
        <v>65</v>
      </c>
      <c r="D11" t="s">
        <v>4</v>
      </c>
      <c r="E11">
        <v>0</v>
      </c>
      <c r="F11">
        <v>1</v>
      </c>
      <c r="G11">
        <v>0</v>
      </c>
      <c r="H11">
        <v>0</v>
      </c>
      <c r="I11" t="s">
        <v>13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4.5999999999999996</v>
      </c>
      <c r="AE11">
        <v>42</v>
      </c>
      <c r="AF11">
        <v>27.557725237429469</v>
      </c>
      <c r="AG11">
        <v>37.620717403762782</v>
      </c>
      <c r="AH11">
        <f>16.9192099494915*1</f>
        <v>16.919209949491499</v>
      </c>
      <c r="AI11">
        <f>1.52577750290332*1</f>
        <v>1.52577750290332</v>
      </c>
      <c r="AJ11">
        <v>1</v>
      </c>
      <c r="AK11">
        <v>0</v>
      </c>
      <c r="AL11">
        <v>0</v>
      </c>
    </row>
    <row r="12" spans="1:43" hidden="1" x14ac:dyDescent="0.2">
      <c r="A12" t="s">
        <v>66</v>
      </c>
      <c r="B12" t="s">
        <v>67</v>
      </c>
      <c r="C12" t="s">
        <v>68</v>
      </c>
      <c r="D12" t="s">
        <v>6</v>
      </c>
      <c r="E12">
        <v>0</v>
      </c>
      <c r="F12">
        <v>0</v>
      </c>
      <c r="G12">
        <v>0</v>
      </c>
      <c r="H12">
        <v>1</v>
      </c>
      <c r="I12" t="s">
        <v>13</v>
      </c>
      <c r="J12">
        <v>0</v>
      </c>
      <c r="K12">
        <v>1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5.7</v>
      </c>
      <c r="AE12">
        <v>44</v>
      </c>
      <c r="AF12">
        <v>22.8</v>
      </c>
      <c r="AG12">
        <v>20.895264616714439</v>
      </c>
      <c r="AH12">
        <f>30.6620231604159*1</f>
        <v>30.662023160415899</v>
      </c>
      <c r="AI12">
        <f>2.75146559428919*1</f>
        <v>2.7514655942891899</v>
      </c>
      <c r="AJ12">
        <v>1</v>
      </c>
      <c r="AK12">
        <v>0</v>
      </c>
      <c r="AL12">
        <v>0</v>
      </c>
      <c r="AN12" t="s">
        <v>8</v>
      </c>
      <c r="AO12">
        <f>SUMPRODUCT(Table1[Selected], -- (Table1[PREV] = 0))</f>
        <v>1</v>
      </c>
    </row>
    <row r="13" spans="1:43" hidden="1" x14ac:dyDescent="0.2">
      <c r="A13" t="s">
        <v>69</v>
      </c>
      <c r="B13" t="s">
        <v>70</v>
      </c>
      <c r="C13" t="s">
        <v>71</v>
      </c>
      <c r="D13" t="s">
        <v>4</v>
      </c>
      <c r="E13">
        <v>0</v>
      </c>
      <c r="F13">
        <v>1</v>
      </c>
      <c r="G13">
        <v>0</v>
      </c>
      <c r="H13">
        <v>0</v>
      </c>
      <c r="I13" t="s">
        <v>13</v>
      </c>
      <c r="J13">
        <v>0</v>
      </c>
      <c r="K13">
        <v>1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4.4000000000000004</v>
      </c>
      <c r="AE13">
        <v>50</v>
      </c>
      <c r="AF13">
        <v>30.066666666666642</v>
      </c>
      <c r="AG13">
        <v>30.99979843876061</v>
      </c>
      <c r="AH13">
        <f>15.1089451731956*1</f>
        <v>15.1089451731956</v>
      </c>
      <c r="AI13">
        <f>1.38299349799139*1</f>
        <v>1.38299349799139</v>
      </c>
      <c r="AJ13">
        <v>1</v>
      </c>
      <c r="AK13">
        <v>0</v>
      </c>
      <c r="AL13">
        <v>0</v>
      </c>
      <c r="AN13" t="s">
        <v>9</v>
      </c>
      <c r="AO13">
        <v>1</v>
      </c>
    </row>
    <row r="14" spans="1:43" hidden="1" x14ac:dyDescent="0.2">
      <c r="A14" t="s">
        <v>72</v>
      </c>
      <c r="B14" t="s">
        <v>73</v>
      </c>
      <c r="C14" t="s">
        <v>73</v>
      </c>
      <c r="D14" t="s">
        <v>4</v>
      </c>
      <c r="E14">
        <v>0</v>
      </c>
      <c r="F14">
        <v>1</v>
      </c>
      <c r="G14">
        <v>0</v>
      </c>
      <c r="H14">
        <v>0</v>
      </c>
      <c r="I14" t="s">
        <v>13</v>
      </c>
      <c r="J14">
        <v>0</v>
      </c>
      <c r="K14">
        <v>1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4.5</v>
      </c>
      <c r="AE14">
        <v>51</v>
      </c>
      <c r="AF14">
        <v>0</v>
      </c>
      <c r="AG14">
        <v>0</v>
      </c>
      <c r="AH14">
        <f>0*1</f>
        <v>0</v>
      </c>
      <c r="AI14">
        <f>0*1</f>
        <v>0</v>
      </c>
      <c r="AJ14">
        <v>1</v>
      </c>
      <c r="AK14">
        <v>0</v>
      </c>
      <c r="AL14">
        <v>0</v>
      </c>
    </row>
    <row r="15" spans="1:43" hidden="1" x14ac:dyDescent="0.2">
      <c r="A15" t="s">
        <v>74</v>
      </c>
      <c r="B15" t="s">
        <v>75</v>
      </c>
      <c r="C15" t="s">
        <v>76</v>
      </c>
      <c r="D15" t="s">
        <v>3</v>
      </c>
      <c r="E15">
        <v>1</v>
      </c>
      <c r="F15">
        <v>0</v>
      </c>
      <c r="G15">
        <v>0</v>
      </c>
      <c r="H15">
        <v>0</v>
      </c>
      <c r="I15" t="s">
        <v>13</v>
      </c>
      <c r="J15">
        <v>0</v>
      </c>
      <c r="K15">
        <v>1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5</v>
      </c>
      <c r="AE15">
        <v>53</v>
      </c>
      <c r="AF15">
        <v>35.663157894736862</v>
      </c>
      <c r="AG15">
        <v>39.880709946731074</v>
      </c>
      <c r="AH15">
        <f>17.6814400742346*1</f>
        <v>17.681440074234601</v>
      </c>
      <c r="AI15">
        <f>1.57733079888736*1</f>
        <v>1.5773307988873599</v>
      </c>
      <c r="AJ15">
        <v>1</v>
      </c>
      <c r="AK15">
        <v>0</v>
      </c>
      <c r="AL15">
        <v>0</v>
      </c>
      <c r="AN15" t="s">
        <v>10</v>
      </c>
      <c r="AO15">
        <f>((AO12-AO13)+ABS((AO12-AO13)))/2*4</f>
        <v>0</v>
      </c>
    </row>
    <row r="16" spans="1:43" hidden="1" x14ac:dyDescent="0.2">
      <c r="A16" t="s">
        <v>77</v>
      </c>
      <c r="B16" t="s">
        <v>78</v>
      </c>
      <c r="C16" t="s">
        <v>78</v>
      </c>
      <c r="D16" t="s">
        <v>5</v>
      </c>
      <c r="E16">
        <v>0</v>
      </c>
      <c r="F16">
        <v>0</v>
      </c>
      <c r="G16">
        <v>1</v>
      </c>
      <c r="H16">
        <v>0</v>
      </c>
      <c r="I16" t="s">
        <v>13</v>
      </c>
      <c r="J16">
        <v>0</v>
      </c>
      <c r="K16">
        <v>1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5.2</v>
      </c>
      <c r="AE16">
        <v>54</v>
      </c>
      <c r="AF16">
        <v>32.163043478260882</v>
      </c>
      <c r="AG16">
        <v>34.060852811190337</v>
      </c>
      <c r="AH16">
        <f>15.196110392258*1</f>
        <v>15.196110392257999</v>
      </c>
      <c r="AI16">
        <f>1.42482037897315*1</f>
        <v>1.4248203789731499</v>
      </c>
      <c r="AJ16">
        <v>1</v>
      </c>
      <c r="AK16">
        <v>0</v>
      </c>
      <c r="AL16">
        <v>0</v>
      </c>
    </row>
    <row r="17" spans="1:42" hidden="1" x14ac:dyDescent="0.2">
      <c r="A17" t="s">
        <v>79</v>
      </c>
      <c r="B17" t="s">
        <v>80</v>
      </c>
      <c r="C17" t="s">
        <v>80</v>
      </c>
      <c r="D17" t="s">
        <v>5</v>
      </c>
      <c r="E17">
        <v>0</v>
      </c>
      <c r="F17">
        <v>0</v>
      </c>
      <c r="G17">
        <v>1</v>
      </c>
      <c r="H17">
        <v>0</v>
      </c>
      <c r="I17" t="s">
        <v>13</v>
      </c>
      <c r="J17">
        <v>0</v>
      </c>
      <c r="K17">
        <v>1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5.7</v>
      </c>
      <c r="AE17">
        <v>60</v>
      </c>
      <c r="AF17">
        <v>0</v>
      </c>
      <c r="AG17">
        <v>0</v>
      </c>
      <c r="AH17">
        <f>0*1</f>
        <v>0</v>
      </c>
      <c r="AI17">
        <f>0*1</f>
        <v>0</v>
      </c>
      <c r="AJ17">
        <v>1</v>
      </c>
      <c r="AK17">
        <v>0</v>
      </c>
      <c r="AL17">
        <v>0</v>
      </c>
      <c r="AN17" t="s">
        <v>11</v>
      </c>
      <c r="AO17">
        <f>AO2-AO15*12</f>
        <v>960.55521223177493</v>
      </c>
    </row>
    <row r="18" spans="1:42" hidden="1" x14ac:dyDescent="0.2">
      <c r="A18" t="s">
        <v>81</v>
      </c>
      <c r="B18" t="s">
        <v>82</v>
      </c>
      <c r="C18" t="s">
        <v>82</v>
      </c>
      <c r="D18" t="s">
        <v>5</v>
      </c>
      <c r="E18">
        <v>0</v>
      </c>
      <c r="F18">
        <v>0</v>
      </c>
      <c r="G18">
        <v>1</v>
      </c>
      <c r="H18">
        <v>0</v>
      </c>
      <c r="I18" t="s">
        <v>13</v>
      </c>
      <c r="J18">
        <v>0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5.5</v>
      </c>
      <c r="AE18">
        <v>63</v>
      </c>
      <c r="AF18">
        <v>34.995098039215662</v>
      </c>
      <c r="AG18">
        <v>36.953895085114887</v>
      </c>
      <c r="AH18">
        <f>20.3239511669003*1</f>
        <v>20.323951166900301</v>
      </c>
      <c r="AI18">
        <f>1.77005882345187*1</f>
        <v>1.7700588234518699</v>
      </c>
      <c r="AJ18">
        <v>1</v>
      </c>
      <c r="AK18">
        <v>0</v>
      </c>
      <c r="AL18">
        <v>0</v>
      </c>
    </row>
    <row r="19" spans="1:42" hidden="1" x14ac:dyDescent="0.2">
      <c r="A19" t="s">
        <v>83</v>
      </c>
      <c r="B19" t="s">
        <v>84</v>
      </c>
      <c r="C19" t="s">
        <v>84</v>
      </c>
      <c r="D19" t="s">
        <v>6</v>
      </c>
      <c r="E19">
        <v>0</v>
      </c>
      <c r="F19">
        <v>0</v>
      </c>
      <c r="G19">
        <v>0</v>
      </c>
      <c r="H19">
        <v>1</v>
      </c>
      <c r="I19" t="s">
        <v>13</v>
      </c>
      <c r="J19">
        <v>0</v>
      </c>
      <c r="K19">
        <v>1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8.9</v>
      </c>
      <c r="AE19">
        <v>64</v>
      </c>
      <c r="AF19">
        <v>52.614457831325318</v>
      </c>
      <c r="AG19">
        <v>53.320134515022147</v>
      </c>
      <c r="AH19">
        <f>35.3435252352197*1</f>
        <v>35.343525235219701</v>
      </c>
      <c r="AI19">
        <f>3.16392767480697*1</f>
        <v>3.16392767480697</v>
      </c>
      <c r="AJ19">
        <v>1</v>
      </c>
      <c r="AK19">
        <v>0</v>
      </c>
      <c r="AL19">
        <v>0</v>
      </c>
      <c r="AN19" t="s">
        <v>12</v>
      </c>
      <c r="AO19">
        <f>SUMPRODUCT(Table1[Selected],Table1[ARS])</f>
        <v>0</v>
      </c>
      <c r="AP19">
        <v>3</v>
      </c>
    </row>
    <row r="20" spans="1:42" hidden="1" x14ac:dyDescent="0.2">
      <c r="A20" t="s">
        <v>51</v>
      </c>
      <c r="B20" t="s">
        <v>85</v>
      </c>
      <c r="C20" t="s">
        <v>85</v>
      </c>
      <c r="D20" t="s">
        <v>5</v>
      </c>
      <c r="E20">
        <v>0</v>
      </c>
      <c r="F20">
        <v>0</v>
      </c>
      <c r="G20">
        <v>1</v>
      </c>
      <c r="H20">
        <v>0</v>
      </c>
      <c r="I20" t="s">
        <v>14</v>
      </c>
      <c r="J20">
        <v>0</v>
      </c>
      <c r="K20">
        <v>0</v>
      </c>
      <c r="L20">
        <v>1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4.9000000000000004</v>
      </c>
      <c r="AE20">
        <v>81</v>
      </c>
      <c r="AF20">
        <v>28.021957813037378</v>
      </c>
      <c r="AG20">
        <v>36.729440281695098</v>
      </c>
      <c r="AH20">
        <f>8.29955844084286*1</f>
        <v>8.2995584408428602</v>
      </c>
      <c r="AI20">
        <f>0.628608460620307*1</f>
        <v>0.62860846062030695</v>
      </c>
      <c r="AJ20">
        <v>1</v>
      </c>
      <c r="AK20">
        <v>0</v>
      </c>
      <c r="AL20">
        <v>0</v>
      </c>
      <c r="AN20" t="s">
        <v>13</v>
      </c>
      <c r="AO20">
        <f>SUMPRODUCT(Table1[Selected],Table1[AVL])</f>
        <v>0</v>
      </c>
      <c r="AP20">
        <v>3</v>
      </c>
    </row>
    <row r="21" spans="1:42" hidden="1" x14ac:dyDescent="0.2">
      <c r="A21" t="s">
        <v>86</v>
      </c>
      <c r="B21" t="s">
        <v>87</v>
      </c>
      <c r="C21" t="s">
        <v>87</v>
      </c>
      <c r="D21" t="s">
        <v>5</v>
      </c>
      <c r="E21">
        <v>0</v>
      </c>
      <c r="F21">
        <v>0</v>
      </c>
      <c r="G21">
        <v>1</v>
      </c>
      <c r="H21">
        <v>0</v>
      </c>
      <c r="I21" t="s">
        <v>14</v>
      </c>
      <c r="J21">
        <v>0</v>
      </c>
      <c r="K21">
        <v>0</v>
      </c>
      <c r="L21">
        <v>1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4.9000000000000004</v>
      </c>
      <c r="AE21">
        <v>82</v>
      </c>
      <c r="AF21">
        <v>27.824175824175811</v>
      </c>
      <c r="AG21">
        <v>20.27926824660344</v>
      </c>
      <c r="AH21">
        <f>23.717648461579*1</f>
        <v>23.717648461579</v>
      </c>
      <c r="AI21">
        <f>1.98955999082863*1</f>
        <v>1.9895599908286301</v>
      </c>
      <c r="AJ21">
        <v>1</v>
      </c>
      <c r="AK21">
        <v>0</v>
      </c>
      <c r="AL21">
        <v>0</v>
      </c>
      <c r="AN21" t="s">
        <v>14</v>
      </c>
      <c r="AO21">
        <f>SUMPRODUCT(Table1[Selected],Table1[BOU])</f>
        <v>3</v>
      </c>
      <c r="AP21">
        <v>3</v>
      </c>
    </row>
    <row r="22" spans="1:42" hidden="1" x14ac:dyDescent="0.2">
      <c r="A22" t="s">
        <v>88</v>
      </c>
      <c r="B22" t="s">
        <v>89</v>
      </c>
      <c r="C22" t="s">
        <v>89</v>
      </c>
      <c r="D22" t="s">
        <v>5</v>
      </c>
      <c r="E22">
        <v>0</v>
      </c>
      <c r="F22">
        <v>0</v>
      </c>
      <c r="G22">
        <v>1</v>
      </c>
      <c r="H22">
        <v>0</v>
      </c>
      <c r="I22" t="s">
        <v>14</v>
      </c>
      <c r="J22">
        <v>0</v>
      </c>
      <c r="K22">
        <v>0</v>
      </c>
      <c r="L22">
        <v>1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5</v>
      </c>
      <c r="AE22">
        <v>83</v>
      </c>
      <c r="AF22">
        <v>26.477409139634862</v>
      </c>
      <c r="AG22">
        <v>19.947445262304431</v>
      </c>
      <c r="AH22">
        <f>26.9782498079525*1</f>
        <v>26.978249807952501</v>
      </c>
      <c r="AI22">
        <f>2.24704427335234*1</f>
        <v>2.2470442733523401</v>
      </c>
      <c r="AJ22">
        <v>1</v>
      </c>
      <c r="AK22">
        <v>0</v>
      </c>
      <c r="AL22">
        <v>0</v>
      </c>
      <c r="AN22" t="s">
        <v>15</v>
      </c>
      <c r="AO22">
        <f>SUMPRODUCT(Table1[Selected],Table1[BRE])</f>
        <v>1</v>
      </c>
      <c r="AP22">
        <v>3</v>
      </c>
    </row>
    <row r="23" spans="1:42" x14ac:dyDescent="0.2">
      <c r="A23" t="s">
        <v>94</v>
      </c>
      <c r="B23" t="s">
        <v>95</v>
      </c>
      <c r="C23" t="s">
        <v>96</v>
      </c>
      <c r="D23" t="s">
        <v>5</v>
      </c>
      <c r="E23">
        <v>0</v>
      </c>
      <c r="F23">
        <v>0</v>
      </c>
      <c r="G23">
        <v>1</v>
      </c>
      <c r="H23">
        <v>0</v>
      </c>
      <c r="I23" t="s">
        <v>14</v>
      </c>
      <c r="J23">
        <v>0</v>
      </c>
      <c r="K23">
        <v>0</v>
      </c>
      <c r="L23">
        <v>1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5.2</v>
      </c>
      <c r="AE23">
        <v>92</v>
      </c>
      <c r="AF23">
        <v>99.780964500586336</v>
      </c>
      <c r="AG23">
        <v>20.9586436490853</v>
      </c>
      <c r="AH23">
        <f>129.868300122455*1</f>
        <v>129.868300122455</v>
      </c>
      <c r="AI23">
        <f>14.1644622177944*1</f>
        <v>14.1644622177944</v>
      </c>
      <c r="AJ23">
        <v>1</v>
      </c>
      <c r="AK23">
        <v>1</v>
      </c>
      <c r="AL23">
        <v>1</v>
      </c>
      <c r="AN23" t="s">
        <v>16</v>
      </c>
      <c r="AO23">
        <f>SUMPRODUCT(Table1[Selected],Table1[BHA])</f>
        <v>0</v>
      </c>
      <c r="AP23">
        <v>3</v>
      </c>
    </row>
    <row r="24" spans="1:42" x14ac:dyDescent="0.2">
      <c r="A24" t="s">
        <v>320</v>
      </c>
      <c r="B24" t="s">
        <v>321</v>
      </c>
      <c r="C24" t="s">
        <v>321</v>
      </c>
      <c r="D24" t="s">
        <v>6</v>
      </c>
      <c r="E24">
        <v>0</v>
      </c>
      <c r="F24">
        <v>0</v>
      </c>
      <c r="G24">
        <v>0</v>
      </c>
      <c r="H24">
        <v>1</v>
      </c>
      <c r="I24" t="s">
        <v>26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1</v>
      </c>
      <c r="Y24">
        <v>0</v>
      </c>
      <c r="Z24">
        <v>0</v>
      </c>
      <c r="AA24">
        <v>0</v>
      </c>
      <c r="AB24">
        <v>0</v>
      </c>
      <c r="AC24">
        <v>0</v>
      </c>
      <c r="AD24">
        <v>9.5</v>
      </c>
      <c r="AE24">
        <v>557</v>
      </c>
      <c r="AF24">
        <v>86.29712969027554</v>
      </c>
      <c r="AG24">
        <v>59.770910954093168</v>
      </c>
      <c r="AH24">
        <f>85.2888866759735*1</f>
        <v>85.288886675973501</v>
      </c>
      <c r="AI24">
        <f>7.3072841275189*1</f>
        <v>7.3072841275189004</v>
      </c>
      <c r="AJ24">
        <v>1</v>
      </c>
      <c r="AK24">
        <v>1</v>
      </c>
      <c r="AL24">
        <v>1</v>
      </c>
      <c r="AN24" t="s">
        <v>17</v>
      </c>
      <c r="AO24">
        <f>SUMPRODUCT(Table1[Selected],Table1[CHE])</f>
        <v>0</v>
      </c>
      <c r="AP24">
        <v>3</v>
      </c>
    </row>
    <row r="25" spans="1:42" x14ac:dyDescent="0.2">
      <c r="A25" t="s">
        <v>115</v>
      </c>
      <c r="B25" t="s">
        <v>116</v>
      </c>
      <c r="C25" t="s">
        <v>116</v>
      </c>
      <c r="D25" t="s">
        <v>5</v>
      </c>
      <c r="E25">
        <v>0</v>
      </c>
      <c r="F25">
        <v>0</v>
      </c>
      <c r="G25">
        <v>1</v>
      </c>
      <c r="H25">
        <v>0</v>
      </c>
      <c r="I25" t="s">
        <v>15</v>
      </c>
      <c r="J25">
        <v>0</v>
      </c>
      <c r="K25">
        <v>0</v>
      </c>
      <c r="L25">
        <v>0</v>
      </c>
      <c r="M25">
        <v>1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8</v>
      </c>
      <c r="AE25">
        <v>132</v>
      </c>
      <c r="AF25">
        <v>70.314176821478625</v>
      </c>
      <c r="AG25">
        <v>50.15670655817766</v>
      </c>
      <c r="AH25">
        <f>80.1742882794181*1</f>
        <v>80.174288279418107</v>
      </c>
      <c r="AI25">
        <f>6.82889298475332*1</f>
        <v>6.8288929847533204</v>
      </c>
      <c r="AJ25">
        <v>1</v>
      </c>
      <c r="AK25">
        <v>1</v>
      </c>
      <c r="AL25">
        <v>1</v>
      </c>
      <c r="AN25" t="s">
        <v>18</v>
      </c>
      <c r="AO25">
        <f>SUMPRODUCT(Table1[Selected],Table1[CRY])</f>
        <v>0</v>
      </c>
      <c r="AP25">
        <v>3</v>
      </c>
    </row>
    <row r="26" spans="1:42" hidden="1" x14ac:dyDescent="0.2">
      <c r="A26" t="s">
        <v>97</v>
      </c>
      <c r="B26" t="s">
        <v>98</v>
      </c>
      <c r="C26" t="s">
        <v>98</v>
      </c>
      <c r="D26" t="s">
        <v>5</v>
      </c>
      <c r="E26">
        <v>0</v>
      </c>
      <c r="F26">
        <v>0</v>
      </c>
      <c r="G26">
        <v>1</v>
      </c>
      <c r="H26">
        <v>0</v>
      </c>
      <c r="I26" t="s">
        <v>14</v>
      </c>
      <c r="J26">
        <v>0</v>
      </c>
      <c r="K26">
        <v>0</v>
      </c>
      <c r="L26">
        <v>1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5.7</v>
      </c>
      <c r="AE26">
        <v>96</v>
      </c>
      <c r="AF26">
        <v>50.753427516615211</v>
      </c>
      <c r="AG26">
        <v>30.422170669119229</v>
      </c>
      <c r="AH26">
        <f>28.7348489170023*1</f>
        <v>28.734848917002299</v>
      </c>
      <c r="AI26">
        <f>2.38239709655784*1</f>
        <v>2.38239709655784</v>
      </c>
      <c r="AJ26">
        <v>1</v>
      </c>
      <c r="AK26">
        <v>0</v>
      </c>
      <c r="AL26">
        <v>0</v>
      </c>
      <c r="AN26" t="s">
        <v>19</v>
      </c>
      <c r="AO26">
        <f>SUMPRODUCT(Table1[Selected],Table1[EVE])</f>
        <v>2</v>
      </c>
      <c r="AP26">
        <v>3</v>
      </c>
    </row>
    <row r="27" spans="1:42" hidden="1" x14ac:dyDescent="0.2">
      <c r="A27" t="s">
        <v>99</v>
      </c>
      <c r="B27" t="s">
        <v>100</v>
      </c>
      <c r="C27" t="s">
        <v>100</v>
      </c>
      <c r="D27" t="s">
        <v>5</v>
      </c>
      <c r="E27">
        <v>0</v>
      </c>
      <c r="F27">
        <v>0</v>
      </c>
      <c r="G27">
        <v>1</v>
      </c>
      <c r="H27">
        <v>0</v>
      </c>
      <c r="I27" t="s">
        <v>14</v>
      </c>
      <c r="J27">
        <v>0</v>
      </c>
      <c r="K27">
        <v>0</v>
      </c>
      <c r="L27">
        <v>1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5.4</v>
      </c>
      <c r="AE27">
        <v>100</v>
      </c>
      <c r="AF27">
        <v>40.628571428571412</v>
      </c>
      <c r="AG27">
        <v>45.64038724804081</v>
      </c>
      <c r="AH27">
        <f>17.7969486503723*1</f>
        <v>17.7969486503723</v>
      </c>
      <c r="AI27">
        <f>1.45712644686287*1</f>
        <v>1.45712644686287</v>
      </c>
      <c r="AJ27">
        <v>1</v>
      </c>
      <c r="AK27">
        <v>0</v>
      </c>
      <c r="AL27">
        <v>0</v>
      </c>
      <c r="AN27" t="s">
        <v>20</v>
      </c>
      <c r="AO27">
        <f>SUMPRODUCT(Table1[Selected],Table1[FUL])</f>
        <v>1</v>
      </c>
      <c r="AP27">
        <v>3</v>
      </c>
    </row>
    <row r="28" spans="1:42" hidden="1" x14ac:dyDescent="0.2">
      <c r="A28" t="s">
        <v>101</v>
      </c>
      <c r="B28" t="s">
        <v>102</v>
      </c>
      <c r="C28" t="s">
        <v>102</v>
      </c>
      <c r="D28" t="s">
        <v>4</v>
      </c>
      <c r="E28">
        <v>0</v>
      </c>
      <c r="F28">
        <v>1</v>
      </c>
      <c r="G28">
        <v>0</v>
      </c>
      <c r="H28">
        <v>0</v>
      </c>
      <c r="I28" t="s">
        <v>14</v>
      </c>
      <c r="J28">
        <v>0</v>
      </c>
      <c r="K28">
        <v>0</v>
      </c>
      <c r="L28">
        <v>1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4.4000000000000004</v>
      </c>
      <c r="AE28">
        <v>102</v>
      </c>
      <c r="AF28">
        <v>27.999999999999989</v>
      </c>
      <c r="AG28">
        <v>23.011724890413522</v>
      </c>
      <c r="AH28">
        <f>20.7742447990484*1</f>
        <v>20.7742447990484</v>
      </c>
      <c r="AI28">
        <f>1.70697296115952*1</f>
        <v>1.7069729611595199</v>
      </c>
      <c r="AJ28">
        <v>1</v>
      </c>
      <c r="AK28">
        <v>0</v>
      </c>
      <c r="AL28">
        <v>0</v>
      </c>
      <c r="AN28" t="s">
        <v>21</v>
      </c>
      <c r="AO28">
        <f>SUMPRODUCT(Table1[Selected],Table1[IPS])</f>
        <v>0</v>
      </c>
      <c r="AP28">
        <v>3</v>
      </c>
    </row>
    <row r="29" spans="1:42" hidden="1" x14ac:dyDescent="0.2">
      <c r="A29" t="s">
        <v>103</v>
      </c>
      <c r="B29" t="s">
        <v>104</v>
      </c>
      <c r="C29" t="s">
        <v>104</v>
      </c>
      <c r="D29" t="s">
        <v>3</v>
      </c>
      <c r="E29">
        <v>1</v>
      </c>
      <c r="F29">
        <v>0</v>
      </c>
      <c r="G29">
        <v>0</v>
      </c>
      <c r="H29">
        <v>0</v>
      </c>
      <c r="I29" t="s">
        <v>14</v>
      </c>
      <c r="J29">
        <v>0</v>
      </c>
      <c r="K29">
        <v>0</v>
      </c>
      <c r="L29">
        <v>1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4.5999999999999996</v>
      </c>
      <c r="AE29">
        <v>103</v>
      </c>
      <c r="AF29">
        <v>44.292682926829293</v>
      </c>
      <c r="AG29">
        <v>36.559650035390597</v>
      </c>
      <c r="AH29">
        <f>31.9787930879439*1</f>
        <v>31.978793087943899</v>
      </c>
      <c r="AI29">
        <f>2.65741387027963*1</f>
        <v>2.6574138702796302</v>
      </c>
      <c r="AJ29">
        <v>1</v>
      </c>
      <c r="AK29">
        <v>0</v>
      </c>
      <c r="AL29">
        <v>0</v>
      </c>
      <c r="AN29" t="s">
        <v>22</v>
      </c>
      <c r="AO29">
        <f>SUMPRODUCT(Table1[Selected],Table1[LEI])</f>
        <v>0</v>
      </c>
      <c r="AP29">
        <v>3</v>
      </c>
    </row>
    <row r="30" spans="1:42" hidden="1" x14ac:dyDescent="0.2">
      <c r="A30" t="s">
        <v>105</v>
      </c>
      <c r="B30" t="s">
        <v>106</v>
      </c>
      <c r="C30" t="s">
        <v>106</v>
      </c>
      <c r="D30" t="s">
        <v>4</v>
      </c>
      <c r="E30">
        <v>0</v>
      </c>
      <c r="F30">
        <v>1</v>
      </c>
      <c r="G30">
        <v>0</v>
      </c>
      <c r="H30">
        <v>0</v>
      </c>
      <c r="I30" t="s">
        <v>15</v>
      </c>
      <c r="J30">
        <v>0</v>
      </c>
      <c r="K30">
        <v>0</v>
      </c>
      <c r="L30">
        <v>0</v>
      </c>
      <c r="M30">
        <v>1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4.5</v>
      </c>
      <c r="AE30">
        <v>121</v>
      </c>
      <c r="AF30">
        <v>32.079207920792093</v>
      </c>
      <c r="AG30">
        <v>29.6032736555388</v>
      </c>
      <c r="AH30">
        <f>30.9987830019516*1</f>
        <v>30.998783001951601</v>
      </c>
      <c r="AI30">
        <f>2.54765580285473*1</f>
        <v>2.54765580285473</v>
      </c>
      <c r="AJ30">
        <v>1</v>
      </c>
      <c r="AK30">
        <v>0</v>
      </c>
      <c r="AL30">
        <v>0</v>
      </c>
      <c r="AN30" t="s">
        <v>23</v>
      </c>
      <c r="AO30">
        <f>SUMPRODUCT(Table1[Selected],Table1[LIV])</f>
        <v>1</v>
      </c>
      <c r="AP30">
        <v>3</v>
      </c>
    </row>
    <row r="31" spans="1:42" hidden="1" x14ac:dyDescent="0.2">
      <c r="A31" t="s">
        <v>107</v>
      </c>
      <c r="B31" t="s">
        <v>108</v>
      </c>
      <c r="C31" t="s">
        <v>108</v>
      </c>
      <c r="D31" t="s">
        <v>5</v>
      </c>
      <c r="E31">
        <v>0</v>
      </c>
      <c r="F31">
        <v>0</v>
      </c>
      <c r="G31">
        <v>1</v>
      </c>
      <c r="H31">
        <v>0</v>
      </c>
      <c r="I31" t="s">
        <v>15</v>
      </c>
      <c r="J31">
        <v>0</v>
      </c>
      <c r="K31">
        <v>0</v>
      </c>
      <c r="L31">
        <v>0</v>
      </c>
      <c r="M31">
        <v>1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5.0999999999999996</v>
      </c>
      <c r="AE31">
        <v>122</v>
      </c>
      <c r="AF31">
        <v>55.483700380053889</v>
      </c>
      <c r="AG31">
        <v>22.5971183853583</v>
      </c>
      <c r="AH31">
        <f>83.0542980417592*1</f>
        <v>83.054298041759196</v>
      </c>
      <c r="AI31">
        <f>7.90540316579329*1</f>
        <v>7.9054031657932899</v>
      </c>
      <c r="AJ31">
        <v>1</v>
      </c>
      <c r="AK31">
        <v>0</v>
      </c>
      <c r="AL31">
        <v>0</v>
      </c>
      <c r="AN31" t="s">
        <v>24</v>
      </c>
      <c r="AO31">
        <f>SUMPRODUCT(Table1[Selected],Table1[MCI])</f>
        <v>0</v>
      </c>
      <c r="AP31">
        <v>3</v>
      </c>
    </row>
    <row r="32" spans="1:42" hidden="1" x14ac:dyDescent="0.2">
      <c r="A32" t="s">
        <v>109</v>
      </c>
      <c r="B32" t="s">
        <v>110</v>
      </c>
      <c r="C32" t="s">
        <v>110</v>
      </c>
      <c r="D32" t="s">
        <v>3</v>
      </c>
      <c r="E32">
        <v>1</v>
      </c>
      <c r="F32">
        <v>0</v>
      </c>
      <c r="G32">
        <v>0</v>
      </c>
      <c r="H32">
        <v>0</v>
      </c>
      <c r="I32" t="s">
        <v>15</v>
      </c>
      <c r="J32">
        <v>0</v>
      </c>
      <c r="K32">
        <v>0</v>
      </c>
      <c r="L32">
        <v>0</v>
      </c>
      <c r="M32">
        <v>1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4.4000000000000004</v>
      </c>
      <c r="AE32">
        <v>124</v>
      </c>
      <c r="AF32">
        <v>40.327868852459027</v>
      </c>
      <c r="AG32">
        <v>34.857424317161303</v>
      </c>
      <c r="AH32">
        <f>15.186589221714*1</f>
        <v>15.186589221714</v>
      </c>
      <c r="AI32">
        <f>1.33096288586666*1</f>
        <v>1.33096288586666</v>
      </c>
      <c r="AJ32">
        <v>1</v>
      </c>
      <c r="AK32">
        <v>0</v>
      </c>
      <c r="AL32">
        <v>0</v>
      </c>
      <c r="AN32" t="s">
        <v>25</v>
      </c>
      <c r="AO32">
        <f>SUMPRODUCT(Table1[Selected],Table1[MUN])</f>
        <v>1</v>
      </c>
      <c r="AP32">
        <v>3</v>
      </c>
    </row>
    <row r="33" spans="1:42" hidden="1" x14ac:dyDescent="0.2">
      <c r="A33" t="s">
        <v>111</v>
      </c>
      <c r="B33" t="s">
        <v>112</v>
      </c>
      <c r="C33" t="s">
        <v>112</v>
      </c>
      <c r="D33" t="s">
        <v>5</v>
      </c>
      <c r="E33">
        <v>0</v>
      </c>
      <c r="F33">
        <v>0</v>
      </c>
      <c r="G33">
        <v>1</v>
      </c>
      <c r="H33">
        <v>0</v>
      </c>
      <c r="I33" t="s">
        <v>15</v>
      </c>
      <c r="J33">
        <v>0</v>
      </c>
      <c r="K33">
        <v>0</v>
      </c>
      <c r="L33">
        <v>0</v>
      </c>
      <c r="M33">
        <v>1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4.9000000000000004</v>
      </c>
      <c r="AE33">
        <v>127</v>
      </c>
      <c r="AF33">
        <v>31.200000000000021</v>
      </c>
      <c r="AG33">
        <v>33.026233940321873</v>
      </c>
      <c r="AH33">
        <f>20.2393719357642*1</f>
        <v>20.239371935764201</v>
      </c>
      <c r="AI33">
        <f>1.64211567495871*1</f>
        <v>1.64211567495871</v>
      </c>
      <c r="AJ33">
        <v>1</v>
      </c>
      <c r="AK33">
        <v>0</v>
      </c>
      <c r="AL33">
        <v>0</v>
      </c>
      <c r="AN33" t="s">
        <v>26</v>
      </c>
      <c r="AO33">
        <f>SUMPRODUCT(Table1[Selected],Table1[NEW])</f>
        <v>2</v>
      </c>
      <c r="AP33">
        <v>3</v>
      </c>
    </row>
    <row r="34" spans="1:42" hidden="1" x14ac:dyDescent="0.2">
      <c r="A34" t="s">
        <v>113</v>
      </c>
      <c r="B34" t="s">
        <v>114</v>
      </c>
      <c r="C34" t="s">
        <v>114</v>
      </c>
      <c r="D34" t="s">
        <v>5</v>
      </c>
      <c r="E34">
        <v>0</v>
      </c>
      <c r="F34">
        <v>0</v>
      </c>
      <c r="G34">
        <v>1</v>
      </c>
      <c r="H34">
        <v>0</v>
      </c>
      <c r="I34" t="s">
        <v>15</v>
      </c>
      <c r="J34">
        <v>0</v>
      </c>
      <c r="K34">
        <v>0</v>
      </c>
      <c r="L34">
        <v>0</v>
      </c>
      <c r="M34">
        <v>1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5</v>
      </c>
      <c r="AE34">
        <v>131</v>
      </c>
      <c r="AF34">
        <v>28.615384615384642</v>
      </c>
      <c r="AG34">
        <v>22.157513637937601</v>
      </c>
      <c r="AH34">
        <f>25.606205956906*1</f>
        <v>25.606205956905999</v>
      </c>
      <c r="AI34">
        <f>2.1235059283878*1</f>
        <v>2.1235059283878002</v>
      </c>
      <c r="AJ34">
        <v>1</v>
      </c>
      <c r="AK34">
        <v>0</v>
      </c>
      <c r="AL34">
        <v>0</v>
      </c>
      <c r="AN34" t="s">
        <v>27</v>
      </c>
      <c r="AO34">
        <f>SUMPRODUCT(Table1[Selected],Table1[NFO])</f>
        <v>3</v>
      </c>
      <c r="AP34">
        <v>3</v>
      </c>
    </row>
    <row r="35" spans="1:42" x14ac:dyDescent="0.2">
      <c r="A35" t="s">
        <v>268</v>
      </c>
      <c r="B35" t="s">
        <v>269</v>
      </c>
      <c r="C35" t="s">
        <v>270</v>
      </c>
      <c r="D35" t="s">
        <v>5</v>
      </c>
      <c r="E35">
        <v>0</v>
      </c>
      <c r="F35">
        <v>0</v>
      </c>
      <c r="G35">
        <v>1</v>
      </c>
      <c r="H35">
        <v>0</v>
      </c>
      <c r="I35" t="s">
        <v>23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1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13.7</v>
      </c>
      <c r="AE35">
        <v>449</v>
      </c>
      <c r="AF35">
        <v>79.460526315789451</v>
      </c>
      <c r="AG35">
        <v>83.476637027745298</v>
      </c>
      <c r="AH35">
        <f>74.4153173958629*1</f>
        <v>74.4153173958629</v>
      </c>
      <c r="AI35">
        <f>6.79406768539463*1</f>
        <v>6.79406768539463</v>
      </c>
      <c r="AJ35">
        <v>1</v>
      </c>
      <c r="AK35">
        <v>1</v>
      </c>
      <c r="AL35">
        <v>1</v>
      </c>
      <c r="AN35" t="s">
        <v>28</v>
      </c>
      <c r="AO35">
        <f>SUMPRODUCT(Table1[Selected],Table1[SOU])</f>
        <v>0</v>
      </c>
      <c r="AP35">
        <v>3</v>
      </c>
    </row>
    <row r="36" spans="1:42" hidden="1" x14ac:dyDescent="0.2">
      <c r="A36" t="s">
        <v>117</v>
      </c>
      <c r="B36" t="s">
        <v>118</v>
      </c>
      <c r="C36" t="s">
        <v>118</v>
      </c>
      <c r="D36" t="s">
        <v>5</v>
      </c>
      <c r="E36">
        <v>0</v>
      </c>
      <c r="F36">
        <v>0</v>
      </c>
      <c r="G36">
        <v>1</v>
      </c>
      <c r="H36">
        <v>0</v>
      </c>
      <c r="I36" t="s">
        <v>15</v>
      </c>
      <c r="J36">
        <v>0</v>
      </c>
      <c r="K36">
        <v>0</v>
      </c>
      <c r="L36">
        <v>0</v>
      </c>
      <c r="M36">
        <v>1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4.8</v>
      </c>
      <c r="AE36">
        <v>134</v>
      </c>
      <c r="AF36">
        <v>33.735849056603783</v>
      </c>
      <c r="AG36">
        <v>31.999231957494558</v>
      </c>
      <c r="AH36">
        <f>18.0455944414485*1</f>
        <v>18.0455944414485</v>
      </c>
      <c r="AI36">
        <f>1.55340227934327*1</f>
        <v>1.55340227934327</v>
      </c>
      <c r="AJ36">
        <v>1</v>
      </c>
      <c r="AK36">
        <v>0</v>
      </c>
      <c r="AL36">
        <v>0</v>
      </c>
      <c r="AN36" t="s">
        <v>29</v>
      </c>
      <c r="AO36">
        <f>SUMPRODUCT(Table1[Selected],Table1[TOT])</f>
        <v>0</v>
      </c>
      <c r="AP36">
        <v>3</v>
      </c>
    </row>
    <row r="37" spans="1:42" hidden="1" x14ac:dyDescent="0.2">
      <c r="A37" t="s">
        <v>119</v>
      </c>
      <c r="B37" t="s">
        <v>120</v>
      </c>
      <c r="C37" t="s">
        <v>121</v>
      </c>
      <c r="D37" t="s">
        <v>4</v>
      </c>
      <c r="E37">
        <v>0</v>
      </c>
      <c r="F37">
        <v>1</v>
      </c>
      <c r="G37">
        <v>0</v>
      </c>
      <c r="H37">
        <v>0</v>
      </c>
      <c r="I37" t="s">
        <v>15</v>
      </c>
      <c r="J37">
        <v>0</v>
      </c>
      <c r="K37">
        <v>0</v>
      </c>
      <c r="L37">
        <v>0</v>
      </c>
      <c r="M37">
        <v>1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4.3</v>
      </c>
      <c r="AE37">
        <v>138</v>
      </c>
      <c r="AF37">
        <v>23.657401796069319</v>
      </c>
      <c r="AG37">
        <v>26.319710379306201</v>
      </c>
      <c r="AH37">
        <f>16.5612768039564*1</f>
        <v>16.5612768039564</v>
      </c>
      <c r="AI37">
        <f>1.50238902730562*1</f>
        <v>1.50238902730562</v>
      </c>
      <c r="AJ37">
        <v>1</v>
      </c>
      <c r="AK37">
        <v>0</v>
      </c>
      <c r="AL37">
        <v>0</v>
      </c>
      <c r="AN37" t="s">
        <v>30</v>
      </c>
      <c r="AO37">
        <f>SUMPRODUCT(Table1[Selected],Table1[WHU])</f>
        <v>0</v>
      </c>
      <c r="AP37">
        <v>3</v>
      </c>
    </row>
    <row r="38" spans="1:42" hidden="1" x14ac:dyDescent="0.2">
      <c r="A38" t="s">
        <v>122</v>
      </c>
      <c r="B38" t="s">
        <v>123</v>
      </c>
      <c r="C38" t="s">
        <v>123</v>
      </c>
      <c r="D38" t="s">
        <v>5</v>
      </c>
      <c r="E38">
        <v>0</v>
      </c>
      <c r="F38">
        <v>0</v>
      </c>
      <c r="G38">
        <v>1</v>
      </c>
      <c r="H38">
        <v>0</v>
      </c>
      <c r="I38" t="s">
        <v>15</v>
      </c>
      <c r="J38">
        <v>0</v>
      </c>
      <c r="K38">
        <v>0</v>
      </c>
      <c r="L38">
        <v>0</v>
      </c>
      <c r="M38">
        <v>1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5.0999999999999996</v>
      </c>
      <c r="AE38">
        <v>139</v>
      </c>
      <c r="AF38">
        <v>35.1111111111111</v>
      </c>
      <c r="AG38">
        <v>31.927210817280621</v>
      </c>
      <c r="AH38">
        <f>27.3341220582728*1</f>
        <v>27.334122058272801</v>
      </c>
      <c r="AI38">
        <f>2.4104187181549*1</f>
        <v>2.4104187181548999</v>
      </c>
      <c r="AJ38">
        <v>1</v>
      </c>
      <c r="AK38">
        <v>0</v>
      </c>
      <c r="AL38">
        <v>0</v>
      </c>
      <c r="AN38" t="s">
        <v>31</v>
      </c>
      <c r="AO38">
        <f>SUMPRODUCT(Table1[Selected],Table1[WOL])</f>
        <v>1</v>
      </c>
      <c r="AP38">
        <v>3</v>
      </c>
    </row>
    <row r="39" spans="1:42" hidden="1" x14ac:dyDescent="0.2">
      <c r="A39" t="s">
        <v>124</v>
      </c>
      <c r="B39" t="s">
        <v>125</v>
      </c>
      <c r="C39" t="s">
        <v>125</v>
      </c>
      <c r="D39" t="s">
        <v>6</v>
      </c>
      <c r="E39">
        <v>0</v>
      </c>
      <c r="F39">
        <v>0</v>
      </c>
      <c r="G39">
        <v>0</v>
      </c>
      <c r="H39">
        <v>1</v>
      </c>
      <c r="I39" t="s">
        <v>15</v>
      </c>
      <c r="J39">
        <v>0</v>
      </c>
      <c r="K39">
        <v>0</v>
      </c>
      <c r="L39">
        <v>0</v>
      </c>
      <c r="M39">
        <v>1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6.4</v>
      </c>
      <c r="AE39">
        <v>143</v>
      </c>
      <c r="AF39">
        <v>53.091199912942542</v>
      </c>
      <c r="AG39">
        <v>35.445887884685213</v>
      </c>
      <c r="AH39">
        <f>52.4860066494961*1</f>
        <v>52.486006649496098</v>
      </c>
      <c r="AI39">
        <f>4.14893290161271*1</f>
        <v>4.1489329016127101</v>
      </c>
      <c r="AJ39">
        <v>1</v>
      </c>
      <c r="AK39">
        <v>1</v>
      </c>
      <c r="AL39">
        <v>0</v>
      </c>
    </row>
    <row r="40" spans="1:42" hidden="1" x14ac:dyDescent="0.2">
      <c r="A40" t="s">
        <v>126</v>
      </c>
      <c r="B40" t="s">
        <v>127</v>
      </c>
      <c r="C40" t="s">
        <v>128</v>
      </c>
      <c r="D40" t="s">
        <v>5</v>
      </c>
      <c r="E40">
        <v>0</v>
      </c>
      <c r="F40">
        <v>0</v>
      </c>
      <c r="G40">
        <v>1</v>
      </c>
      <c r="H40">
        <v>0</v>
      </c>
      <c r="I40" t="s">
        <v>15</v>
      </c>
      <c r="J40">
        <v>0</v>
      </c>
      <c r="K40">
        <v>0</v>
      </c>
      <c r="L40">
        <v>0</v>
      </c>
      <c r="M40">
        <v>1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4.5</v>
      </c>
      <c r="AE40">
        <v>146</v>
      </c>
      <c r="AF40">
        <v>0</v>
      </c>
      <c r="AG40">
        <v>0</v>
      </c>
      <c r="AH40">
        <f>0*1</f>
        <v>0</v>
      </c>
      <c r="AI40">
        <f>0*1</f>
        <v>0</v>
      </c>
      <c r="AJ40">
        <v>1</v>
      </c>
      <c r="AK40">
        <v>0</v>
      </c>
      <c r="AL40">
        <v>0</v>
      </c>
    </row>
    <row r="41" spans="1:42" hidden="1" x14ac:dyDescent="0.2">
      <c r="A41" t="s">
        <v>129</v>
      </c>
      <c r="B41" t="s">
        <v>130</v>
      </c>
      <c r="C41" t="s">
        <v>130</v>
      </c>
      <c r="D41" t="s">
        <v>5</v>
      </c>
      <c r="E41">
        <v>0</v>
      </c>
      <c r="F41">
        <v>0</v>
      </c>
      <c r="G41">
        <v>1</v>
      </c>
      <c r="H41">
        <v>0</v>
      </c>
      <c r="I41" t="s">
        <v>16</v>
      </c>
      <c r="J41">
        <v>0</v>
      </c>
      <c r="K41">
        <v>0</v>
      </c>
      <c r="L41">
        <v>0</v>
      </c>
      <c r="M41">
        <v>0</v>
      </c>
      <c r="N41">
        <v>1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5</v>
      </c>
      <c r="AE41">
        <v>160</v>
      </c>
      <c r="AF41">
        <v>0</v>
      </c>
      <c r="AG41">
        <v>0</v>
      </c>
      <c r="AH41">
        <f>0*1</f>
        <v>0</v>
      </c>
      <c r="AI41">
        <f>0*1</f>
        <v>0</v>
      </c>
      <c r="AJ41">
        <v>1</v>
      </c>
      <c r="AK41">
        <v>0</v>
      </c>
      <c r="AL41">
        <v>0</v>
      </c>
    </row>
    <row r="42" spans="1:42" hidden="1" x14ac:dyDescent="0.2">
      <c r="A42" t="s">
        <v>88</v>
      </c>
      <c r="B42" t="s">
        <v>131</v>
      </c>
      <c r="C42" t="s">
        <v>131</v>
      </c>
      <c r="D42" t="s">
        <v>4</v>
      </c>
      <c r="E42">
        <v>0</v>
      </c>
      <c r="F42">
        <v>1</v>
      </c>
      <c r="G42">
        <v>0</v>
      </c>
      <c r="H42">
        <v>0</v>
      </c>
      <c r="I42" t="s">
        <v>16</v>
      </c>
      <c r="J42">
        <v>0</v>
      </c>
      <c r="K42">
        <v>0</v>
      </c>
      <c r="L42">
        <v>0</v>
      </c>
      <c r="M42">
        <v>0</v>
      </c>
      <c r="N42">
        <v>1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4.2</v>
      </c>
      <c r="AE42">
        <v>164</v>
      </c>
      <c r="AF42">
        <v>36.682464454976298</v>
      </c>
      <c r="AG42">
        <v>41.361696254963391</v>
      </c>
      <c r="AH42">
        <f>15.5630926588359*1</f>
        <v>15.563092658835901</v>
      </c>
      <c r="AI42">
        <f>1.38905434825438*1</f>
        <v>1.38905434825438</v>
      </c>
      <c r="AJ42">
        <v>1</v>
      </c>
      <c r="AK42">
        <v>0</v>
      </c>
      <c r="AL42">
        <v>0</v>
      </c>
    </row>
    <row r="43" spans="1:42" hidden="1" x14ac:dyDescent="0.2">
      <c r="A43" t="s">
        <v>132</v>
      </c>
      <c r="B43" t="s">
        <v>133</v>
      </c>
      <c r="C43" t="s">
        <v>134</v>
      </c>
      <c r="D43" t="s">
        <v>4</v>
      </c>
      <c r="E43">
        <v>0</v>
      </c>
      <c r="F43">
        <v>1</v>
      </c>
      <c r="G43">
        <v>0</v>
      </c>
      <c r="H43">
        <v>0</v>
      </c>
      <c r="I43" t="s">
        <v>16</v>
      </c>
      <c r="J43">
        <v>0</v>
      </c>
      <c r="K43">
        <v>0</v>
      </c>
      <c r="L43">
        <v>0</v>
      </c>
      <c r="M43">
        <v>0</v>
      </c>
      <c r="N43">
        <v>1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4.9000000000000004</v>
      </c>
      <c r="AE43">
        <v>165</v>
      </c>
      <c r="AF43">
        <v>33.721898227365067</v>
      </c>
      <c r="AG43">
        <v>40.891238394327047</v>
      </c>
      <c r="AH43">
        <f>13.6856581782002*1</f>
        <v>13.6856581782002</v>
      </c>
      <c r="AI43">
        <f>0.940315229591646*1</f>
        <v>0.94031522959164604</v>
      </c>
      <c r="AJ43">
        <v>1</v>
      </c>
      <c r="AK43">
        <v>0</v>
      </c>
      <c r="AL43">
        <v>0</v>
      </c>
    </row>
    <row r="44" spans="1:42" hidden="1" x14ac:dyDescent="0.2">
      <c r="A44" t="s">
        <v>135</v>
      </c>
      <c r="B44" t="s">
        <v>136</v>
      </c>
      <c r="C44" t="s">
        <v>135</v>
      </c>
      <c r="D44" t="s">
        <v>6</v>
      </c>
      <c r="E44">
        <v>0</v>
      </c>
      <c r="F44">
        <v>0</v>
      </c>
      <c r="G44">
        <v>0</v>
      </c>
      <c r="H44">
        <v>1</v>
      </c>
      <c r="I44" t="s">
        <v>16</v>
      </c>
      <c r="J44">
        <v>0</v>
      </c>
      <c r="K44">
        <v>0</v>
      </c>
      <c r="L44">
        <v>0</v>
      </c>
      <c r="M44">
        <v>0</v>
      </c>
      <c r="N44">
        <v>1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5.4</v>
      </c>
      <c r="AE44">
        <v>171</v>
      </c>
      <c r="AF44">
        <v>48.308084698956193</v>
      </c>
      <c r="AG44">
        <v>35.817028600924239</v>
      </c>
      <c r="AH44">
        <f>46.1808254981297*1</f>
        <v>46.1808254981297</v>
      </c>
      <c r="AI44">
        <f>4.36840343682126*1</f>
        <v>4.3684034368212599</v>
      </c>
      <c r="AJ44">
        <v>1</v>
      </c>
      <c r="AK44">
        <v>0</v>
      </c>
      <c r="AL44">
        <v>0</v>
      </c>
    </row>
    <row r="45" spans="1:42" hidden="1" x14ac:dyDescent="0.2">
      <c r="A45" t="s">
        <v>137</v>
      </c>
      <c r="B45" t="s">
        <v>138</v>
      </c>
      <c r="C45" t="s">
        <v>139</v>
      </c>
      <c r="D45" t="s">
        <v>4</v>
      </c>
      <c r="E45">
        <v>0</v>
      </c>
      <c r="F45">
        <v>1</v>
      </c>
      <c r="G45">
        <v>0</v>
      </c>
      <c r="H45">
        <v>0</v>
      </c>
      <c r="I45" t="s">
        <v>16</v>
      </c>
      <c r="J45">
        <v>0</v>
      </c>
      <c r="K45">
        <v>0</v>
      </c>
      <c r="L45">
        <v>0</v>
      </c>
      <c r="M45">
        <v>0</v>
      </c>
      <c r="N45">
        <v>1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4.5</v>
      </c>
      <c r="AE45">
        <v>186</v>
      </c>
      <c r="AF45">
        <v>35.031674387723037</v>
      </c>
      <c r="AG45">
        <v>21.463635185430991</v>
      </c>
      <c r="AH45">
        <f>25.7724906282669*1</f>
        <v>25.772490628266901</v>
      </c>
      <c r="AI45">
        <f>2.1531448862056*1</f>
        <v>2.1531448862056002</v>
      </c>
      <c r="AJ45">
        <v>1</v>
      </c>
      <c r="AK45">
        <v>0</v>
      </c>
      <c r="AL45">
        <v>0</v>
      </c>
    </row>
    <row r="46" spans="1:42" hidden="1" x14ac:dyDescent="0.2">
      <c r="A46" t="s">
        <v>140</v>
      </c>
      <c r="B46" t="s">
        <v>141</v>
      </c>
      <c r="C46" t="s">
        <v>141</v>
      </c>
      <c r="D46" t="s">
        <v>4</v>
      </c>
      <c r="E46">
        <v>0</v>
      </c>
      <c r="F46">
        <v>1</v>
      </c>
      <c r="G46">
        <v>0</v>
      </c>
      <c r="H46">
        <v>0</v>
      </c>
      <c r="I46" t="s">
        <v>16</v>
      </c>
      <c r="J46">
        <v>0</v>
      </c>
      <c r="K46">
        <v>0</v>
      </c>
      <c r="L46">
        <v>0</v>
      </c>
      <c r="M46">
        <v>0</v>
      </c>
      <c r="N46">
        <v>1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4.4000000000000004</v>
      </c>
      <c r="AE46">
        <v>187</v>
      </c>
      <c r="AF46">
        <v>33.999999999999993</v>
      </c>
      <c r="AG46">
        <v>34.111071390168448</v>
      </c>
      <c r="AH46">
        <f>19.5616965345929*1</f>
        <v>19.561696534592901</v>
      </c>
      <c r="AI46">
        <f>1.53637708760684*1</f>
        <v>1.5363770876068401</v>
      </c>
      <c r="AJ46">
        <v>1</v>
      </c>
      <c r="AK46">
        <v>0</v>
      </c>
      <c r="AL46">
        <v>0</v>
      </c>
    </row>
    <row r="47" spans="1:42" hidden="1" x14ac:dyDescent="0.2">
      <c r="A47" t="s">
        <v>142</v>
      </c>
      <c r="B47" t="s">
        <v>143</v>
      </c>
      <c r="C47" t="s">
        <v>143</v>
      </c>
      <c r="D47" t="s">
        <v>3</v>
      </c>
      <c r="E47">
        <v>1</v>
      </c>
      <c r="F47">
        <v>0</v>
      </c>
      <c r="G47">
        <v>0</v>
      </c>
      <c r="H47">
        <v>0</v>
      </c>
      <c r="I47" t="s">
        <v>16</v>
      </c>
      <c r="J47">
        <v>0</v>
      </c>
      <c r="K47">
        <v>0</v>
      </c>
      <c r="L47">
        <v>0</v>
      </c>
      <c r="M47">
        <v>0</v>
      </c>
      <c r="N47">
        <v>1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4.5</v>
      </c>
      <c r="AE47">
        <v>188</v>
      </c>
      <c r="AF47">
        <v>0</v>
      </c>
      <c r="AG47">
        <v>0</v>
      </c>
      <c r="AH47">
        <f>0*1</f>
        <v>0</v>
      </c>
      <c r="AI47">
        <f>0*1</f>
        <v>0</v>
      </c>
      <c r="AJ47">
        <v>1</v>
      </c>
      <c r="AK47">
        <v>0</v>
      </c>
      <c r="AL47">
        <v>0</v>
      </c>
    </row>
    <row r="48" spans="1:42" hidden="1" x14ac:dyDescent="0.2">
      <c r="A48" t="s">
        <v>144</v>
      </c>
      <c r="B48" t="s">
        <v>145</v>
      </c>
      <c r="C48" t="s">
        <v>145</v>
      </c>
      <c r="D48" t="s">
        <v>6</v>
      </c>
      <c r="E48">
        <v>0</v>
      </c>
      <c r="F48">
        <v>0</v>
      </c>
      <c r="G48">
        <v>0</v>
      </c>
      <c r="H48">
        <v>1</v>
      </c>
      <c r="I48" t="s">
        <v>16</v>
      </c>
      <c r="J48">
        <v>0</v>
      </c>
      <c r="K48">
        <v>0</v>
      </c>
      <c r="L48">
        <v>0</v>
      </c>
      <c r="M48">
        <v>0</v>
      </c>
      <c r="N48">
        <v>1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5.5</v>
      </c>
      <c r="AE48">
        <v>190</v>
      </c>
      <c r="AF48">
        <v>39.273119743475739</v>
      </c>
      <c r="AG48">
        <v>34.912525530252687</v>
      </c>
      <c r="AH48">
        <f>28.5225097185253*1</f>
        <v>28.522509718525299</v>
      </c>
      <c r="AI48">
        <f>2.92223294181448*1</f>
        <v>2.9222329418144799</v>
      </c>
      <c r="AJ48">
        <v>1</v>
      </c>
      <c r="AK48">
        <v>0</v>
      </c>
      <c r="AL48">
        <v>0</v>
      </c>
    </row>
    <row r="49" spans="1:38" hidden="1" x14ac:dyDescent="0.2">
      <c r="A49" t="s">
        <v>146</v>
      </c>
      <c r="B49" t="s">
        <v>147</v>
      </c>
      <c r="C49" t="s">
        <v>146</v>
      </c>
      <c r="D49" t="s">
        <v>5</v>
      </c>
      <c r="E49">
        <v>0</v>
      </c>
      <c r="F49">
        <v>0</v>
      </c>
      <c r="G49">
        <v>1</v>
      </c>
      <c r="H49">
        <v>0</v>
      </c>
      <c r="I49" t="s">
        <v>16</v>
      </c>
      <c r="J49">
        <v>0</v>
      </c>
      <c r="K49">
        <v>0</v>
      </c>
      <c r="L49">
        <v>0</v>
      </c>
      <c r="M49">
        <v>0</v>
      </c>
      <c r="N49">
        <v>1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5.0999999999999996</v>
      </c>
      <c r="AE49">
        <v>196</v>
      </c>
      <c r="AF49">
        <v>0</v>
      </c>
      <c r="AG49">
        <v>0</v>
      </c>
      <c r="AH49">
        <f>0*1</f>
        <v>0</v>
      </c>
      <c r="AI49">
        <f>0*1</f>
        <v>0</v>
      </c>
      <c r="AJ49">
        <v>1</v>
      </c>
      <c r="AK49">
        <v>0</v>
      </c>
      <c r="AL49">
        <v>0</v>
      </c>
    </row>
    <row r="50" spans="1:38" hidden="1" x14ac:dyDescent="0.2">
      <c r="A50" t="s">
        <v>148</v>
      </c>
      <c r="B50" t="s">
        <v>149</v>
      </c>
      <c r="C50" t="s">
        <v>150</v>
      </c>
      <c r="D50" t="s">
        <v>5</v>
      </c>
      <c r="E50">
        <v>0</v>
      </c>
      <c r="F50">
        <v>0</v>
      </c>
      <c r="G50">
        <v>1</v>
      </c>
      <c r="H50">
        <v>0</v>
      </c>
      <c r="I50" t="s">
        <v>17</v>
      </c>
      <c r="J50">
        <v>0</v>
      </c>
      <c r="K50">
        <v>0</v>
      </c>
      <c r="L50">
        <v>0</v>
      </c>
      <c r="M50">
        <v>0</v>
      </c>
      <c r="N50">
        <v>0</v>
      </c>
      <c r="O50">
        <v>1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4.9000000000000004</v>
      </c>
      <c r="AE50">
        <v>212</v>
      </c>
      <c r="AF50">
        <v>27.162488767033551</v>
      </c>
      <c r="AG50">
        <v>25.970566867657499</v>
      </c>
      <c r="AH50">
        <f>22.0663248975247*1</f>
        <v>22.066324897524701</v>
      </c>
      <c r="AI50">
        <f>1.71458891834783*1</f>
        <v>1.71458891834783</v>
      </c>
      <c r="AJ50">
        <v>1</v>
      </c>
      <c r="AK50">
        <v>0</v>
      </c>
      <c r="AL50">
        <v>0</v>
      </c>
    </row>
    <row r="51" spans="1:38" hidden="1" x14ac:dyDescent="0.2">
      <c r="A51" t="s">
        <v>151</v>
      </c>
      <c r="B51" t="s">
        <v>152</v>
      </c>
      <c r="C51" t="s">
        <v>152</v>
      </c>
      <c r="D51" t="s">
        <v>4</v>
      </c>
      <c r="E51">
        <v>0</v>
      </c>
      <c r="F51">
        <v>1</v>
      </c>
      <c r="G51">
        <v>0</v>
      </c>
      <c r="H51">
        <v>0</v>
      </c>
      <c r="I51" t="s">
        <v>17</v>
      </c>
      <c r="J51">
        <v>0</v>
      </c>
      <c r="K51">
        <v>0</v>
      </c>
      <c r="L51">
        <v>0</v>
      </c>
      <c r="M51">
        <v>0</v>
      </c>
      <c r="N51">
        <v>0</v>
      </c>
      <c r="O51">
        <v>1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4.4000000000000004</v>
      </c>
      <c r="AE51">
        <v>216</v>
      </c>
      <c r="AF51">
        <v>29.714285714285701</v>
      </c>
      <c r="AG51">
        <v>35.984477243978567</v>
      </c>
      <c r="AH51">
        <f>14.0233517479564*1</f>
        <v>14.023351747956401</v>
      </c>
      <c r="AI51">
        <f>1.08497562216965*1</f>
        <v>1.08497562216965</v>
      </c>
      <c r="AJ51">
        <v>1</v>
      </c>
      <c r="AK51">
        <v>0</v>
      </c>
      <c r="AL51">
        <v>0</v>
      </c>
    </row>
    <row r="52" spans="1:38" hidden="1" x14ac:dyDescent="0.2">
      <c r="A52" t="s">
        <v>153</v>
      </c>
      <c r="B52" t="s">
        <v>154</v>
      </c>
      <c r="C52" t="s">
        <v>155</v>
      </c>
      <c r="D52" t="s">
        <v>4</v>
      </c>
      <c r="E52">
        <v>0</v>
      </c>
      <c r="F52">
        <v>1</v>
      </c>
      <c r="G52">
        <v>0</v>
      </c>
      <c r="H52">
        <v>0</v>
      </c>
      <c r="I52" t="s">
        <v>17</v>
      </c>
      <c r="J52">
        <v>0</v>
      </c>
      <c r="K52">
        <v>0</v>
      </c>
      <c r="L52">
        <v>0</v>
      </c>
      <c r="M52">
        <v>0</v>
      </c>
      <c r="N52">
        <v>0</v>
      </c>
      <c r="O52">
        <v>1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5.0999999999999996</v>
      </c>
      <c r="AE52">
        <v>217</v>
      </c>
      <c r="AF52">
        <v>30.830769230769249</v>
      </c>
      <c r="AG52">
        <v>29.607339935693499</v>
      </c>
      <c r="AH52">
        <f>20.1932564652157*1</f>
        <v>20.193256465215701</v>
      </c>
      <c r="AI52">
        <f>1.63281737352929*1</f>
        <v>1.6328173735292899</v>
      </c>
      <c r="AJ52">
        <v>1</v>
      </c>
      <c r="AK52">
        <v>0</v>
      </c>
      <c r="AL52">
        <v>0</v>
      </c>
    </row>
    <row r="53" spans="1:38" hidden="1" x14ac:dyDescent="0.2">
      <c r="A53" t="s">
        <v>156</v>
      </c>
      <c r="B53" t="s">
        <v>157</v>
      </c>
      <c r="C53" t="s">
        <v>156</v>
      </c>
      <c r="D53" t="s">
        <v>5</v>
      </c>
      <c r="E53">
        <v>0</v>
      </c>
      <c r="F53">
        <v>0</v>
      </c>
      <c r="G53">
        <v>1</v>
      </c>
      <c r="H53">
        <v>0</v>
      </c>
      <c r="I53" t="s">
        <v>17</v>
      </c>
      <c r="J53">
        <v>0</v>
      </c>
      <c r="K53">
        <v>0</v>
      </c>
      <c r="L53">
        <v>0</v>
      </c>
      <c r="M53">
        <v>0</v>
      </c>
      <c r="N53">
        <v>0</v>
      </c>
      <c r="O53">
        <v>1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4.7</v>
      </c>
      <c r="AE53">
        <v>221</v>
      </c>
      <c r="AF53">
        <v>36.696116547695773</v>
      </c>
      <c r="AG53">
        <v>24.975785536901959</v>
      </c>
      <c r="AH53">
        <f>32.490942487908*1</f>
        <v>32.490942487908001</v>
      </c>
      <c r="AI53">
        <f>3.29811637104952*1</f>
        <v>3.2981163710495198</v>
      </c>
      <c r="AJ53">
        <v>1</v>
      </c>
      <c r="AK53">
        <v>0</v>
      </c>
      <c r="AL53">
        <v>0</v>
      </c>
    </row>
    <row r="54" spans="1:38" hidden="1" x14ac:dyDescent="0.2">
      <c r="A54" t="s">
        <v>158</v>
      </c>
      <c r="B54" t="s">
        <v>159</v>
      </c>
      <c r="C54" t="s">
        <v>159</v>
      </c>
      <c r="D54" t="s">
        <v>4</v>
      </c>
      <c r="E54">
        <v>0</v>
      </c>
      <c r="F54">
        <v>1</v>
      </c>
      <c r="G54">
        <v>0</v>
      </c>
      <c r="H54">
        <v>0</v>
      </c>
      <c r="I54" t="s">
        <v>17</v>
      </c>
      <c r="J54">
        <v>0</v>
      </c>
      <c r="K54">
        <v>0</v>
      </c>
      <c r="L54">
        <v>0</v>
      </c>
      <c r="M54">
        <v>0</v>
      </c>
      <c r="N54">
        <v>0</v>
      </c>
      <c r="O54">
        <v>1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4.9000000000000004</v>
      </c>
      <c r="AE54">
        <v>224</v>
      </c>
      <c r="AF54">
        <v>0</v>
      </c>
      <c r="AG54">
        <v>0</v>
      </c>
      <c r="AH54">
        <f>0*1</f>
        <v>0</v>
      </c>
      <c r="AI54">
        <f>0*1</f>
        <v>0</v>
      </c>
      <c r="AJ54">
        <v>1</v>
      </c>
      <c r="AK54">
        <v>0</v>
      </c>
      <c r="AL54">
        <v>0</v>
      </c>
    </row>
    <row r="55" spans="1:38" hidden="1" x14ac:dyDescent="0.2">
      <c r="A55" t="s">
        <v>160</v>
      </c>
      <c r="B55" t="s">
        <v>161</v>
      </c>
      <c r="C55" t="s">
        <v>161</v>
      </c>
      <c r="D55" t="s">
        <v>5</v>
      </c>
      <c r="E55">
        <v>0</v>
      </c>
      <c r="F55">
        <v>0</v>
      </c>
      <c r="G55">
        <v>1</v>
      </c>
      <c r="H55">
        <v>0</v>
      </c>
      <c r="I55" t="s">
        <v>17</v>
      </c>
      <c r="J55">
        <v>0</v>
      </c>
      <c r="K55">
        <v>0</v>
      </c>
      <c r="L55">
        <v>0</v>
      </c>
      <c r="M55">
        <v>0</v>
      </c>
      <c r="N55">
        <v>0</v>
      </c>
      <c r="O55">
        <v>1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6.1</v>
      </c>
      <c r="AE55">
        <v>230</v>
      </c>
      <c r="AF55">
        <v>41.018181818181802</v>
      </c>
      <c r="AG55">
        <v>40.156413500324078</v>
      </c>
      <c r="AH55">
        <f>48.3276807729102*1</f>
        <v>48.327680772910199</v>
      </c>
      <c r="AI55">
        <f>3.95832165737012*1</f>
        <v>3.9583216573701199</v>
      </c>
      <c r="AJ55">
        <v>1</v>
      </c>
      <c r="AK55">
        <v>0</v>
      </c>
      <c r="AL55">
        <v>0</v>
      </c>
    </row>
    <row r="56" spans="1:38" hidden="1" x14ac:dyDescent="0.2">
      <c r="A56" t="s">
        <v>162</v>
      </c>
      <c r="B56" t="s">
        <v>163</v>
      </c>
      <c r="C56" t="s">
        <v>164</v>
      </c>
      <c r="D56" t="s">
        <v>6</v>
      </c>
      <c r="E56">
        <v>0</v>
      </c>
      <c r="F56">
        <v>0</v>
      </c>
      <c r="G56">
        <v>0</v>
      </c>
      <c r="H56">
        <v>1</v>
      </c>
      <c r="I56" t="s">
        <v>17</v>
      </c>
      <c r="J56">
        <v>0</v>
      </c>
      <c r="K56">
        <v>0</v>
      </c>
      <c r="L56">
        <v>0</v>
      </c>
      <c r="M56">
        <v>0</v>
      </c>
      <c r="N56">
        <v>0</v>
      </c>
      <c r="O56">
        <v>1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7.7</v>
      </c>
      <c r="AE56">
        <v>233</v>
      </c>
      <c r="AF56">
        <v>52.163507308911683</v>
      </c>
      <c r="AG56">
        <v>76.462766949723203</v>
      </c>
      <c r="AH56">
        <f>42.7237659859038*1</f>
        <v>42.723765985903803</v>
      </c>
      <c r="AI56">
        <f>3.07387497617343*1</f>
        <v>3.0738749761734301</v>
      </c>
      <c r="AJ56">
        <v>1</v>
      </c>
      <c r="AK56">
        <v>0</v>
      </c>
      <c r="AL56">
        <v>0</v>
      </c>
    </row>
    <row r="57" spans="1:38" hidden="1" x14ac:dyDescent="0.2">
      <c r="A57" t="s">
        <v>165</v>
      </c>
      <c r="B57" t="s">
        <v>166</v>
      </c>
      <c r="C57" t="s">
        <v>166</v>
      </c>
      <c r="D57" t="s">
        <v>5</v>
      </c>
      <c r="E57">
        <v>0</v>
      </c>
      <c r="F57">
        <v>0</v>
      </c>
      <c r="G57">
        <v>1</v>
      </c>
      <c r="H57">
        <v>0</v>
      </c>
      <c r="I57" t="s">
        <v>17</v>
      </c>
      <c r="J57">
        <v>0</v>
      </c>
      <c r="K57">
        <v>0</v>
      </c>
      <c r="L57">
        <v>0</v>
      </c>
      <c r="M57">
        <v>0</v>
      </c>
      <c r="N57">
        <v>0</v>
      </c>
      <c r="O57">
        <v>1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5.7</v>
      </c>
      <c r="AE57">
        <v>234</v>
      </c>
      <c r="AF57">
        <v>0</v>
      </c>
      <c r="AG57">
        <v>0</v>
      </c>
      <c r="AH57">
        <f>0*1</f>
        <v>0</v>
      </c>
      <c r="AI57">
        <f>0*1</f>
        <v>0</v>
      </c>
      <c r="AJ57">
        <v>1</v>
      </c>
      <c r="AK57">
        <v>0</v>
      </c>
      <c r="AL57">
        <v>0</v>
      </c>
    </row>
    <row r="58" spans="1:38" hidden="1" x14ac:dyDescent="0.2">
      <c r="A58" t="s">
        <v>167</v>
      </c>
      <c r="B58" t="s">
        <v>168</v>
      </c>
      <c r="C58" t="s">
        <v>168</v>
      </c>
      <c r="D58" t="s">
        <v>5</v>
      </c>
      <c r="E58">
        <v>0</v>
      </c>
      <c r="F58">
        <v>0</v>
      </c>
      <c r="G58">
        <v>1</v>
      </c>
      <c r="H58">
        <v>0</v>
      </c>
      <c r="I58" t="s">
        <v>17</v>
      </c>
      <c r="J58">
        <v>0</v>
      </c>
      <c r="K58">
        <v>0</v>
      </c>
      <c r="L58">
        <v>0</v>
      </c>
      <c r="M58">
        <v>0</v>
      </c>
      <c r="N58">
        <v>0</v>
      </c>
      <c r="O58">
        <v>1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11.1</v>
      </c>
      <c r="AE58">
        <v>235</v>
      </c>
      <c r="AF58">
        <v>60.323480116831092</v>
      </c>
      <c r="AG58">
        <v>86.617636447286259</v>
      </c>
      <c r="AH58">
        <f>45.5659780652236*1</f>
        <v>45.565978065223597</v>
      </c>
      <c r="AI58">
        <f>3.67231828157987*1</f>
        <v>3.6723182815798698</v>
      </c>
      <c r="AJ58">
        <v>1</v>
      </c>
      <c r="AK58">
        <v>0</v>
      </c>
      <c r="AL58">
        <v>0</v>
      </c>
    </row>
    <row r="59" spans="1:38" hidden="1" x14ac:dyDescent="0.2">
      <c r="A59" t="s">
        <v>169</v>
      </c>
      <c r="B59" t="s">
        <v>170</v>
      </c>
      <c r="C59" t="s">
        <v>170</v>
      </c>
      <c r="D59" t="s">
        <v>3</v>
      </c>
      <c r="E59">
        <v>1</v>
      </c>
      <c r="F59">
        <v>0</v>
      </c>
      <c r="G59">
        <v>0</v>
      </c>
      <c r="H59">
        <v>0</v>
      </c>
      <c r="I59" t="s">
        <v>17</v>
      </c>
      <c r="J59">
        <v>0</v>
      </c>
      <c r="K59">
        <v>0</v>
      </c>
      <c r="L59">
        <v>0</v>
      </c>
      <c r="M59">
        <v>0</v>
      </c>
      <c r="N59">
        <v>0</v>
      </c>
      <c r="O59">
        <v>1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4.5999999999999996</v>
      </c>
      <c r="AE59">
        <v>238</v>
      </c>
      <c r="AF59">
        <v>42.499999999999979</v>
      </c>
      <c r="AG59">
        <v>42.796180311530037</v>
      </c>
      <c r="AH59">
        <f>27.3281194165841*1</f>
        <v>27.328119416584101</v>
      </c>
      <c r="AI59">
        <f>2.23432945694989*1</f>
        <v>2.2343294569498902</v>
      </c>
      <c r="AJ59">
        <v>1</v>
      </c>
      <c r="AK59">
        <v>0</v>
      </c>
      <c r="AL59">
        <v>0</v>
      </c>
    </row>
    <row r="60" spans="1:38" hidden="1" x14ac:dyDescent="0.2">
      <c r="A60" t="s">
        <v>171</v>
      </c>
      <c r="B60" t="s">
        <v>172</v>
      </c>
      <c r="C60" t="s">
        <v>172</v>
      </c>
      <c r="D60" t="s">
        <v>5</v>
      </c>
      <c r="E60">
        <v>0</v>
      </c>
      <c r="F60">
        <v>0</v>
      </c>
      <c r="G60">
        <v>1</v>
      </c>
      <c r="H60">
        <v>0</v>
      </c>
      <c r="I60" t="s">
        <v>17</v>
      </c>
      <c r="J60">
        <v>0</v>
      </c>
      <c r="K60">
        <v>0</v>
      </c>
      <c r="L60">
        <v>0</v>
      </c>
      <c r="M60">
        <v>0</v>
      </c>
      <c r="N60">
        <v>0</v>
      </c>
      <c r="O60">
        <v>1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6.2</v>
      </c>
      <c r="AE60">
        <v>241</v>
      </c>
      <c r="AF60">
        <v>34.900029806823213</v>
      </c>
      <c r="AG60">
        <v>42.674187615123287</v>
      </c>
      <c r="AH60">
        <f>25.6210960131096*1</f>
        <v>25.6210960131096</v>
      </c>
      <c r="AI60">
        <f>2.01900620178615*1</f>
        <v>2.0190062017861501</v>
      </c>
      <c r="AJ60">
        <v>1</v>
      </c>
      <c r="AK60">
        <v>0</v>
      </c>
      <c r="AL60">
        <v>0</v>
      </c>
    </row>
    <row r="61" spans="1:38" hidden="1" x14ac:dyDescent="0.2">
      <c r="A61" t="s">
        <v>173</v>
      </c>
      <c r="B61" t="s">
        <v>174</v>
      </c>
      <c r="C61" t="s">
        <v>175</v>
      </c>
      <c r="D61" t="s">
        <v>5</v>
      </c>
      <c r="E61">
        <v>0</v>
      </c>
      <c r="F61">
        <v>0</v>
      </c>
      <c r="G61">
        <v>1</v>
      </c>
      <c r="H61">
        <v>0</v>
      </c>
      <c r="I61" t="s">
        <v>17</v>
      </c>
      <c r="J61">
        <v>0</v>
      </c>
      <c r="K61">
        <v>0</v>
      </c>
      <c r="L61">
        <v>0</v>
      </c>
      <c r="M61">
        <v>0</v>
      </c>
      <c r="N61">
        <v>0</v>
      </c>
      <c r="O61">
        <v>1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6.2</v>
      </c>
      <c r="AE61">
        <v>242</v>
      </c>
      <c r="AF61">
        <v>35.585183964701962</v>
      </c>
      <c r="AG61">
        <v>40.653726510543301</v>
      </c>
      <c r="AH61">
        <f>21.7041403147189*1</f>
        <v>21.704140314718899</v>
      </c>
      <c r="AI61">
        <f>1.91116094352643*1</f>
        <v>1.9111609435264301</v>
      </c>
      <c r="AJ61">
        <v>1</v>
      </c>
      <c r="AK61">
        <v>0</v>
      </c>
      <c r="AL61">
        <v>0</v>
      </c>
    </row>
    <row r="62" spans="1:38" hidden="1" x14ac:dyDescent="0.2">
      <c r="A62" t="s">
        <v>176</v>
      </c>
      <c r="B62" t="s">
        <v>177</v>
      </c>
      <c r="C62" t="s">
        <v>177</v>
      </c>
      <c r="D62" t="s">
        <v>5</v>
      </c>
      <c r="E62">
        <v>0</v>
      </c>
      <c r="F62">
        <v>0</v>
      </c>
      <c r="G62">
        <v>1</v>
      </c>
      <c r="H62">
        <v>0</v>
      </c>
      <c r="I62" t="s">
        <v>18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1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6.7</v>
      </c>
      <c r="AE62">
        <v>262</v>
      </c>
      <c r="AF62">
        <v>46.593749999999993</v>
      </c>
      <c r="AG62">
        <v>44.426114329218109</v>
      </c>
      <c r="AH62">
        <f>36.3599955750202*1</f>
        <v>36.3599955750202</v>
      </c>
      <c r="AI62">
        <f>2.99267583433125*1</f>
        <v>2.9926758343312501</v>
      </c>
      <c r="AJ62">
        <v>1</v>
      </c>
      <c r="AK62">
        <v>0</v>
      </c>
      <c r="AL62">
        <v>0</v>
      </c>
    </row>
    <row r="63" spans="1:38" hidden="1" x14ac:dyDescent="0.2">
      <c r="A63" t="s">
        <v>153</v>
      </c>
      <c r="B63" t="s">
        <v>178</v>
      </c>
      <c r="C63" t="s">
        <v>178</v>
      </c>
      <c r="D63" t="s">
        <v>4</v>
      </c>
      <c r="E63">
        <v>0</v>
      </c>
      <c r="F63">
        <v>1</v>
      </c>
      <c r="G63">
        <v>0</v>
      </c>
      <c r="H63">
        <v>0</v>
      </c>
      <c r="I63" t="s">
        <v>18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1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4.5999999999999996</v>
      </c>
      <c r="AE63">
        <v>263</v>
      </c>
      <c r="AF63">
        <v>36.806722689075627</v>
      </c>
      <c r="AG63">
        <v>33.536576584790637</v>
      </c>
      <c r="AH63">
        <f>25.559496642508*1</f>
        <v>25.559496642508002</v>
      </c>
      <c r="AI63">
        <f>2.24814174841198*1</f>
        <v>2.2481417484119799</v>
      </c>
      <c r="AJ63">
        <v>1</v>
      </c>
      <c r="AK63">
        <v>0</v>
      </c>
      <c r="AL63">
        <v>0</v>
      </c>
    </row>
    <row r="64" spans="1:38" hidden="1" x14ac:dyDescent="0.2">
      <c r="A64" t="s">
        <v>179</v>
      </c>
      <c r="B64" t="s">
        <v>180</v>
      </c>
      <c r="C64" t="s">
        <v>180</v>
      </c>
      <c r="D64" t="s">
        <v>3</v>
      </c>
      <c r="E64">
        <v>1</v>
      </c>
      <c r="F64">
        <v>0</v>
      </c>
      <c r="G64">
        <v>0</v>
      </c>
      <c r="H64">
        <v>0</v>
      </c>
      <c r="I64" t="s">
        <v>18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1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4.5</v>
      </c>
      <c r="AE64">
        <v>264</v>
      </c>
      <c r="AF64">
        <v>46.111111111111107</v>
      </c>
      <c r="AG64">
        <v>52.137546945148799</v>
      </c>
      <c r="AH64">
        <f>30.2699382611932*1</f>
        <v>30.2699382611932</v>
      </c>
      <c r="AI64">
        <f>2.51704949888147*1</f>
        <v>2.51704949888147</v>
      </c>
      <c r="AJ64">
        <v>1</v>
      </c>
      <c r="AK64">
        <v>0</v>
      </c>
      <c r="AL64">
        <v>0</v>
      </c>
    </row>
    <row r="65" spans="1:38" hidden="1" x14ac:dyDescent="0.2">
      <c r="A65" t="s">
        <v>181</v>
      </c>
      <c r="B65" t="s">
        <v>182</v>
      </c>
      <c r="C65" t="s">
        <v>182</v>
      </c>
      <c r="D65" t="s">
        <v>5</v>
      </c>
      <c r="E65">
        <v>0</v>
      </c>
      <c r="F65">
        <v>0</v>
      </c>
      <c r="G65">
        <v>1</v>
      </c>
      <c r="H65">
        <v>0</v>
      </c>
      <c r="I65" t="s">
        <v>18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1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4.9000000000000004</v>
      </c>
      <c r="AE65">
        <v>266</v>
      </c>
      <c r="AF65">
        <v>25.71428571428568</v>
      </c>
      <c r="AG65">
        <v>24.908875538679691</v>
      </c>
      <c r="AH65">
        <f>12.8062624648325*1</f>
        <v>12.8062624648325</v>
      </c>
      <c r="AI65">
        <f>1.03397727776468*1</f>
        <v>1.0339772777646801</v>
      </c>
      <c r="AJ65">
        <v>1</v>
      </c>
      <c r="AK65">
        <v>0</v>
      </c>
      <c r="AL65">
        <v>0</v>
      </c>
    </row>
    <row r="66" spans="1:38" hidden="1" x14ac:dyDescent="0.2">
      <c r="A66" t="s">
        <v>183</v>
      </c>
      <c r="B66" t="s">
        <v>184</v>
      </c>
      <c r="C66" t="s">
        <v>185</v>
      </c>
      <c r="D66" t="s">
        <v>5</v>
      </c>
      <c r="E66">
        <v>0</v>
      </c>
      <c r="F66">
        <v>0</v>
      </c>
      <c r="G66">
        <v>1</v>
      </c>
      <c r="H66">
        <v>0</v>
      </c>
      <c r="I66" t="s">
        <v>18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1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4.8</v>
      </c>
      <c r="AE66">
        <v>268</v>
      </c>
      <c r="AF66">
        <v>28.094117647058809</v>
      </c>
      <c r="AG66">
        <v>30.312044363276289</v>
      </c>
      <c r="AH66">
        <f>11.4036983023527*1</f>
        <v>11.4036983023527</v>
      </c>
      <c r="AI66">
        <f>0.922855954900351*1</f>
        <v>0.92285595490035099</v>
      </c>
      <c r="AJ66">
        <v>1</v>
      </c>
      <c r="AK66">
        <v>0</v>
      </c>
      <c r="AL66">
        <v>0</v>
      </c>
    </row>
    <row r="67" spans="1:38" hidden="1" x14ac:dyDescent="0.2">
      <c r="A67" t="s">
        <v>186</v>
      </c>
      <c r="B67" t="s">
        <v>187</v>
      </c>
      <c r="C67" t="s">
        <v>187</v>
      </c>
      <c r="D67" t="s">
        <v>6</v>
      </c>
      <c r="E67">
        <v>0</v>
      </c>
      <c r="F67">
        <v>0</v>
      </c>
      <c r="G67">
        <v>0</v>
      </c>
      <c r="H67">
        <v>1</v>
      </c>
      <c r="I67" t="s">
        <v>18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1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7.4</v>
      </c>
      <c r="AE67">
        <v>269</v>
      </c>
      <c r="AF67">
        <v>67.878056478037976</v>
      </c>
      <c r="AG67">
        <v>36.204188175217112</v>
      </c>
      <c r="AH67">
        <f>36.542288826526*1</f>
        <v>36.542288826525997</v>
      </c>
      <c r="AI67">
        <f>3.03438745138377*1</f>
        <v>3.0343874513837701</v>
      </c>
      <c r="AJ67">
        <v>1</v>
      </c>
      <c r="AK67">
        <v>0</v>
      </c>
      <c r="AL67">
        <v>0</v>
      </c>
    </row>
    <row r="68" spans="1:38" hidden="1" x14ac:dyDescent="0.2">
      <c r="A68" t="s">
        <v>188</v>
      </c>
      <c r="B68" t="s">
        <v>189</v>
      </c>
      <c r="C68" t="s">
        <v>189</v>
      </c>
      <c r="D68" t="s">
        <v>4</v>
      </c>
      <c r="E68">
        <v>0</v>
      </c>
      <c r="F68">
        <v>1</v>
      </c>
      <c r="G68">
        <v>0</v>
      </c>
      <c r="H68">
        <v>0</v>
      </c>
      <c r="I68" t="s">
        <v>18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1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4.8</v>
      </c>
      <c r="AE68">
        <v>272</v>
      </c>
      <c r="AF68">
        <v>26.20274327064471</v>
      </c>
      <c r="AG68">
        <v>32.264128129332263</v>
      </c>
      <c r="AH68">
        <f>19.2445394745504*1</f>
        <v>19.2445394745504</v>
      </c>
      <c r="AI68">
        <f>1.23526461057941*1</f>
        <v>1.2352646105794101</v>
      </c>
      <c r="AJ68">
        <v>1</v>
      </c>
      <c r="AK68">
        <v>0</v>
      </c>
      <c r="AL68">
        <v>0</v>
      </c>
    </row>
    <row r="69" spans="1:38" hidden="1" x14ac:dyDescent="0.2">
      <c r="A69" t="s">
        <v>190</v>
      </c>
      <c r="B69" t="s">
        <v>191</v>
      </c>
      <c r="C69" t="s">
        <v>191</v>
      </c>
      <c r="D69" t="s">
        <v>4</v>
      </c>
      <c r="E69">
        <v>0</v>
      </c>
      <c r="F69">
        <v>1</v>
      </c>
      <c r="G69">
        <v>0</v>
      </c>
      <c r="H69">
        <v>0</v>
      </c>
      <c r="I69" t="s">
        <v>18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1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4.9000000000000004</v>
      </c>
      <c r="AE69">
        <v>273</v>
      </c>
      <c r="AF69">
        <v>0</v>
      </c>
      <c r="AG69">
        <v>0</v>
      </c>
      <c r="AH69">
        <f>0*1</f>
        <v>0</v>
      </c>
      <c r="AI69">
        <f>0*1</f>
        <v>0</v>
      </c>
      <c r="AJ69">
        <v>1</v>
      </c>
      <c r="AK69">
        <v>0</v>
      </c>
      <c r="AL69">
        <v>0</v>
      </c>
    </row>
    <row r="70" spans="1:38" hidden="1" x14ac:dyDescent="0.2">
      <c r="A70" t="s">
        <v>192</v>
      </c>
      <c r="B70" t="s">
        <v>193</v>
      </c>
      <c r="C70" t="s">
        <v>194</v>
      </c>
      <c r="D70" t="s">
        <v>5</v>
      </c>
      <c r="E70">
        <v>0</v>
      </c>
      <c r="F70">
        <v>0</v>
      </c>
      <c r="G70">
        <v>1</v>
      </c>
      <c r="H70">
        <v>0</v>
      </c>
      <c r="I70" t="s">
        <v>18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1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5.5</v>
      </c>
      <c r="AE70">
        <v>280</v>
      </c>
      <c r="AF70">
        <v>41.509781787403128</v>
      </c>
      <c r="AG70">
        <v>34.673221578619888</v>
      </c>
      <c r="AH70">
        <f>19.7985512569429*1</f>
        <v>19.798551256942901</v>
      </c>
      <c r="AI70">
        <f>1.55630026137052*1</f>
        <v>1.5563002613705199</v>
      </c>
      <c r="AJ70">
        <v>1</v>
      </c>
      <c r="AK70">
        <v>0</v>
      </c>
      <c r="AL70">
        <v>0</v>
      </c>
    </row>
    <row r="71" spans="1:38" hidden="1" x14ac:dyDescent="0.2">
      <c r="A71" t="s">
        <v>195</v>
      </c>
      <c r="B71" t="s">
        <v>196</v>
      </c>
      <c r="C71" t="s">
        <v>197</v>
      </c>
      <c r="D71" t="s">
        <v>5</v>
      </c>
      <c r="E71">
        <v>0</v>
      </c>
      <c r="F71">
        <v>0</v>
      </c>
      <c r="G71">
        <v>1</v>
      </c>
      <c r="H71">
        <v>0</v>
      </c>
      <c r="I71" t="s">
        <v>19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1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5.0999999999999996</v>
      </c>
      <c r="AE71">
        <v>291</v>
      </c>
      <c r="AF71">
        <v>37.385610638486078</v>
      </c>
      <c r="AG71">
        <v>39.684400800497393</v>
      </c>
      <c r="AH71">
        <f>20.9961025120444*1</f>
        <v>20.996102512044398</v>
      </c>
      <c r="AI71">
        <f>1.5521554983401*1</f>
        <v>1.5521554983401</v>
      </c>
      <c r="AJ71">
        <v>1</v>
      </c>
      <c r="AK71">
        <v>0</v>
      </c>
      <c r="AL71">
        <v>0</v>
      </c>
    </row>
    <row r="72" spans="1:38" hidden="1" x14ac:dyDescent="0.2">
      <c r="A72" t="s">
        <v>198</v>
      </c>
      <c r="B72" t="s">
        <v>199</v>
      </c>
      <c r="C72" t="s">
        <v>199</v>
      </c>
      <c r="D72" t="s">
        <v>6</v>
      </c>
      <c r="E72">
        <v>0</v>
      </c>
      <c r="F72">
        <v>0</v>
      </c>
      <c r="G72">
        <v>0</v>
      </c>
      <c r="H72">
        <v>1</v>
      </c>
      <c r="I72" t="s">
        <v>19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1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5.4</v>
      </c>
      <c r="AE72">
        <v>294</v>
      </c>
      <c r="AF72">
        <v>39.623457038853722</v>
      </c>
      <c r="AG72">
        <v>41.56989956383795</v>
      </c>
      <c r="AH72">
        <f>22.0534715313205*1</f>
        <v>22.053471531320501</v>
      </c>
      <c r="AI72">
        <f>1.54655495410814*1</f>
        <v>1.54655495410814</v>
      </c>
      <c r="AJ72">
        <v>1</v>
      </c>
      <c r="AK72">
        <v>0</v>
      </c>
      <c r="AL72">
        <v>0</v>
      </c>
    </row>
    <row r="73" spans="1:38" hidden="1" x14ac:dyDescent="0.2">
      <c r="A73" t="s">
        <v>200</v>
      </c>
      <c r="B73" t="s">
        <v>201</v>
      </c>
      <c r="C73" t="s">
        <v>202</v>
      </c>
      <c r="D73" t="s">
        <v>5</v>
      </c>
      <c r="E73">
        <v>0</v>
      </c>
      <c r="F73">
        <v>0</v>
      </c>
      <c r="G73">
        <v>1</v>
      </c>
      <c r="H73">
        <v>0</v>
      </c>
      <c r="I73" t="s">
        <v>19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1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4.8</v>
      </c>
      <c r="AE73">
        <v>296</v>
      </c>
      <c r="AF73">
        <v>27.61061946902656</v>
      </c>
      <c r="AG73">
        <v>27.397281978023749</v>
      </c>
      <c r="AH73">
        <f>23.2786208225306*1</f>
        <v>23.278620822530598</v>
      </c>
      <c r="AI73">
        <f>1.95709451467403*1</f>
        <v>1.95709451467403</v>
      </c>
      <c r="AJ73">
        <v>1</v>
      </c>
      <c r="AK73">
        <v>0</v>
      </c>
      <c r="AL73">
        <v>0</v>
      </c>
    </row>
    <row r="74" spans="1:38" hidden="1" x14ac:dyDescent="0.2">
      <c r="A74" t="s">
        <v>203</v>
      </c>
      <c r="B74" t="s">
        <v>204</v>
      </c>
      <c r="C74" t="s">
        <v>204</v>
      </c>
      <c r="D74" t="s">
        <v>5</v>
      </c>
      <c r="E74">
        <v>0</v>
      </c>
      <c r="F74">
        <v>0</v>
      </c>
      <c r="G74">
        <v>1</v>
      </c>
      <c r="H74">
        <v>0</v>
      </c>
      <c r="I74" t="s">
        <v>19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1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5.2</v>
      </c>
      <c r="AE74">
        <v>298</v>
      </c>
      <c r="AF74">
        <v>32.584502308424057</v>
      </c>
      <c r="AG74">
        <v>38.375144555773822</v>
      </c>
      <c r="AH74">
        <f>11.3275956124146*1</f>
        <v>11.3275956124146</v>
      </c>
      <c r="AI74">
        <f>0.914752611595779*1</f>
        <v>0.91475261159577903</v>
      </c>
      <c r="AJ74">
        <v>1</v>
      </c>
      <c r="AK74">
        <v>0</v>
      </c>
      <c r="AL74">
        <v>0</v>
      </c>
    </row>
    <row r="75" spans="1:38" hidden="1" x14ac:dyDescent="0.2">
      <c r="A75" t="s">
        <v>205</v>
      </c>
      <c r="B75" t="s">
        <v>206</v>
      </c>
      <c r="C75" t="s">
        <v>206</v>
      </c>
      <c r="D75" t="s">
        <v>4</v>
      </c>
      <c r="E75">
        <v>0</v>
      </c>
      <c r="F75">
        <v>1</v>
      </c>
      <c r="G75">
        <v>0</v>
      </c>
      <c r="H75">
        <v>0</v>
      </c>
      <c r="I75" t="s">
        <v>19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1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4.4000000000000004</v>
      </c>
      <c r="AE75">
        <v>305</v>
      </c>
      <c r="AF75">
        <v>34.419208542183547</v>
      </c>
      <c r="AG75">
        <v>27.285552232780859</v>
      </c>
      <c r="AH75">
        <f>17.202727379307*1</f>
        <v>17.202727379306999</v>
      </c>
      <c r="AI75">
        <f>1.24972079587947*1</f>
        <v>1.24972079587947</v>
      </c>
      <c r="AJ75">
        <v>1</v>
      </c>
      <c r="AK75">
        <v>0</v>
      </c>
      <c r="AL75">
        <v>0</v>
      </c>
    </row>
    <row r="76" spans="1:38" x14ac:dyDescent="0.2">
      <c r="A76" t="s">
        <v>358</v>
      </c>
      <c r="B76" t="s">
        <v>359</v>
      </c>
      <c r="C76" t="s">
        <v>359</v>
      </c>
      <c r="D76" t="s">
        <v>6</v>
      </c>
      <c r="E76">
        <v>0</v>
      </c>
      <c r="F76">
        <v>0</v>
      </c>
      <c r="G76">
        <v>0</v>
      </c>
      <c r="H76">
        <v>1</v>
      </c>
      <c r="I76" t="s">
        <v>27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1</v>
      </c>
      <c r="Z76">
        <v>0</v>
      </c>
      <c r="AA76">
        <v>0</v>
      </c>
      <c r="AB76">
        <v>0</v>
      </c>
      <c r="AC76">
        <v>0</v>
      </c>
      <c r="AD76">
        <v>7.2</v>
      </c>
      <c r="AE76">
        <v>606</v>
      </c>
      <c r="AF76">
        <v>69.317156300143921</v>
      </c>
      <c r="AG76">
        <v>41.029929383186143</v>
      </c>
      <c r="AH76">
        <f>77.2275201307987*1</f>
        <v>77.227520130798695</v>
      </c>
      <c r="AI76">
        <f>6.76088374191933*1</f>
        <v>6.7608837419193302</v>
      </c>
      <c r="AJ76">
        <v>1</v>
      </c>
      <c r="AK76">
        <v>0</v>
      </c>
      <c r="AL76">
        <v>1</v>
      </c>
    </row>
    <row r="77" spans="1:38" x14ac:dyDescent="0.2">
      <c r="A77" t="s">
        <v>92</v>
      </c>
      <c r="B77" t="s">
        <v>93</v>
      </c>
      <c r="C77" t="s">
        <v>93</v>
      </c>
      <c r="D77" t="s">
        <v>5</v>
      </c>
      <c r="E77">
        <v>0</v>
      </c>
      <c r="F77">
        <v>0</v>
      </c>
      <c r="G77">
        <v>1</v>
      </c>
      <c r="H77">
        <v>0</v>
      </c>
      <c r="I77" t="s">
        <v>14</v>
      </c>
      <c r="J77">
        <v>0</v>
      </c>
      <c r="K77">
        <v>0</v>
      </c>
      <c r="L77">
        <v>1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6</v>
      </c>
      <c r="AE77">
        <v>90</v>
      </c>
      <c r="AF77">
        <v>72.09791930527571</v>
      </c>
      <c r="AG77">
        <v>42.727478933747868</v>
      </c>
      <c r="AH77">
        <f>75.6600152528863*1</f>
        <v>75.660015252886296</v>
      </c>
      <c r="AI77">
        <f>6.62189041953356*1</f>
        <v>6.6218904195335604</v>
      </c>
      <c r="AJ77">
        <v>1</v>
      </c>
      <c r="AK77">
        <v>1</v>
      </c>
      <c r="AL77">
        <v>1</v>
      </c>
    </row>
    <row r="78" spans="1:38" hidden="1" x14ac:dyDescent="0.2">
      <c r="A78" t="s">
        <v>211</v>
      </c>
      <c r="B78" t="s">
        <v>212</v>
      </c>
      <c r="C78" t="s">
        <v>212</v>
      </c>
      <c r="D78" t="s">
        <v>4</v>
      </c>
      <c r="E78">
        <v>0</v>
      </c>
      <c r="F78">
        <v>1</v>
      </c>
      <c r="G78">
        <v>0</v>
      </c>
      <c r="H78">
        <v>0</v>
      </c>
      <c r="I78" t="s">
        <v>19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1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4.5</v>
      </c>
      <c r="AE78">
        <v>311</v>
      </c>
      <c r="AF78">
        <v>30.7972027972028</v>
      </c>
      <c r="AG78">
        <v>27.904692060941009</v>
      </c>
      <c r="AH78">
        <f>29.1503404294523*1</f>
        <v>29.150340429452299</v>
      </c>
      <c r="AI78">
        <f>2.37664297760937*1</f>
        <v>2.3766429776093698</v>
      </c>
      <c r="AJ78">
        <v>1</v>
      </c>
      <c r="AK78">
        <v>0</v>
      </c>
      <c r="AL78">
        <v>0</v>
      </c>
    </row>
    <row r="79" spans="1:38" hidden="1" x14ac:dyDescent="0.2">
      <c r="A79" t="s">
        <v>213</v>
      </c>
      <c r="B79" t="s">
        <v>214</v>
      </c>
      <c r="C79" t="s">
        <v>214</v>
      </c>
      <c r="D79" t="s">
        <v>5</v>
      </c>
      <c r="E79">
        <v>0</v>
      </c>
      <c r="F79">
        <v>0</v>
      </c>
      <c r="G79">
        <v>1</v>
      </c>
      <c r="H79">
        <v>0</v>
      </c>
      <c r="I79" t="s">
        <v>19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1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5</v>
      </c>
      <c r="AE79">
        <v>319</v>
      </c>
      <c r="AF79">
        <v>23.446153846153852</v>
      </c>
      <c r="AG79">
        <v>18.886328485576769</v>
      </c>
      <c r="AH79">
        <f>15.8002327664642*1</f>
        <v>15.8002327664642</v>
      </c>
      <c r="AI79">
        <f>1.30656559670568*1</f>
        <v>1.30656559670568</v>
      </c>
      <c r="AJ79">
        <v>1</v>
      </c>
      <c r="AK79">
        <v>0</v>
      </c>
      <c r="AL79">
        <v>0</v>
      </c>
    </row>
    <row r="80" spans="1:38" hidden="1" x14ac:dyDescent="0.2">
      <c r="A80" t="s">
        <v>215</v>
      </c>
      <c r="B80" t="s">
        <v>216</v>
      </c>
      <c r="C80" t="s">
        <v>216</v>
      </c>
      <c r="D80" t="s">
        <v>5</v>
      </c>
      <c r="E80">
        <v>0</v>
      </c>
      <c r="F80">
        <v>0</v>
      </c>
      <c r="G80">
        <v>1</v>
      </c>
      <c r="H80">
        <v>0</v>
      </c>
      <c r="I80" t="s">
        <v>20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1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5.2</v>
      </c>
      <c r="AE80">
        <v>326</v>
      </c>
      <c r="AF80">
        <v>39.000000000000007</v>
      </c>
      <c r="AG80">
        <v>38.727572095329421</v>
      </c>
      <c r="AH80">
        <f>22.6752837970741*1</f>
        <v>22.675283797074101</v>
      </c>
      <c r="AI80">
        <f>1.83921581512444*1</f>
        <v>1.83921581512444</v>
      </c>
      <c r="AJ80">
        <v>1</v>
      </c>
      <c r="AK80">
        <v>0</v>
      </c>
      <c r="AL80">
        <v>0</v>
      </c>
    </row>
    <row r="81" spans="1:38" hidden="1" x14ac:dyDescent="0.2">
      <c r="A81" t="s">
        <v>217</v>
      </c>
      <c r="B81" t="s">
        <v>218</v>
      </c>
      <c r="C81" t="s">
        <v>217</v>
      </c>
      <c r="D81" t="s">
        <v>5</v>
      </c>
      <c r="E81">
        <v>0</v>
      </c>
      <c r="F81">
        <v>0</v>
      </c>
      <c r="G81">
        <v>1</v>
      </c>
      <c r="H81">
        <v>0</v>
      </c>
      <c r="I81" t="s">
        <v>20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1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4.5999999999999996</v>
      </c>
      <c r="AE81">
        <v>328</v>
      </c>
      <c r="AF81">
        <v>30.531902846002179</v>
      </c>
      <c r="AG81">
        <v>26.18785146942475</v>
      </c>
      <c r="AH81">
        <f>18.8889261737847*1</f>
        <v>18.8889261737847</v>
      </c>
      <c r="AI81">
        <f>1.87064149554839*1</f>
        <v>1.8706414955483901</v>
      </c>
      <c r="AJ81">
        <v>1</v>
      </c>
      <c r="AK81">
        <v>0</v>
      </c>
      <c r="AL81">
        <v>0</v>
      </c>
    </row>
    <row r="82" spans="1:38" hidden="1" x14ac:dyDescent="0.2">
      <c r="A82" t="s">
        <v>219</v>
      </c>
      <c r="B82" t="s">
        <v>220</v>
      </c>
      <c r="C82" t="s">
        <v>219</v>
      </c>
      <c r="D82" t="s">
        <v>5</v>
      </c>
      <c r="E82">
        <v>0</v>
      </c>
      <c r="F82">
        <v>0</v>
      </c>
      <c r="G82">
        <v>1</v>
      </c>
      <c r="H82">
        <v>0</v>
      </c>
      <c r="I82" t="s">
        <v>20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1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4.9000000000000004</v>
      </c>
      <c r="AE82">
        <v>329</v>
      </c>
      <c r="AF82">
        <v>39.782608695652208</v>
      </c>
      <c r="AG82">
        <v>47.961632623237918</v>
      </c>
      <c r="AH82">
        <f>21.9927691241595*1</f>
        <v>21.992769124159501</v>
      </c>
      <c r="AI82">
        <f>1.75728512350451*1</f>
        <v>1.7572851235045099</v>
      </c>
      <c r="AJ82">
        <v>1</v>
      </c>
      <c r="AK82">
        <v>0</v>
      </c>
      <c r="AL82">
        <v>0</v>
      </c>
    </row>
    <row r="83" spans="1:38" hidden="1" x14ac:dyDescent="0.2">
      <c r="A83" t="s">
        <v>221</v>
      </c>
      <c r="B83" t="s">
        <v>222</v>
      </c>
      <c r="C83" t="s">
        <v>222</v>
      </c>
      <c r="D83" t="s">
        <v>4</v>
      </c>
      <c r="E83">
        <v>0</v>
      </c>
      <c r="F83">
        <v>1</v>
      </c>
      <c r="G83">
        <v>0</v>
      </c>
      <c r="H83">
        <v>0</v>
      </c>
      <c r="I83" t="s">
        <v>20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1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4.5</v>
      </c>
      <c r="AE83">
        <v>330</v>
      </c>
      <c r="AF83">
        <v>27.777777777777771</v>
      </c>
      <c r="AG83">
        <v>26.225118886451661</v>
      </c>
      <c r="AH83">
        <f>19.7641874886255*1</f>
        <v>19.764187488625499</v>
      </c>
      <c r="AI83">
        <f>1.58016305206725*1</f>
        <v>1.5801630520672501</v>
      </c>
      <c r="AJ83">
        <v>1</v>
      </c>
      <c r="AK83">
        <v>0</v>
      </c>
      <c r="AL83">
        <v>0</v>
      </c>
    </row>
    <row r="84" spans="1:38" hidden="1" x14ac:dyDescent="0.2">
      <c r="A84" t="s">
        <v>223</v>
      </c>
      <c r="B84" t="s">
        <v>224</v>
      </c>
      <c r="C84" t="s">
        <v>224</v>
      </c>
      <c r="D84" t="s">
        <v>5</v>
      </c>
      <c r="E84">
        <v>0</v>
      </c>
      <c r="F84">
        <v>0</v>
      </c>
      <c r="G84">
        <v>1</v>
      </c>
      <c r="H84">
        <v>0</v>
      </c>
      <c r="I84" t="s">
        <v>20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1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5.7</v>
      </c>
      <c r="AE84">
        <v>336</v>
      </c>
      <c r="AF84">
        <v>44.533847758933753</v>
      </c>
      <c r="AG84">
        <v>30.515670075903319</v>
      </c>
      <c r="AH84">
        <f>43.2267958990292*1</f>
        <v>43.226795899029199</v>
      </c>
      <c r="AI84">
        <f>3.54429641151218*1</f>
        <v>3.54429641151218</v>
      </c>
      <c r="AJ84">
        <v>1</v>
      </c>
      <c r="AK84">
        <v>0</v>
      </c>
      <c r="AL84">
        <v>0</v>
      </c>
    </row>
    <row r="85" spans="1:38" hidden="1" x14ac:dyDescent="0.2">
      <c r="A85" t="s">
        <v>225</v>
      </c>
      <c r="B85" t="s">
        <v>226</v>
      </c>
      <c r="C85" t="s">
        <v>226</v>
      </c>
      <c r="D85" t="s">
        <v>3</v>
      </c>
      <c r="E85">
        <v>1</v>
      </c>
      <c r="F85">
        <v>0</v>
      </c>
      <c r="G85">
        <v>0</v>
      </c>
      <c r="H85">
        <v>0</v>
      </c>
      <c r="I85" t="s">
        <v>20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1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5</v>
      </c>
      <c r="AE85">
        <v>337</v>
      </c>
      <c r="AF85">
        <v>42.521636972920277</v>
      </c>
      <c r="AG85">
        <v>42.297278649162259</v>
      </c>
      <c r="AH85">
        <f>22.5168812324165*1</f>
        <v>22.516881232416502</v>
      </c>
      <c r="AI85">
        <f>2.03248653657854*1</f>
        <v>2.0324865365785398</v>
      </c>
      <c r="AJ85">
        <v>1</v>
      </c>
      <c r="AK85">
        <v>0</v>
      </c>
      <c r="AL85">
        <v>0</v>
      </c>
    </row>
    <row r="86" spans="1:38" hidden="1" x14ac:dyDescent="0.2">
      <c r="A86" t="s">
        <v>227</v>
      </c>
      <c r="B86" t="s">
        <v>228</v>
      </c>
      <c r="C86" t="s">
        <v>228</v>
      </c>
      <c r="D86" t="s">
        <v>5</v>
      </c>
      <c r="E86">
        <v>0</v>
      </c>
      <c r="F86">
        <v>0</v>
      </c>
      <c r="G86">
        <v>1</v>
      </c>
      <c r="H86">
        <v>0</v>
      </c>
      <c r="I86" t="s">
        <v>20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1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4.8</v>
      </c>
      <c r="AE86">
        <v>338</v>
      </c>
      <c r="AF86">
        <v>0</v>
      </c>
      <c r="AG86">
        <v>0</v>
      </c>
      <c r="AH86">
        <f>0*1</f>
        <v>0</v>
      </c>
      <c r="AI86">
        <f>0*1</f>
        <v>0</v>
      </c>
      <c r="AJ86">
        <v>1</v>
      </c>
      <c r="AK86">
        <v>0</v>
      </c>
      <c r="AL86">
        <v>0</v>
      </c>
    </row>
    <row r="87" spans="1:38" hidden="1" x14ac:dyDescent="0.2">
      <c r="A87" t="s">
        <v>229</v>
      </c>
      <c r="B87" t="s">
        <v>230</v>
      </c>
      <c r="C87" t="s">
        <v>231</v>
      </c>
      <c r="D87" t="s">
        <v>6</v>
      </c>
      <c r="E87">
        <v>0</v>
      </c>
      <c r="F87">
        <v>0</v>
      </c>
      <c r="G87">
        <v>0</v>
      </c>
      <c r="H87">
        <v>1</v>
      </c>
      <c r="I87" t="s">
        <v>20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1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5.5</v>
      </c>
      <c r="AE87">
        <v>340</v>
      </c>
      <c r="AF87">
        <v>0</v>
      </c>
      <c r="AG87">
        <v>0</v>
      </c>
      <c r="AH87">
        <f>0*1</f>
        <v>0</v>
      </c>
      <c r="AI87">
        <f>0*1</f>
        <v>0</v>
      </c>
      <c r="AJ87">
        <v>1</v>
      </c>
      <c r="AK87">
        <v>0</v>
      </c>
      <c r="AL87">
        <v>0</v>
      </c>
    </row>
    <row r="88" spans="1:38" hidden="1" x14ac:dyDescent="0.2">
      <c r="A88" t="s">
        <v>232</v>
      </c>
      <c r="B88" t="s">
        <v>233</v>
      </c>
      <c r="C88" t="s">
        <v>232</v>
      </c>
      <c r="D88" t="s">
        <v>6</v>
      </c>
      <c r="E88">
        <v>0</v>
      </c>
      <c r="F88">
        <v>0</v>
      </c>
      <c r="G88">
        <v>0</v>
      </c>
      <c r="H88">
        <v>1</v>
      </c>
      <c r="I88" t="s">
        <v>20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1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5.6</v>
      </c>
      <c r="AE88">
        <v>341</v>
      </c>
      <c r="AF88">
        <v>49.00539785075528</v>
      </c>
      <c r="AG88">
        <v>50.293153444879223</v>
      </c>
      <c r="AH88">
        <f>35.0030997289675*1</f>
        <v>35.003099728967499</v>
      </c>
      <c r="AI88">
        <f>2.61251093931449*1</f>
        <v>2.6125109393144901</v>
      </c>
      <c r="AJ88">
        <v>1</v>
      </c>
      <c r="AK88">
        <v>0</v>
      </c>
      <c r="AL88">
        <v>0</v>
      </c>
    </row>
    <row r="89" spans="1:38" x14ac:dyDescent="0.2">
      <c r="A89" t="s">
        <v>322</v>
      </c>
      <c r="B89" t="s">
        <v>323</v>
      </c>
      <c r="C89" t="s">
        <v>324</v>
      </c>
      <c r="D89" t="s">
        <v>5</v>
      </c>
      <c r="E89">
        <v>0</v>
      </c>
      <c r="F89">
        <v>0</v>
      </c>
      <c r="G89">
        <v>1</v>
      </c>
      <c r="H89">
        <v>0</v>
      </c>
      <c r="I89" t="s">
        <v>26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1</v>
      </c>
      <c r="Y89">
        <v>0</v>
      </c>
      <c r="Z89">
        <v>0</v>
      </c>
      <c r="AA89">
        <v>0</v>
      </c>
      <c r="AB89">
        <v>0</v>
      </c>
      <c r="AC89">
        <v>0</v>
      </c>
      <c r="AD89">
        <v>5.0999999999999996</v>
      </c>
      <c r="AE89">
        <v>558</v>
      </c>
      <c r="AF89">
        <v>54.909936441303927</v>
      </c>
      <c r="AG89">
        <v>23.69046759508019</v>
      </c>
      <c r="AH89">
        <f>76.6272992065243*1</f>
        <v>76.627299206524299</v>
      </c>
      <c r="AI89">
        <f>6.47443010474177*1</f>
        <v>6.4744301047417698</v>
      </c>
      <c r="AJ89">
        <v>1</v>
      </c>
      <c r="AK89">
        <v>1</v>
      </c>
      <c r="AL89">
        <v>1</v>
      </c>
    </row>
    <row r="90" spans="1:38" hidden="1" x14ac:dyDescent="0.2">
      <c r="A90" t="s">
        <v>236</v>
      </c>
      <c r="B90" t="s">
        <v>237</v>
      </c>
      <c r="C90" t="s">
        <v>237</v>
      </c>
      <c r="D90" t="s">
        <v>5</v>
      </c>
      <c r="E90">
        <v>0</v>
      </c>
      <c r="F90">
        <v>0</v>
      </c>
      <c r="G90">
        <v>1</v>
      </c>
      <c r="H90">
        <v>0</v>
      </c>
      <c r="I90" t="s">
        <v>20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1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5.2</v>
      </c>
      <c r="AE90">
        <v>348</v>
      </c>
      <c r="AF90">
        <v>33.214285714285722</v>
      </c>
      <c r="AG90">
        <v>25.460047537456081</v>
      </c>
      <c r="AH90">
        <f>29.9055195525519*1</f>
        <v>29.905519552551901</v>
      </c>
      <c r="AI90">
        <f>2.40612624708187*1</f>
        <v>2.4061262470818701</v>
      </c>
      <c r="AJ90">
        <v>1</v>
      </c>
      <c r="AK90">
        <v>0</v>
      </c>
      <c r="AL90">
        <v>0</v>
      </c>
    </row>
    <row r="91" spans="1:38" hidden="1" x14ac:dyDescent="0.2">
      <c r="A91" t="s">
        <v>238</v>
      </c>
      <c r="B91" t="s">
        <v>239</v>
      </c>
      <c r="C91" t="s">
        <v>239</v>
      </c>
      <c r="D91" t="s">
        <v>5</v>
      </c>
      <c r="E91">
        <v>0</v>
      </c>
      <c r="F91">
        <v>0</v>
      </c>
      <c r="G91">
        <v>1</v>
      </c>
      <c r="H91">
        <v>0</v>
      </c>
      <c r="I91" t="s">
        <v>20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1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5</v>
      </c>
      <c r="AE91">
        <v>353</v>
      </c>
      <c r="AF91">
        <v>25.3012048192771</v>
      </c>
      <c r="AG91">
        <v>33.425048440186181</v>
      </c>
      <c r="AH91">
        <f>13.3242932802356*1</f>
        <v>13.324293280235599</v>
      </c>
      <c r="AI91">
        <f>1.0325943572986*1</f>
        <v>1.0325943572986001</v>
      </c>
      <c r="AJ91">
        <v>1</v>
      </c>
      <c r="AK91">
        <v>0</v>
      </c>
      <c r="AL91">
        <v>0</v>
      </c>
    </row>
    <row r="92" spans="1:38" hidden="1" x14ac:dyDescent="0.2">
      <c r="A92" t="s">
        <v>240</v>
      </c>
      <c r="B92" t="s">
        <v>241</v>
      </c>
      <c r="C92" t="s">
        <v>241</v>
      </c>
      <c r="D92" t="s">
        <v>4</v>
      </c>
      <c r="E92">
        <v>0</v>
      </c>
      <c r="F92">
        <v>1</v>
      </c>
      <c r="G92">
        <v>0</v>
      </c>
      <c r="H92">
        <v>0</v>
      </c>
      <c r="I92" t="s">
        <v>21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1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4</v>
      </c>
      <c r="AE92">
        <v>389</v>
      </c>
      <c r="AF92">
        <v>19.463414634146339</v>
      </c>
      <c r="AG92">
        <v>20.860598101620099</v>
      </c>
      <c r="AH92">
        <f>11.6042232045096*1</f>
        <v>11.6042232045096</v>
      </c>
      <c r="AI92">
        <f>0.960633946412263*1</f>
        <v>0.96063394641226296</v>
      </c>
      <c r="AJ92">
        <v>1</v>
      </c>
      <c r="AK92">
        <v>0</v>
      </c>
      <c r="AL92">
        <v>0</v>
      </c>
    </row>
    <row r="93" spans="1:38" hidden="1" x14ac:dyDescent="0.2">
      <c r="A93" t="s">
        <v>242</v>
      </c>
      <c r="B93" t="s">
        <v>243</v>
      </c>
      <c r="C93" t="s">
        <v>243</v>
      </c>
      <c r="D93" t="s">
        <v>5</v>
      </c>
      <c r="E93">
        <v>0</v>
      </c>
      <c r="F93">
        <v>0</v>
      </c>
      <c r="G93">
        <v>1</v>
      </c>
      <c r="H93">
        <v>0</v>
      </c>
      <c r="I93" t="s">
        <v>22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1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4.5999999999999996</v>
      </c>
      <c r="AE93">
        <v>395</v>
      </c>
      <c r="AF93">
        <v>28.551724137931039</v>
      </c>
      <c r="AG93">
        <v>33.411714241177577</v>
      </c>
      <c r="AH93">
        <f>20.302805639427*1</f>
        <v>20.302805639427</v>
      </c>
      <c r="AI93">
        <f>1.55092945350232*1</f>
        <v>1.5509294535023199</v>
      </c>
      <c r="AJ93">
        <v>1</v>
      </c>
      <c r="AK93">
        <v>0</v>
      </c>
      <c r="AL93">
        <v>0</v>
      </c>
    </row>
    <row r="94" spans="1:38" hidden="1" x14ac:dyDescent="0.2">
      <c r="A94" t="s">
        <v>207</v>
      </c>
      <c r="B94" t="s">
        <v>244</v>
      </c>
      <c r="C94" t="s">
        <v>245</v>
      </c>
      <c r="D94" t="s">
        <v>5</v>
      </c>
      <c r="E94">
        <v>0</v>
      </c>
      <c r="F94">
        <v>0</v>
      </c>
      <c r="G94">
        <v>1</v>
      </c>
      <c r="H94">
        <v>0</v>
      </c>
      <c r="I94" t="s">
        <v>22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1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5.2</v>
      </c>
      <c r="AE94">
        <v>396</v>
      </c>
      <c r="AF94">
        <v>33.113207547169857</v>
      </c>
      <c r="AG94">
        <v>31.72229024291337</v>
      </c>
      <c r="AH94">
        <f>18.7853974241448*1</f>
        <v>18.785397424144801</v>
      </c>
      <c r="AI94">
        <f>1.60736700989548*1</f>
        <v>1.60736700989548</v>
      </c>
      <c r="AJ94">
        <v>1</v>
      </c>
      <c r="AK94">
        <v>0</v>
      </c>
      <c r="AL94">
        <v>0</v>
      </c>
    </row>
    <row r="95" spans="1:38" hidden="1" x14ac:dyDescent="0.2">
      <c r="A95" t="s">
        <v>246</v>
      </c>
      <c r="B95" t="s">
        <v>247</v>
      </c>
      <c r="C95" t="s">
        <v>248</v>
      </c>
      <c r="D95" t="s">
        <v>5</v>
      </c>
      <c r="E95">
        <v>0</v>
      </c>
      <c r="F95">
        <v>0</v>
      </c>
      <c r="G95">
        <v>1</v>
      </c>
      <c r="H95">
        <v>0</v>
      </c>
      <c r="I95" t="s">
        <v>22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1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4.4000000000000004</v>
      </c>
      <c r="AE95">
        <v>398</v>
      </c>
      <c r="AF95">
        <v>19.47849956651287</v>
      </c>
      <c r="AG95">
        <v>18.143706147267562</v>
      </c>
      <c r="AH95">
        <f>8.4782240833482*1</f>
        <v>8.4782240833482003</v>
      </c>
      <c r="AI95">
        <f>0.772670069889945*1</f>
        <v>0.77267006988994502</v>
      </c>
      <c r="AJ95">
        <v>1</v>
      </c>
      <c r="AK95">
        <v>0</v>
      </c>
      <c r="AL95">
        <v>0</v>
      </c>
    </row>
    <row r="96" spans="1:38" hidden="1" x14ac:dyDescent="0.2">
      <c r="A96" t="s">
        <v>209</v>
      </c>
      <c r="B96" t="s">
        <v>92</v>
      </c>
      <c r="C96" t="s">
        <v>92</v>
      </c>
      <c r="D96" t="s">
        <v>4</v>
      </c>
      <c r="E96">
        <v>0</v>
      </c>
      <c r="F96">
        <v>1</v>
      </c>
      <c r="G96">
        <v>0</v>
      </c>
      <c r="H96">
        <v>0</v>
      </c>
      <c r="I96" t="s">
        <v>22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1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4.0999999999999996</v>
      </c>
      <c r="AE96">
        <v>408</v>
      </c>
      <c r="AF96">
        <v>34.32558139534887</v>
      </c>
      <c r="AG96">
        <v>29.297560144722489</v>
      </c>
      <c r="AH96">
        <f>12.9330403606016*1</f>
        <v>12.9330403606016</v>
      </c>
      <c r="AI96">
        <f>1.20946029853961*1</f>
        <v>1.2094602985396099</v>
      </c>
      <c r="AJ96">
        <v>1</v>
      </c>
      <c r="AK96">
        <v>0</v>
      </c>
      <c r="AL96">
        <v>0</v>
      </c>
    </row>
    <row r="97" spans="1:38" hidden="1" x14ac:dyDescent="0.2">
      <c r="A97" t="s">
        <v>249</v>
      </c>
      <c r="B97" t="s">
        <v>250</v>
      </c>
      <c r="C97" t="s">
        <v>250</v>
      </c>
      <c r="D97" t="s">
        <v>4</v>
      </c>
      <c r="E97">
        <v>0</v>
      </c>
      <c r="F97">
        <v>1</v>
      </c>
      <c r="G97">
        <v>0</v>
      </c>
      <c r="H97">
        <v>0</v>
      </c>
      <c r="I97" t="s">
        <v>22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1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4.4000000000000004</v>
      </c>
      <c r="AE97">
        <v>409</v>
      </c>
      <c r="AF97">
        <v>0</v>
      </c>
      <c r="AG97">
        <v>0</v>
      </c>
      <c r="AH97">
        <f>0*1</f>
        <v>0</v>
      </c>
      <c r="AI97">
        <f>0*1</f>
        <v>0</v>
      </c>
      <c r="AJ97">
        <v>1</v>
      </c>
      <c r="AK97">
        <v>0</v>
      </c>
      <c r="AL97">
        <v>0</v>
      </c>
    </row>
    <row r="98" spans="1:38" hidden="1" x14ac:dyDescent="0.2">
      <c r="A98" t="s">
        <v>251</v>
      </c>
      <c r="B98" t="s">
        <v>252</v>
      </c>
      <c r="C98" t="s">
        <v>252</v>
      </c>
      <c r="D98" t="s">
        <v>6</v>
      </c>
      <c r="E98">
        <v>0</v>
      </c>
      <c r="F98">
        <v>0</v>
      </c>
      <c r="G98">
        <v>0</v>
      </c>
      <c r="H98">
        <v>1</v>
      </c>
      <c r="I98" t="s">
        <v>22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1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5.4</v>
      </c>
      <c r="AE98">
        <v>419</v>
      </c>
      <c r="AF98">
        <v>41.039171824728101</v>
      </c>
      <c r="AG98">
        <v>55.471084133995177</v>
      </c>
      <c r="AH98">
        <f>19.8426891413313*1</f>
        <v>19.842689141331299</v>
      </c>
      <c r="AI98">
        <f>1.34103082421028*1</f>
        <v>1.34103082421028</v>
      </c>
      <c r="AJ98">
        <v>1</v>
      </c>
      <c r="AK98">
        <v>0</v>
      </c>
      <c r="AL98">
        <v>0</v>
      </c>
    </row>
    <row r="99" spans="1:38" hidden="1" x14ac:dyDescent="0.2">
      <c r="A99" t="s">
        <v>236</v>
      </c>
      <c r="B99" t="s">
        <v>253</v>
      </c>
      <c r="C99" t="s">
        <v>253</v>
      </c>
      <c r="D99" t="s">
        <v>5</v>
      </c>
      <c r="E99">
        <v>0</v>
      </c>
      <c r="F99">
        <v>0</v>
      </c>
      <c r="G99">
        <v>1</v>
      </c>
      <c r="H99">
        <v>0</v>
      </c>
      <c r="I99" t="s">
        <v>22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1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4.4000000000000004</v>
      </c>
      <c r="AE99">
        <v>422</v>
      </c>
      <c r="AF99">
        <v>21.042853628770899</v>
      </c>
      <c r="AG99">
        <v>19.88192929961901</v>
      </c>
      <c r="AH99">
        <f>14.4028153015637*1</f>
        <v>14.402815301563701</v>
      </c>
      <c r="AI99">
        <f>1.14963263261567*1</f>
        <v>1.1496326326156701</v>
      </c>
      <c r="AJ99">
        <v>1</v>
      </c>
      <c r="AK99">
        <v>0</v>
      </c>
      <c r="AL99">
        <v>0</v>
      </c>
    </row>
    <row r="100" spans="1:38" hidden="1" x14ac:dyDescent="0.2">
      <c r="A100" t="s">
        <v>254</v>
      </c>
      <c r="B100" t="s">
        <v>255</v>
      </c>
      <c r="C100" t="s">
        <v>255</v>
      </c>
      <c r="D100" t="s">
        <v>4</v>
      </c>
      <c r="E100">
        <v>0</v>
      </c>
      <c r="F100">
        <v>1</v>
      </c>
      <c r="G100">
        <v>0</v>
      </c>
      <c r="H100">
        <v>0</v>
      </c>
      <c r="I100" t="s">
        <v>23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1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7.4</v>
      </c>
      <c r="AE100">
        <v>433</v>
      </c>
      <c r="AF100">
        <v>56.454050361976201</v>
      </c>
      <c r="AG100">
        <v>62.351265755022027</v>
      </c>
      <c r="AH100">
        <f>31.7955380978246*1</f>
        <v>31.7955380978246</v>
      </c>
      <c r="AI100">
        <f>2.93849933397682*1</f>
        <v>2.9384993339768202</v>
      </c>
      <c r="AJ100">
        <v>1</v>
      </c>
      <c r="AK100">
        <v>0</v>
      </c>
      <c r="AL100">
        <v>0</v>
      </c>
    </row>
    <row r="101" spans="1:38" hidden="1" x14ac:dyDescent="0.2">
      <c r="A101" t="s">
        <v>256</v>
      </c>
      <c r="B101" t="s">
        <v>257</v>
      </c>
      <c r="C101" t="s">
        <v>256</v>
      </c>
      <c r="D101" t="s">
        <v>6</v>
      </c>
      <c r="E101">
        <v>0</v>
      </c>
      <c r="F101">
        <v>0</v>
      </c>
      <c r="G101">
        <v>0</v>
      </c>
      <c r="H101">
        <v>1</v>
      </c>
      <c r="I101" t="s">
        <v>23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1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7</v>
      </c>
      <c r="AE101">
        <v>437</v>
      </c>
      <c r="AF101">
        <v>37.481481481481502</v>
      </c>
      <c r="AG101">
        <v>44.778662594515367</v>
      </c>
      <c r="AH101">
        <f>16.1138414717069*1</f>
        <v>16.113841471706898</v>
      </c>
      <c r="AI101">
        <f>1.35402647300694*1</f>
        <v>1.35402647300694</v>
      </c>
      <c r="AJ101">
        <v>1</v>
      </c>
      <c r="AK101">
        <v>0</v>
      </c>
      <c r="AL101">
        <v>0</v>
      </c>
    </row>
    <row r="102" spans="1:38" hidden="1" x14ac:dyDescent="0.2">
      <c r="A102" t="s">
        <v>258</v>
      </c>
      <c r="B102" t="s">
        <v>259</v>
      </c>
      <c r="C102" t="s">
        <v>259</v>
      </c>
      <c r="D102" t="s">
        <v>6</v>
      </c>
      <c r="E102">
        <v>0</v>
      </c>
      <c r="F102">
        <v>0</v>
      </c>
      <c r="G102">
        <v>0</v>
      </c>
      <c r="H102">
        <v>1</v>
      </c>
      <c r="I102" t="s">
        <v>23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1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7.5</v>
      </c>
      <c r="AE102">
        <v>442</v>
      </c>
      <c r="AF102">
        <v>38.339642014344882</v>
      </c>
      <c r="AG102">
        <v>29.155442916262881</v>
      </c>
      <c r="AH102">
        <f>28.4622039343645*1</f>
        <v>28.462203934364499</v>
      </c>
      <c r="AI102">
        <f>2.80158489505744*1</f>
        <v>2.8015848950574398</v>
      </c>
      <c r="AJ102">
        <v>1</v>
      </c>
      <c r="AK102">
        <v>0</v>
      </c>
      <c r="AL102">
        <v>0</v>
      </c>
    </row>
    <row r="103" spans="1:38" hidden="1" x14ac:dyDescent="0.2">
      <c r="A103" t="s">
        <v>86</v>
      </c>
      <c r="B103" t="s">
        <v>260</v>
      </c>
      <c r="C103" t="s">
        <v>260</v>
      </c>
      <c r="D103" t="s">
        <v>5</v>
      </c>
      <c r="E103">
        <v>0</v>
      </c>
      <c r="F103">
        <v>0</v>
      </c>
      <c r="G103">
        <v>1</v>
      </c>
      <c r="H103">
        <v>0</v>
      </c>
      <c r="I103" t="s">
        <v>23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1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5</v>
      </c>
      <c r="AE103">
        <v>444</v>
      </c>
      <c r="AF103">
        <v>0</v>
      </c>
      <c r="AG103">
        <v>0</v>
      </c>
      <c r="AH103">
        <f>0*1</f>
        <v>0</v>
      </c>
      <c r="AI103">
        <f>0*1</f>
        <v>0</v>
      </c>
      <c r="AJ103">
        <v>1</v>
      </c>
      <c r="AK103">
        <v>0</v>
      </c>
      <c r="AL103">
        <v>0</v>
      </c>
    </row>
    <row r="104" spans="1:38" hidden="1" x14ac:dyDescent="0.2">
      <c r="A104" t="s">
        <v>261</v>
      </c>
      <c r="B104" t="s">
        <v>262</v>
      </c>
      <c r="C104" t="s">
        <v>262</v>
      </c>
      <c r="D104" t="s">
        <v>5</v>
      </c>
      <c r="E104">
        <v>0</v>
      </c>
      <c r="F104">
        <v>0</v>
      </c>
      <c r="G104">
        <v>1</v>
      </c>
      <c r="H104">
        <v>0</v>
      </c>
      <c r="I104" t="s">
        <v>23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1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5.3</v>
      </c>
      <c r="AE104">
        <v>445</v>
      </c>
      <c r="AF104">
        <v>25.59615384615385</v>
      </c>
      <c r="AG104">
        <v>20.60145345791744</v>
      </c>
      <c r="AH104">
        <f>17.2925992591186*1</f>
        <v>17.2925992591186</v>
      </c>
      <c r="AI104">
        <f>1.55541782705031*1</f>
        <v>1.5554178270503101</v>
      </c>
      <c r="AJ104">
        <v>1</v>
      </c>
      <c r="AK104">
        <v>0</v>
      </c>
      <c r="AL104">
        <v>0</v>
      </c>
    </row>
    <row r="105" spans="1:38" hidden="1" x14ac:dyDescent="0.2">
      <c r="A105" t="s">
        <v>263</v>
      </c>
      <c r="B105" t="s">
        <v>264</v>
      </c>
      <c r="C105" t="s">
        <v>264</v>
      </c>
      <c r="D105" t="s">
        <v>4</v>
      </c>
      <c r="E105">
        <v>0</v>
      </c>
      <c r="F105">
        <v>1</v>
      </c>
      <c r="G105">
        <v>0</v>
      </c>
      <c r="H105">
        <v>0</v>
      </c>
      <c r="I105" t="s">
        <v>23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1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5.2</v>
      </c>
      <c r="AE105">
        <v>447</v>
      </c>
      <c r="AF105">
        <v>33.265783617916519</v>
      </c>
      <c r="AG105">
        <v>28.558065360635119</v>
      </c>
      <c r="AH105">
        <f>25.9453104873145*1</f>
        <v>25.945310487314501</v>
      </c>
      <c r="AI105">
        <f>2.73756899066347*1</f>
        <v>2.7375689906634699</v>
      </c>
      <c r="AJ105">
        <v>1</v>
      </c>
      <c r="AK105">
        <v>0</v>
      </c>
      <c r="AL105">
        <v>0</v>
      </c>
    </row>
    <row r="106" spans="1:38" hidden="1" x14ac:dyDescent="0.2">
      <c r="A106" t="s">
        <v>265</v>
      </c>
      <c r="B106" t="s">
        <v>266</v>
      </c>
      <c r="C106" t="s">
        <v>267</v>
      </c>
      <c r="D106" t="s">
        <v>5</v>
      </c>
      <c r="E106">
        <v>0</v>
      </c>
      <c r="F106">
        <v>0</v>
      </c>
      <c r="G106">
        <v>1</v>
      </c>
      <c r="H106">
        <v>0</v>
      </c>
      <c r="I106" t="s">
        <v>23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1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7.5</v>
      </c>
      <c r="AE106">
        <v>448</v>
      </c>
      <c r="AF106">
        <v>43.094117647058823</v>
      </c>
      <c r="AG106">
        <v>48.30104242123037</v>
      </c>
      <c r="AH106">
        <f>43.1088440075286*1</f>
        <v>43.108844007528603</v>
      </c>
      <c r="AI106">
        <f>3.79792046266782*1</f>
        <v>3.79792046266782</v>
      </c>
      <c r="AJ106">
        <v>1</v>
      </c>
      <c r="AK106">
        <v>0</v>
      </c>
      <c r="AL106">
        <v>0</v>
      </c>
    </row>
    <row r="107" spans="1:38" x14ac:dyDescent="0.2">
      <c r="A107" t="s">
        <v>409</v>
      </c>
      <c r="B107" t="s">
        <v>410</v>
      </c>
      <c r="C107" t="s">
        <v>411</v>
      </c>
      <c r="D107" t="s">
        <v>6</v>
      </c>
      <c r="E107">
        <v>0</v>
      </c>
      <c r="F107">
        <v>0</v>
      </c>
      <c r="G107">
        <v>0</v>
      </c>
      <c r="H107">
        <v>1</v>
      </c>
      <c r="I107" t="s">
        <v>31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1</v>
      </c>
      <c r="AD107">
        <v>6.9</v>
      </c>
      <c r="AE107">
        <v>747</v>
      </c>
      <c r="AF107">
        <v>67.641152552464703</v>
      </c>
      <c r="AG107">
        <v>44.681323563023668</v>
      </c>
      <c r="AH107">
        <f>71.4395694499014*1</f>
        <v>71.439569449901398</v>
      </c>
      <c r="AI107">
        <f>6.09432904336346*1</f>
        <v>6.0943290433634596</v>
      </c>
      <c r="AJ107">
        <v>1</v>
      </c>
      <c r="AK107">
        <v>1</v>
      </c>
      <c r="AL107">
        <v>1</v>
      </c>
    </row>
    <row r="108" spans="1:38" hidden="1" x14ac:dyDescent="0.2">
      <c r="A108" t="s">
        <v>271</v>
      </c>
      <c r="B108" t="s">
        <v>272</v>
      </c>
      <c r="C108" t="s">
        <v>272</v>
      </c>
      <c r="D108" t="s">
        <v>5</v>
      </c>
      <c r="E108">
        <v>0</v>
      </c>
      <c r="F108">
        <v>0</v>
      </c>
      <c r="G108">
        <v>1</v>
      </c>
      <c r="H108">
        <v>0</v>
      </c>
      <c r="I108" t="s">
        <v>23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1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6.2</v>
      </c>
      <c r="AE108">
        <v>450</v>
      </c>
      <c r="AF108">
        <v>33.353700212631331</v>
      </c>
      <c r="AG108">
        <v>33.180209506163607</v>
      </c>
      <c r="AH108">
        <f>26.8387225664268*1</f>
        <v>26.838722566426799</v>
      </c>
      <c r="AI108">
        <f>2.38917823704838*1</f>
        <v>2.3891782370483798</v>
      </c>
      <c r="AJ108">
        <v>1</v>
      </c>
      <c r="AK108">
        <v>0</v>
      </c>
      <c r="AL108">
        <v>0</v>
      </c>
    </row>
    <row r="109" spans="1:38" hidden="1" x14ac:dyDescent="0.2">
      <c r="A109" t="s">
        <v>273</v>
      </c>
      <c r="B109" t="s">
        <v>274</v>
      </c>
      <c r="C109" t="s">
        <v>274</v>
      </c>
      <c r="D109" t="s">
        <v>4</v>
      </c>
      <c r="E109">
        <v>0</v>
      </c>
      <c r="F109">
        <v>1</v>
      </c>
      <c r="G109">
        <v>0</v>
      </c>
      <c r="H109">
        <v>0</v>
      </c>
      <c r="I109" t="s">
        <v>23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1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5.9</v>
      </c>
      <c r="AE109">
        <v>456</v>
      </c>
      <c r="AF109">
        <v>30.261385282453361</v>
      </c>
      <c r="AG109">
        <v>47.55165494213874</v>
      </c>
      <c r="AH109">
        <f>15.299388759191*1</f>
        <v>15.299388759191</v>
      </c>
      <c r="AI109">
        <f>1.281578888486*1</f>
        <v>1.281578888486</v>
      </c>
      <c r="AJ109">
        <v>1</v>
      </c>
      <c r="AK109">
        <v>0</v>
      </c>
      <c r="AL109">
        <v>0</v>
      </c>
    </row>
    <row r="110" spans="1:38" hidden="1" x14ac:dyDescent="0.2">
      <c r="A110" t="s">
        <v>275</v>
      </c>
      <c r="B110" t="s">
        <v>276</v>
      </c>
      <c r="C110" t="s">
        <v>276</v>
      </c>
      <c r="D110" t="s">
        <v>5</v>
      </c>
      <c r="E110">
        <v>0</v>
      </c>
      <c r="F110">
        <v>0</v>
      </c>
      <c r="G110">
        <v>1</v>
      </c>
      <c r="H110">
        <v>0</v>
      </c>
      <c r="I110" t="s">
        <v>23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1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6.3</v>
      </c>
      <c r="AE110">
        <v>457</v>
      </c>
      <c r="AF110">
        <v>43.531434975264482</v>
      </c>
      <c r="AG110">
        <v>28.693408885923699</v>
      </c>
      <c r="AH110">
        <f>22.2171551949283*1</f>
        <v>22.217155194928299</v>
      </c>
      <c r="AI110">
        <f>2.58442898707811*1</f>
        <v>2.5844289870781099</v>
      </c>
      <c r="AJ110">
        <v>1</v>
      </c>
      <c r="AK110">
        <v>0</v>
      </c>
      <c r="AL110">
        <v>0</v>
      </c>
    </row>
    <row r="111" spans="1:38" hidden="1" x14ac:dyDescent="0.2">
      <c r="A111" t="s">
        <v>277</v>
      </c>
      <c r="B111" t="s">
        <v>278</v>
      </c>
      <c r="C111" t="s">
        <v>277</v>
      </c>
      <c r="D111" t="s">
        <v>4</v>
      </c>
      <c r="E111">
        <v>0</v>
      </c>
      <c r="F111">
        <v>1</v>
      </c>
      <c r="G111">
        <v>0</v>
      </c>
      <c r="H111">
        <v>0</v>
      </c>
      <c r="I111" t="s">
        <v>23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1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6.4</v>
      </c>
      <c r="AE111">
        <v>459</v>
      </c>
      <c r="AF111">
        <v>40.446703801784423</v>
      </c>
      <c r="AG111">
        <v>54.023672573528863</v>
      </c>
      <c r="AH111">
        <f>21.7094690559842*1</f>
        <v>21.709469055984201</v>
      </c>
      <c r="AI111">
        <f>1.87669940504392*1</f>
        <v>1.8766994050439201</v>
      </c>
      <c r="AJ111">
        <v>1</v>
      </c>
      <c r="AK111">
        <v>0</v>
      </c>
      <c r="AL111">
        <v>0</v>
      </c>
    </row>
    <row r="112" spans="1:38" hidden="1" x14ac:dyDescent="0.2">
      <c r="A112" t="s">
        <v>279</v>
      </c>
      <c r="B112" t="s">
        <v>280</v>
      </c>
      <c r="C112" t="s">
        <v>280</v>
      </c>
      <c r="D112" t="s">
        <v>4</v>
      </c>
      <c r="E112">
        <v>0</v>
      </c>
      <c r="F112">
        <v>1</v>
      </c>
      <c r="G112">
        <v>0</v>
      </c>
      <c r="H112">
        <v>0</v>
      </c>
      <c r="I112" t="s">
        <v>24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1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5.3</v>
      </c>
      <c r="AE112">
        <v>467</v>
      </c>
      <c r="AF112">
        <v>36.593048509640347</v>
      </c>
      <c r="AG112">
        <v>40.392602672814348</v>
      </c>
      <c r="AH112">
        <f>23.1860836664201*1</f>
        <v>23.1860836664201</v>
      </c>
      <c r="AI112">
        <f>1.7613751802358*1</f>
        <v>1.7613751802358</v>
      </c>
      <c r="AJ112">
        <v>1</v>
      </c>
      <c r="AK112">
        <v>0</v>
      </c>
      <c r="AL112">
        <v>0</v>
      </c>
    </row>
    <row r="113" spans="1:38" hidden="1" x14ac:dyDescent="0.2">
      <c r="A113" t="s">
        <v>281</v>
      </c>
      <c r="B113" t="s">
        <v>282</v>
      </c>
      <c r="C113" t="s">
        <v>281</v>
      </c>
      <c r="D113" t="s">
        <v>5</v>
      </c>
      <c r="E113">
        <v>0</v>
      </c>
      <c r="F113">
        <v>0</v>
      </c>
      <c r="G113">
        <v>1</v>
      </c>
      <c r="H113">
        <v>0</v>
      </c>
      <c r="I113" t="s">
        <v>24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1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6.1</v>
      </c>
      <c r="AE113">
        <v>469</v>
      </c>
      <c r="AF113">
        <v>42.776470588235277</v>
      </c>
      <c r="AG113">
        <v>48.671966955593369</v>
      </c>
      <c r="AH113">
        <f>19.4797843735926*1</f>
        <v>19.479784373592601</v>
      </c>
      <c r="AI113">
        <f>1.48155240438451*1</f>
        <v>1.4815524043845101</v>
      </c>
      <c r="AJ113">
        <v>1</v>
      </c>
      <c r="AK113">
        <v>0</v>
      </c>
      <c r="AL113">
        <v>0</v>
      </c>
    </row>
    <row r="114" spans="1:38" hidden="1" x14ac:dyDescent="0.2">
      <c r="A114" t="s">
        <v>283</v>
      </c>
      <c r="B114" t="s">
        <v>284</v>
      </c>
      <c r="C114" t="s">
        <v>284</v>
      </c>
      <c r="D114" t="s">
        <v>5</v>
      </c>
      <c r="E114">
        <v>0</v>
      </c>
      <c r="F114">
        <v>0</v>
      </c>
      <c r="G114">
        <v>1</v>
      </c>
      <c r="H114">
        <v>0</v>
      </c>
      <c r="I114" t="s">
        <v>24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1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9.3000000000000007</v>
      </c>
      <c r="AE114">
        <v>475</v>
      </c>
      <c r="AF114">
        <v>69.911949662354999</v>
      </c>
      <c r="AG114">
        <v>60.460805357322108</v>
      </c>
      <c r="AH114">
        <f>44.4481220177156*1</f>
        <v>44.448122017715598</v>
      </c>
      <c r="AI114">
        <f>3.73708320554633*1</f>
        <v>3.7370832055463299</v>
      </c>
      <c r="AJ114">
        <v>1</v>
      </c>
      <c r="AK114">
        <v>0</v>
      </c>
      <c r="AL114">
        <v>0</v>
      </c>
    </row>
    <row r="115" spans="1:38" hidden="1" x14ac:dyDescent="0.2">
      <c r="A115" t="s">
        <v>285</v>
      </c>
      <c r="B115" t="s">
        <v>286</v>
      </c>
      <c r="C115" t="s">
        <v>286</v>
      </c>
      <c r="D115" t="s">
        <v>4</v>
      </c>
      <c r="E115">
        <v>0</v>
      </c>
      <c r="F115">
        <v>1</v>
      </c>
      <c r="G115">
        <v>0</v>
      </c>
      <c r="H115">
        <v>0</v>
      </c>
      <c r="I115" t="s">
        <v>24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1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5.9</v>
      </c>
      <c r="AE115">
        <v>477</v>
      </c>
      <c r="AF115">
        <v>0</v>
      </c>
      <c r="AG115">
        <v>0</v>
      </c>
      <c r="AH115">
        <f>0*1</f>
        <v>0</v>
      </c>
      <c r="AI115">
        <f>0*1</f>
        <v>0</v>
      </c>
      <c r="AJ115">
        <v>1</v>
      </c>
      <c r="AK115">
        <v>0</v>
      </c>
      <c r="AL115">
        <v>0</v>
      </c>
    </row>
    <row r="116" spans="1:38" hidden="1" x14ac:dyDescent="0.2">
      <c r="A116" t="s">
        <v>287</v>
      </c>
      <c r="B116" t="s">
        <v>288</v>
      </c>
      <c r="C116" t="s">
        <v>288</v>
      </c>
      <c r="D116" t="s">
        <v>6</v>
      </c>
      <c r="E116">
        <v>0</v>
      </c>
      <c r="F116">
        <v>0</v>
      </c>
      <c r="G116">
        <v>0</v>
      </c>
      <c r="H116">
        <v>1</v>
      </c>
      <c r="I116" t="s">
        <v>24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1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14.7</v>
      </c>
      <c r="AE116">
        <v>478</v>
      </c>
      <c r="AF116">
        <v>88.094117647058837</v>
      </c>
      <c r="AG116">
        <v>118.8321107997195</v>
      </c>
      <c r="AH116">
        <f>53.4049627037288*1</f>
        <v>53.404962703728799</v>
      </c>
      <c r="AI116">
        <f>3.90322574562025*1</f>
        <v>3.9032257456202499</v>
      </c>
      <c r="AJ116">
        <v>1</v>
      </c>
      <c r="AK116">
        <v>0</v>
      </c>
      <c r="AL116">
        <v>0</v>
      </c>
    </row>
    <row r="117" spans="1:38" hidden="1" x14ac:dyDescent="0.2">
      <c r="A117" t="s">
        <v>289</v>
      </c>
      <c r="B117" t="s">
        <v>290</v>
      </c>
      <c r="C117" t="s">
        <v>290</v>
      </c>
      <c r="D117" t="s">
        <v>5</v>
      </c>
      <c r="E117">
        <v>0</v>
      </c>
      <c r="F117">
        <v>0</v>
      </c>
      <c r="G117">
        <v>1</v>
      </c>
      <c r="H117">
        <v>0</v>
      </c>
      <c r="I117" t="s">
        <v>24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1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5.4</v>
      </c>
      <c r="AE117">
        <v>481</v>
      </c>
      <c r="AF117">
        <v>0</v>
      </c>
      <c r="AG117">
        <v>0</v>
      </c>
      <c r="AH117">
        <f>0*1</f>
        <v>0</v>
      </c>
      <c r="AI117">
        <f>0*1</f>
        <v>0</v>
      </c>
      <c r="AJ117">
        <v>1</v>
      </c>
      <c r="AK117">
        <v>0</v>
      </c>
      <c r="AL117">
        <v>0</v>
      </c>
    </row>
    <row r="118" spans="1:38" hidden="1" x14ac:dyDescent="0.2">
      <c r="A118" t="s">
        <v>291</v>
      </c>
      <c r="B118" t="s">
        <v>88</v>
      </c>
      <c r="C118" t="s">
        <v>88</v>
      </c>
      <c r="D118" t="s">
        <v>4</v>
      </c>
      <c r="E118">
        <v>0</v>
      </c>
      <c r="F118">
        <v>1</v>
      </c>
      <c r="G118">
        <v>0</v>
      </c>
      <c r="H118">
        <v>0</v>
      </c>
      <c r="I118" t="s">
        <v>24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1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4.4000000000000004</v>
      </c>
      <c r="AE118">
        <v>482</v>
      </c>
      <c r="AF118">
        <v>0</v>
      </c>
      <c r="AG118">
        <v>0</v>
      </c>
      <c r="AH118">
        <f>0*1</f>
        <v>0</v>
      </c>
      <c r="AI118">
        <f>0*1</f>
        <v>0</v>
      </c>
      <c r="AJ118">
        <v>1</v>
      </c>
      <c r="AK118">
        <v>0</v>
      </c>
      <c r="AL118">
        <v>0</v>
      </c>
    </row>
    <row r="119" spans="1:38" hidden="1" x14ac:dyDescent="0.2">
      <c r="A119" t="s">
        <v>292</v>
      </c>
      <c r="B119" t="s">
        <v>293</v>
      </c>
      <c r="C119" t="s">
        <v>293</v>
      </c>
      <c r="D119" t="s">
        <v>5</v>
      </c>
      <c r="E119">
        <v>0</v>
      </c>
      <c r="F119">
        <v>0</v>
      </c>
      <c r="G119">
        <v>1</v>
      </c>
      <c r="H119">
        <v>0</v>
      </c>
      <c r="I119" t="s">
        <v>24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1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6.3</v>
      </c>
      <c r="AE119">
        <v>492</v>
      </c>
      <c r="AF119">
        <v>42.764635010937809</v>
      </c>
      <c r="AG119">
        <v>55.704145102060828</v>
      </c>
      <c r="AH119">
        <f>19.2776447229081*1</f>
        <v>19.2776447229081</v>
      </c>
      <c r="AI119">
        <f>1.32454221240358*1</f>
        <v>1.3245422124035799</v>
      </c>
      <c r="AJ119">
        <v>1</v>
      </c>
      <c r="AK119">
        <v>0</v>
      </c>
      <c r="AL119">
        <v>0</v>
      </c>
    </row>
    <row r="120" spans="1:38" hidden="1" x14ac:dyDescent="0.2">
      <c r="A120" t="s">
        <v>294</v>
      </c>
      <c r="B120" t="s">
        <v>295</v>
      </c>
      <c r="C120" t="s">
        <v>294</v>
      </c>
      <c r="D120" t="s">
        <v>5</v>
      </c>
      <c r="E120">
        <v>0</v>
      </c>
      <c r="F120">
        <v>0</v>
      </c>
      <c r="G120">
        <v>1</v>
      </c>
      <c r="H120">
        <v>0</v>
      </c>
      <c r="I120" t="s">
        <v>25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1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5.4</v>
      </c>
      <c r="AE120">
        <v>505</v>
      </c>
      <c r="AF120">
        <v>0</v>
      </c>
      <c r="AG120">
        <v>0</v>
      </c>
      <c r="AH120">
        <f>0*1</f>
        <v>0</v>
      </c>
      <c r="AI120">
        <f>0*1</f>
        <v>0</v>
      </c>
      <c r="AJ120">
        <v>1</v>
      </c>
      <c r="AK120">
        <v>0</v>
      </c>
      <c r="AL120">
        <v>0</v>
      </c>
    </row>
    <row r="121" spans="1:38" hidden="1" x14ac:dyDescent="0.2">
      <c r="A121" t="s">
        <v>296</v>
      </c>
      <c r="B121" t="s">
        <v>297</v>
      </c>
      <c r="C121" t="s">
        <v>298</v>
      </c>
      <c r="D121" t="s">
        <v>5</v>
      </c>
      <c r="E121">
        <v>0</v>
      </c>
      <c r="F121">
        <v>0</v>
      </c>
      <c r="G121">
        <v>1</v>
      </c>
      <c r="H121">
        <v>0</v>
      </c>
      <c r="I121" t="s">
        <v>25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1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8.3000000000000007</v>
      </c>
      <c r="AE121">
        <v>507</v>
      </c>
      <c r="AF121">
        <v>55.173913043478287</v>
      </c>
      <c r="AG121">
        <v>44.477526974427853</v>
      </c>
      <c r="AH121">
        <f>41.0377989371861*1</f>
        <v>41.037798937186103</v>
      </c>
      <c r="AI121">
        <f>3.34830511777328*1</f>
        <v>3.3483051177732799</v>
      </c>
      <c r="AJ121">
        <v>1</v>
      </c>
      <c r="AK121">
        <v>0</v>
      </c>
      <c r="AL121">
        <v>0</v>
      </c>
    </row>
    <row r="122" spans="1:38" hidden="1" x14ac:dyDescent="0.2">
      <c r="A122" t="s">
        <v>299</v>
      </c>
      <c r="B122" t="s">
        <v>300</v>
      </c>
      <c r="C122" t="s">
        <v>301</v>
      </c>
      <c r="D122" t="s">
        <v>4</v>
      </c>
      <c r="E122">
        <v>0</v>
      </c>
      <c r="F122">
        <v>1</v>
      </c>
      <c r="G122">
        <v>0</v>
      </c>
      <c r="H122">
        <v>0</v>
      </c>
      <c r="I122" t="s">
        <v>25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1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5</v>
      </c>
      <c r="AE122">
        <v>510</v>
      </c>
      <c r="AF122">
        <v>38.142857142857132</v>
      </c>
      <c r="AG122">
        <v>40.175834832984847</v>
      </c>
      <c r="AH122">
        <f>17.6523310150089*1</f>
        <v>17.652331015008901</v>
      </c>
      <c r="AI122">
        <f>1.52297929190601*1</f>
        <v>1.5229792919060099</v>
      </c>
      <c r="AJ122">
        <v>1</v>
      </c>
      <c r="AK122">
        <v>0</v>
      </c>
      <c r="AL122">
        <v>0</v>
      </c>
    </row>
    <row r="123" spans="1:38" hidden="1" x14ac:dyDescent="0.2">
      <c r="A123" t="s">
        <v>302</v>
      </c>
      <c r="B123" t="s">
        <v>303</v>
      </c>
      <c r="C123" t="s">
        <v>303</v>
      </c>
      <c r="D123" t="s">
        <v>5</v>
      </c>
      <c r="E123">
        <v>0</v>
      </c>
      <c r="F123">
        <v>0</v>
      </c>
      <c r="G123">
        <v>1</v>
      </c>
      <c r="H123">
        <v>0</v>
      </c>
      <c r="I123" t="s">
        <v>25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1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5.9</v>
      </c>
      <c r="AE123">
        <v>513</v>
      </c>
      <c r="AF123">
        <v>30.110799345494499</v>
      </c>
      <c r="AG123">
        <v>46.704286934365378</v>
      </c>
      <c r="AH123">
        <f>20.0311522859707*1</f>
        <v>20.031152285970698</v>
      </c>
      <c r="AI123">
        <f>1.6577266849407*1</f>
        <v>1.6577266849407</v>
      </c>
      <c r="AJ123">
        <v>1</v>
      </c>
      <c r="AK123">
        <v>0</v>
      </c>
      <c r="AL123">
        <v>0</v>
      </c>
    </row>
    <row r="124" spans="1:38" hidden="1" x14ac:dyDescent="0.2">
      <c r="A124" t="s">
        <v>304</v>
      </c>
      <c r="B124" t="s">
        <v>305</v>
      </c>
      <c r="C124" t="s">
        <v>305</v>
      </c>
      <c r="D124" t="s">
        <v>6</v>
      </c>
      <c r="E124">
        <v>0</v>
      </c>
      <c r="F124">
        <v>0</v>
      </c>
      <c r="G124">
        <v>0</v>
      </c>
      <c r="H124">
        <v>1</v>
      </c>
      <c r="I124" t="s">
        <v>25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1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6.9</v>
      </c>
      <c r="AE124">
        <v>516</v>
      </c>
      <c r="AF124">
        <v>0</v>
      </c>
      <c r="AG124">
        <v>0</v>
      </c>
      <c r="AH124">
        <f>0*1</f>
        <v>0</v>
      </c>
      <c r="AI124">
        <f>0*1</f>
        <v>0</v>
      </c>
      <c r="AJ124">
        <v>1</v>
      </c>
      <c r="AK124">
        <v>0</v>
      </c>
      <c r="AL124">
        <v>0</v>
      </c>
    </row>
    <row r="125" spans="1:38" hidden="1" x14ac:dyDescent="0.2">
      <c r="A125" t="s">
        <v>236</v>
      </c>
      <c r="B125" t="s">
        <v>306</v>
      </c>
      <c r="C125" t="s">
        <v>306</v>
      </c>
      <c r="D125" t="s">
        <v>4</v>
      </c>
      <c r="E125">
        <v>0</v>
      </c>
      <c r="F125">
        <v>1</v>
      </c>
      <c r="G125">
        <v>0</v>
      </c>
      <c r="H125">
        <v>0</v>
      </c>
      <c r="I125" t="s">
        <v>25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1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4.9000000000000004</v>
      </c>
      <c r="AE125">
        <v>518</v>
      </c>
      <c r="AF125">
        <v>34.322580645161267</v>
      </c>
      <c r="AG125">
        <v>36.919447414366758</v>
      </c>
      <c r="AH125">
        <f>13.032325906935*1</f>
        <v>13.032325906935</v>
      </c>
      <c r="AI125">
        <f>1.05886250417182*1</f>
        <v>1.05886250417182</v>
      </c>
      <c r="AJ125">
        <v>1</v>
      </c>
      <c r="AK125">
        <v>0</v>
      </c>
      <c r="AL125">
        <v>0</v>
      </c>
    </row>
    <row r="126" spans="1:38" hidden="1" x14ac:dyDescent="0.2">
      <c r="A126" t="s">
        <v>307</v>
      </c>
      <c r="B126" t="s">
        <v>308</v>
      </c>
      <c r="C126" t="s">
        <v>76</v>
      </c>
      <c r="D126" t="s">
        <v>4</v>
      </c>
      <c r="E126">
        <v>0</v>
      </c>
      <c r="F126">
        <v>1</v>
      </c>
      <c r="G126">
        <v>0</v>
      </c>
      <c r="H126">
        <v>0</v>
      </c>
      <c r="I126" t="s">
        <v>25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1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4.4000000000000004</v>
      </c>
      <c r="AE126">
        <v>521</v>
      </c>
      <c r="AF126">
        <v>34.690909090909088</v>
      </c>
      <c r="AG126">
        <v>30.162461459578822</v>
      </c>
      <c r="AH126">
        <f>37.5201210646244*1</f>
        <v>37.520121064624398</v>
      </c>
      <c r="AI126">
        <f>3.07482381448257*1</f>
        <v>3.0748238144825701</v>
      </c>
      <c r="AJ126">
        <v>1</v>
      </c>
      <c r="AK126">
        <v>0</v>
      </c>
      <c r="AL126">
        <v>0</v>
      </c>
    </row>
    <row r="127" spans="1:38" x14ac:dyDescent="0.2">
      <c r="A127" t="s">
        <v>90</v>
      </c>
      <c r="B127" t="s">
        <v>91</v>
      </c>
      <c r="C127" t="s">
        <v>91</v>
      </c>
      <c r="D127" t="s">
        <v>4</v>
      </c>
      <c r="E127">
        <v>0</v>
      </c>
      <c r="F127">
        <v>1</v>
      </c>
      <c r="G127">
        <v>0</v>
      </c>
      <c r="H127">
        <v>0</v>
      </c>
      <c r="I127" t="s">
        <v>14</v>
      </c>
      <c r="J127">
        <v>0</v>
      </c>
      <c r="K127">
        <v>0</v>
      </c>
      <c r="L127">
        <v>1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5</v>
      </c>
      <c r="AE127">
        <v>89</v>
      </c>
      <c r="AF127">
        <v>43.595832753091393</v>
      </c>
      <c r="AG127">
        <v>31.4645902970097</v>
      </c>
      <c r="AH127">
        <f>57.5148899204645*1</f>
        <v>57.514889920464498</v>
      </c>
      <c r="AI127">
        <f>4.9493686558104*1</f>
        <v>4.9493686558104004</v>
      </c>
      <c r="AJ127">
        <v>1</v>
      </c>
      <c r="AK127">
        <v>1</v>
      </c>
      <c r="AL127">
        <v>1</v>
      </c>
    </row>
    <row r="128" spans="1:38" hidden="1" x14ac:dyDescent="0.2">
      <c r="A128" t="s">
        <v>311</v>
      </c>
      <c r="B128" t="s">
        <v>312</v>
      </c>
      <c r="C128" t="s">
        <v>312</v>
      </c>
      <c r="D128" t="s">
        <v>5</v>
      </c>
      <c r="E128">
        <v>0</v>
      </c>
      <c r="F128">
        <v>0</v>
      </c>
      <c r="G128">
        <v>1</v>
      </c>
      <c r="H128">
        <v>0</v>
      </c>
      <c r="I128" t="s">
        <v>26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1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5.9</v>
      </c>
      <c r="AE128">
        <v>549</v>
      </c>
      <c r="AF128">
        <v>45.452513966480467</v>
      </c>
      <c r="AG128">
        <v>45.863779405217393</v>
      </c>
      <c r="AH128">
        <f>22.9090575716351*1</f>
        <v>22.909057571635099</v>
      </c>
      <c r="AI128">
        <f>1.89510571561948*1</f>
        <v>1.8951057156194799</v>
      </c>
      <c r="AJ128">
        <v>1</v>
      </c>
      <c r="AK128">
        <v>0</v>
      </c>
      <c r="AL128">
        <v>0</v>
      </c>
    </row>
    <row r="129" spans="1:38" hidden="1" x14ac:dyDescent="0.2">
      <c r="A129" t="s">
        <v>296</v>
      </c>
      <c r="B129" t="s">
        <v>313</v>
      </c>
      <c r="C129" t="s">
        <v>314</v>
      </c>
      <c r="D129" t="s">
        <v>5</v>
      </c>
      <c r="E129">
        <v>0</v>
      </c>
      <c r="F129">
        <v>0</v>
      </c>
      <c r="G129">
        <v>1</v>
      </c>
      <c r="H129">
        <v>0</v>
      </c>
      <c r="I129" t="s">
        <v>26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1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6.1</v>
      </c>
      <c r="AE129">
        <v>551</v>
      </c>
      <c r="AF129">
        <v>44.716981132075489</v>
      </c>
      <c r="AG129">
        <v>47.888973448592047</v>
      </c>
      <c r="AH129">
        <f>34.6268436281856*1</f>
        <v>34.626843628185597</v>
      </c>
      <c r="AI129">
        <f>2.96959418524605*1</f>
        <v>2.9695941852460499</v>
      </c>
      <c r="AJ129">
        <v>1</v>
      </c>
      <c r="AK129">
        <v>0</v>
      </c>
      <c r="AL129">
        <v>0</v>
      </c>
    </row>
    <row r="130" spans="1:38" hidden="1" x14ac:dyDescent="0.2">
      <c r="A130" t="s">
        <v>315</v>
      </c>
      <c r="B130" t="s">
        <v>316</v>
      </c>
      <c r="C130" t="s">
        <v>316</v>
      </c>
      <c r="D130" t="s">
        <v>4</v>
      </c>
      <c r="E130">
        <v>0</v>
      </c>
      <c r="F130">
        <v>1</v>
      </c>
      <c r="G130">
        <v>0</v>
      </c>
      <c r="H130">
        <v>0</v>
      </c>
      <c r="I130" t="s">
        <v>26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1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4.4000000000000004</v>
      </c>
      <c r="AE130">
        <v>552</v>
      </c>
      <c r="AF130">
        <v>34.726256983240241</v>
      </c>
      <c r="AG130">
        <v>35.104452960143227</v>
      </c>
      <c r="AH130">
        <f>23.4546535968645*1</f>
        <v>23.4546535968645</v>
      </c>
      <c r="AI130">
        <f>1.94862969911835*1</f>
        <v>1.94862969911835</v>
      </c>
      <c r="AJ130">
        <v>1</v>
      </c>
      <c r="AK130">
        <v>0</v>
      </c>
      <c r="AL130">
        <v>0</v>
      </c>
    </row>
    <row r="131" spans="1:38" hidden="1" x14ac:dyDescent="0.2">
      <c r="A131" t="s">
        <v>317</v>
      </c>
      <c r="B131" t="s">
        <v>318</v>
      </c>
      <c r="C131" t="s">
        <v>318</v>
      </c>
      <c r="D131" t="s">
        <v>5</v>
      </c>
      <c r="E131">
        <v>0</v>
      </c>
      <c r="F131">
        <v>0</v>
      </c>
      <c r="G131">
        <v>1</v>
      </c>
      <c r="H131">
        <v>0</v>
      </c>
      <c r="I131" t="s">
        <v>26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1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7.5</v>
      </c>
      <c r="AE131">
        <v>554</v>
      </c>
      <c r="AF131">
        <v>34.737897057627109</v>
      </c>
      <c r="AG131">
        <v>40.50946804418917</v>
      </c>
      <c r="AH131">
        <f>16.8321508793263*1</f>
        <v>16.832150879326299</v>
      </c>
      <c r="AI131">
        <f>2.24782654981608*1</f>
        <v>2.2478265498160801</v>
      </c>
      <c r="AJ131">
        <v>1</v>
      </c>
      <c r="AK131">
        <v>0</v>
      </c>
      <c r="AL131">
        <v>0</v>
      </c>
    </row>
    <row r="132" spans="1:38" hidden="1" x14ac:dyDescent="0.2">
      <c r="A132" t="s">
        <v>88</v>
      </c>
      <c r="B132" t="s">
        <v>319</v>
      </c>
      <c r="C132" t="s">
        <v>319</v>
      </c>
      <c r="D132" t="s">
        <v>4</v>
      </c>
      <c r="E132">
        <v>0</v>
      </c>
      <c r="F132">
        <v>1</v>
      </c>
      <c r="G132">
        <v>0</v>
      </c>
      <c r="H132">
        <v>0</v>
      </c>
      <c r="I132" t="s">
        <v>26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1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5</v>
      </c>
      <c r="AE132">
        <v>555</v>
      </c>
      <c r="AF132">
        <v>0</v>
      </c>
      <c r="AG132">
        <v>0</v>
      </c>
      <c r="AH132">
        <f>0*1</f>
        <v>0</v>
      </c>
      <c r="AI132">
        <f>0*1</f>
        <v>0</v>
      </c>
      <c r="AJ132">
        <v>1</v>
      </c>
      <c r="AK132">
        <v>0</v>
      </c>
      <c r="AL132">
        <v>0</v>
      </c>
    </row>
    <row r="133" spans="1:38" x14ac:dyDescent="0.2">
      <c r="A133" t="s">
        <v>351</v>
      </c>
      <c r="B133" t="s">
        <v>352</v>
      </c>
      <c r="C133" t="s">
        <v>351</v>
      </c>
      <c r="D133" t="s">
        <v>4</v>
      </c>
      <c r="E133">
        <v>0</v>
      </c>
      <c r="F133">
        <v>1</v>
      </c>
      <c r="G133">
        <v>0</v>
      </c>
      <c r="H133">
        <v>0</v>
      </c>
      <c r="I133" t="s">
        <v>27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1</v>
      </c>
      <c r="Z133">
        <v>0</v>
      </c>
      <c r="AA133">
        <v>0</v>
      </c>
      <c r="AB133">
        <v>0</v>
      </c>
      <c r="AC133">
        <v>0</v>
      </c>
      <c r="AD133">
        <v>4.7</v>
      </c>
      <c r="AE133">
        <v>596</v>
      </c>
      <c r="AF133">
        <v>30.526315789473699</v>
      </c>
      <c r="AG133">
        <v>29.749100151550319</v>
      </c>
      <c r="AH133">
        <f>56.5793227719201*1</f>
        <v>56.579322771920097</v>
      </c>
      <c r="AI133">
        <f>4.77635255561661*1</f>
        <v>4.7763525556166098</v>
      </c>
      <c r="AJ133">
        <v>1</v>
      </c>
      <c r="AK133">
        <v>1</v>
      </c>
      <c r="AL133">
        <v>1</v>
      </c>
    </row>
    <row r="134" spans="1:38" x14ac:dyDescent="0.2">
      <c r="A134" t="s">
        <v>338</v>
      </c>
      <c r="B134" t="s">
        <v>339</v>
      </c>
      <c r="C134" t="s">
        <v>339</v>
      </c>
      <c r="D134" t="s">
        <v>4</v>
      </c>
      <c r="E134">
        <v>0</v>
      </c>
      <c r="F134">
        <v>1</v>
      </c>
      <c r="G134">
        <v>0</v>
      </c>
      <c r="H134">
        <v>0</v>
      </c>
      <c r="I134" t="s">
        <v>27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1</v>
      </c>
      <c r="Z134">
        <v>0</v>
      </c>
      <c r="AA134">
        <v>0</v>
      </c>
      <c r="AB134">
        <v>0</v>
      </c>
      <c r="AC134">
        <v>0</v>
      </c>
      <c r="AD134">
        <v>5.4</v>
      </c>
      <c r="AE134">
        <v>582</v>
      </c>
      <c r="AF134">
        <v>43.777777777777771</v>
      </c>
      <c r="AG134">
        <v>36.477275636573928</v>
      </c>
      <c r="AH134">
        <f>48.5449242323914*1</f>
        <v>48.544924232391402</v>
      </c>
      <c r="AI134">
        <f>4.14943874766048*1</f>
        <v>4.1494387476604802</v>
      </c>
      <c r="AJ134">
        <v>1</v>
      </c>
      <c r="AK134">
        <v>1</v>
      </c>
      <c r="AL134">
        <v>1</v>
      </c>
    </row>
    <row r="135" spans="1:38" hidden="1" x14ac:dyDescent="0.2">
      <c r="A135" t="s">
        <v>325</v>
      </c>
      <c r="B135" t="s">
        <v>326</v>
      </c>
      <c r="C135" t="s">
        <v>327</v>
      </c>
      <c r="D135" t="s">
        <v>5</v>
      </c>
      <c r="E135">
        <v>0</v>
      </c>
      <c r="F135">
        <v>0</v>
      </c>
      <c r="G135">
        <v>1</v>
      </c>
      <c r="H135">
        <v>0</v>
      </c>
      <c r="I135" t="s">
        <v>26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1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6</v>
      </c>
      <c r="AE135">
        <v>559</v>
      </c>
      <c r="AF135">
        <v>38.762461711001713</v>
      </c>
      <c r="AG135">
        <v>26.45890406809384</v>
      </c>
      <c r="AH135">
        <f>30.1128407299962*1</f>
        <v>30.112840729996201</v>
      </c>
      <c r="AI135">
        <f>2.6427597440623*1</f>
        <v>2.6427597440623001</v>
      </c>
      <c r="AJ135">
        <v>1</v>
      </c>
      <c r="AK135">
        <v>0</v>
      </c>
      <c r="AL135">
        <v>0</v>
      </c>
    </row>
    <row r="136" spans="1:38" hidden="1" x14ac:dyDescent="0.2">
      <c r="A136" t="s">
        <v>328</v>
      </c>
      <c r="B136" t="s">
        <v>329</v>
      </c>
      <c r="C136" t="s">
        <v>329</v>
      </c>
      <c r="D136" t="s">
        <v>4</v>
      </c>
      <c r="E136">
        <v>0</v>
      </c>
      <c r="F136">
        <v>1</v>
      </c>
      <c r="G136">
        <v>0</v>
      </c>
      <c r="H136">
        <v>0</v>
      </c>
      <c r="I136" t="s">
        <v>26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1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4.5</v>
      </c>
      <c r="AE136">
        <v>565</v>
      </c>
      <c r="AF136">
        <v>26.88601583635494</v>
      </c>
      <c r="AG136">
        <v>32.300172127448093</v>
      </c>
      <c r="AH136">
        <f>17.952100013703*1</f>
        <v>17.952100013702999</v>
      </c>
      <c r="AI136">
        <f>0.998536336230706*1</f>
        <v>0.99853633623070603</v>
      </c>
      <c r="AJ136">
        <v>1</v>
      </c>
      <c r="AK136">
        <v>0</v>
      </c>
      <c r="AL136">
        <v>0</v>
      </c>
    </row>
    <row r="137" spans="1:38" hidden="1" x14ac:dyDescent="0.2">
      <c r="A137" t="s">
        <v>330</v>
      </c>
      <c r="B137" t="s">
        <v>331</v>
      </c>
      <c r="C137" t="s">
        <v>331</v>
      </c>
      <c r="D137" t="s">
        <v>5</v>
      </c>
      <c r="E137">
        <v>0</v>
      </c>
      <c r="F137">
        <v>0</v>
      </c>
      <c r="G137">
        <v>1</v>
      </c>
      <c r="H137">
        <v>0</v>
      </c>
      <c r="I137" t="s">
        <v>26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1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4.5</v>
      </c>
      <c r="AE137">
        <v>566</v>
      </c>
      <c r="AF137">
        <v>27.92592592592597</v>
      </c>
      <c r="AG137">
        <v>28.970460825725951</v>
      </c>
      <c r="AH137">
        <f>14.7042772436737*1</f>
        <v>14.704277243673699</v>
      </c>
      <c r="AI137">
        <f>1.24909298437518*1</f>
        <v>1.2490929843751799</v>
      </c>
      <c r="AJ137">
        <v>1</v>
      </c>
      <c r="AK137">
        <v>0</v>
      </c>
      <c r="AL137">
        <v>0</v>
      </c>
    </row>
    <row r="138" spans="1:38" hidden="1" x14ac:dyDescent="0.2">
      <c r="A138" t="s">
        <v>332</v>
      </c>
      <c r="B138" t="s">
        <v>333</v>
      </c>
      <c r="C138" t="s">
        <v>333</v>
      </c>
      <c r="D138" t="s">
        <v>4</v>
      </c>
      <c r="E138">
        <v>0</v>
      </c>
      <c r="F138">
        <v>1</v>
      </c>
      <c r="G138">
        <v>0</v>
      </c>
      <c r="H138">
        <v>0</v>
      </c>
      <c r="I138" t="s">
        <v>26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1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5.4</v>
      </c>
      <c r="AE138">
        <v>571</v>
      </c>
      <c r="AF138">
        <v>32.840751409556397</v>
      </c>
      <c r="AG138">
        <v>40.161816755837513</v>
      </c>
      <c r="AH138">
        <f>18.4506524469496*1</f>
        <v>18.450652446949601</v>
      </c>
      <c r="AI138">
        <f>1.4887720930532*1</f>
        <v>1.4887720930532</v>
      </c>
      <c r="AJ138">
        <v>1</v>
      </c>
      <c r="AK138">
        <v>0</v>
      </c>
      <c r="AL138">
        <v>0</v>
      </c>
    </row>
    <row r="139" spans="1:38" hidden="1" x14ac:dyDescent="0.2">
      <c r="A139" t="s">
        <v>334</v>
      </c>
      <c r="B139" t="s">
        <v>335</v>
      </c>
      <c r="C139" t="s">
        <v>335</v>
      </c>
      <c r="D139" t="s">
        <v>5</v>
      </c>
      <c r="E139">
        <v>0</v>
      </c>
      <c r="F139">
        <v>0</v>
      </c>
      <c r="G139">
        <v>1</v>
      </c>
      <c r="H139">
        <v>0</v>
      </c>
      <c r="I139" t="s">
        <v>26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1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5.5</v>
      </c>
      <c r="AE139">
        <v>573</v>
      </c>
      <c r="AF139">
        <v>0</v>
      </c>
      <c r="AG139">
        <v>0</v>
      </c>
      <c r="AH139">
        <f>0*1</f>
        <v>0</v>
      </c>
      <c r="AI139">
        <f>0*1</f>
        <v>0</v>
      </c>
      <c r="AJ139">
        <v>1</v>
      </c>
      <c r="AK139">
        <v>0</v>
      </c>
      <c r="AL139">
        <v>0</v>
      </c>
    </row>
    <row r="140" spans="1:38" hidden="1" x14ac:dyDescent="0.2">
      <c r="A140" t="s">
        <v>336</v>
      </c>
      <c r="B140" t="s">
        <v>337</v>
      </c>
      <c r="C140" t="s">
        <v>337</v>
      </c>
      <c r="D140" t="s">
        <v>5</v>
      </c>
      <c r="E140">
        <v>0</v>
      </c>
      <c r="F140">
        <v>0</v>
      </c>
      <c r="G140">
        <v>1</v>
      </c>
      <c r="H140">
        <v>0</v>
      </c>
      <c r="I140" t="s">
        <v>26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1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4.7</v>
      </c>
      <c r="AE140">
        <v>576</v>
      </c>
      <c r="AF140">
        <v>60</v>
      </c>
      <c r="AG140">
        <v>41.128538158296152</v>
      </c>
      <c r="AH140">
        <f>9.83185016106666*1</f>
        <v>9.8318501610666598</v>
      </c>
      <c r="AI140">
        <f>0.828597998046895*1</f>
        <v>0.82859799804689505</v>
      </c>
      <c r="AJ140">
        <v>1</v>
      </c>
      <c r="AK140">
        <v>0</v>
      </c>
      <c r="AL140">
        <v>0</v>
      </c>
    </row>
    <row r="141" spans="1:38" x14ac:dyDescent="0.2">
      <c r="A141" t="s">
        <v>234</v>
      </c>
      <c r="B141" t="s">
        <v>235</v>
      </c>
      <c r="C141" t="s">
        <v>235</v>
      </c>
      <c r="D141" t="s">
        <v>4</v>
      </c>
      <c r="E141">
        <v>0</v>
      </c>
      <c r="F141">
        <v>1</v>
      </c>
      <c r="G141">
        <v>0</v>
      </c>
      <c r="H141">
        <v>0</v>
      </c>
      <c r="I141" t="s">
        <v>20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1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5.0999999999999996</v>
      </c>
      <c r="AE141">
        <v>344</v>
      </c>
      <c r="AF141">
        <v>37.653656228517299</v>
      </c>
      <c r="AG141">
        <v>24.950648424121631</v>
      </c>
      <c r="AH141">
        <f>37.7719015868271*1</f>
        <v>37.771901586827099</v>
      </c>
      <c r="AI141">
        <f>3.0012076585538*1</f>
        <v>3.0012076585537999</v>
      </c>
      <c r="AJ141">
        <v>1</v>
      </c>
      <c r="AK141">
        <v>1</v>
      </c>
      <c r="AL141">
        <v>1</v>
      </c>
    </row>
    <row r="142" spans="1:38" hidden="1" x14ac:dyDescent="0.2">
      <c r="A142" t="s">
        <v>340</v>
      </c>
      <c r="B142" t="s">
        <v>341</v>
      </c>
      <c r="C142" t="s">
        <v>341</v>
      </c>
      <c r="D142" t="s">
        <v>5</v>
      </c>
      <c r="E142">
        <v>0</v>
      </c>
      <c r="F142">
        <v>0</v>
      </c>
      <c r="G142">
        <v>1</v>
      </c>
      <c r="H142">
        <v>0</v>
      </c>
      <c r="I142" t="s">
        <v>27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1</v>
      </c>
      <c r="Z142">
        <v>0</v>
      </c>
      <c r="AA142">
        <v>0</v>
      </c>
      <c r="AB142">
        <v>0</v>
      </c>
      <c r="AC142">
        <v>0</v>
      </c>
      <c r="AD142">
        <v>5</v>
      </c>
      <c r="AE142">
        <v>583</v>
      </c>
      <c r="AF142">
        <v>31.958277498196932</v>
      </c>
      <c r="AG142">
        <v>18.469092357619971</v>
      </c>
      <c r="AH142">
        <f>23.2453120259692*1</f>
        <v>23.245312025969199</v>
      </c>
      <c r="AI142">
        <f>1.85653143079346*1</f>
        <v>1.8565314307934599</v>
      </c>
      <c r="AJ142">
        <v>1</v>
      </c>
      <c r="AK142">
        <v>0</v>
      </c>
      <c r="AL142">
        <v>0</v>
      </c>
    </row>
    <row r="143" spans="1:38" hidden="1" x14ac:dyDescent="0.2">
      <c r="A143" t="s">
        <v>342</v>
      </c>
      <c r="B143" t="s">
        <v>343</v>
      </c>
      <c r="C143" t="s">
        <v>343</v>
      </c>
      <c r="D143" t="s">
        <v>6</v>
      </c>
      <c r="E143">
        <v>0</v>
      </c>
      <c r="F143">
        <v>0</v>
      </c>
      <c r="G143">
        <v>0</v>
      </c>
      <c r="H143">
        <v>1</v>
      </c>
      <c r="I143" t="s">
        <v>27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1</v>
      </c>
      <c r="Z143">
        <v>0</v>
      </c>
      <c r="AA143">
        <v>0</v>
      </c>
      <c r="AB143">
        <v>0</v>
      </c>
      <c r="AC143">
        <v>0</v>
      </c>
      <c r="AD143">
        <v>5.5</v>
      </c>
      <c r="AE143">
        <v>584</v>
      </c>
      <c r="AF143">
        <v>15.986828785527409</v>
      </c>
      <c r="AG143">
        <v>45.409233989694542</v>
      </c>
      <c r="AH143">
        <f>4.22634098063146*1</f>
        <v>4.22634098063146</v>
      </c>
      <c r="AI143">
        <f>0.328674059612969*1</f>
        <v>0.32867405961296903</v>
      </c>
      <c r="AJ143">
        <v>1</v>
      </c>
      <c r="AK143">
        <v>0</v>
      </c>
      <c r="AL143">
        <v>0</v>
      </c>
    </row>
    <row r="144" spans="1:38" hidden="1" x14ac:dyDescent="0.2">
      <c r="A144" t="s">
        <v>344</v>
      </c>
      <c r="B144" t="s">
        <v>345</v>
      </c>
      <c r="C144" t="s">
        <v>346</v>
      </c>
      <c r="D144" t="s">
        <v>5</v>
      </c>
      <c r="E144">
        <v>0</v>
      </c>
      <c r="F144">
        <v>0</v>
      </c>
      <c r="G144">
        <v>1</v>
      </c>
      <c r="H144">
        <v>0</v>
      </c>
      <c r="I144" t="s">
        <v>27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1</v>
      </c>
      <c r="Z144">
        <v>0</v>
      </c>
      <c r="AA144">
        <v>0</v>
      </c>
      <c r="AB144">
        <v>0</v>
      </c>
      <c r="AC144">
        <v>0</v>
      </c>
      <c r="AD144">
        <v>4.8</v>
      </c>
      <c r="AE144">
        <v>591</v>
      </c>
      <c r="AF144">
        <v>0</v>
      </c>
      <c r="AG144">
        <v>0</v>
      </c>
      <c r="AH144">
        <f>0*1</f>
        <v>0</v>
      </c>
      <c r="AI144">
        <f>0*1</f>
        <v>0</v>
      </c>
      <c r="AJ144">
        <v>1</v>
      </c>
      <c r="AK144">
        <v>0</v>
      </c>
      <c r="AL144">
        <v>0</v>
      </c>
    </row>
    <row r="145" spans="1:38" hidden="1" x14ac:dyDescent="0.2">
      <c r="A145" t="s">
        <v>317</v>
      </c>
      <c r="B145" t="s">
        <v>347</v>
      </c>
      <c r="C145" t="s">
        <v>347</v>
      </c>
      <c r="D145" t="s">
        <v>5</v>
      </c>
      <c r="E145">
        <v>0</v>
      </c>
      <c r="F145">
        <v>0</v>
      </c>
      <c r="G145">
        <v>1</v>
      </c>
      <c r="H145">
        <v>0</v>
      </c>
      <c r="I145" t="s">
        <v>27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1</v>
      </c>
      <c r="Z145">
        <v>0</v>
      </c>
      <c r="AA145">
        <v>0</v>
      </c>
      <c r="AB145">
        <v>0</v>
      </c>
      <c r="AC145">
        <v>0</v>
      </c>
      <c r="AD145">
        <v>5.3</v>
      </c>
      <c r="AE145">
        <v>592</v>
      </c>
      <c r="AF145">
        <v>36.130561269783158</v>
      </c>
      <c r="AG145">
        <v>25.113021358548181</v>
      </c>
      <c r="AH145">
        <f>28.4430989683212*1</f>
        <v>28.443098968321198</v>
      </c>
      <c r="AI145">
        <f>2.35824948665392*1</f>
        <v>2.3582494866539201</v>
      </c>
      <c r="AJ145">
        <v>1</v>
      </c>
      <c r="AK145">
        <v>0</v>
      </c>
      <c r="AL145">
        <v>0</v>
      </c>
    </row>
    <row r="146" spans="1:38" hidden="1" x14ac:dyDescent="0.2">
      <c r="A146" t="s">
        <v>79</v>
      </c>
      <c r="B146" t="s">
        <v>348</v>
      </c>
      <c r="C146" t="s">
        <v>348</v>
      </c>
      <c r="D146" t="s">
        <v>5</v>
      </c>
      <c r="E146">
        <v>0</v>
      </c>
      <c r="F146">
        <v>0</v>
      </c>
      <c r="G146">
        <v>1</v>
      </c>
      <c r="H146">
        <v>0</v>
      </c>
      <c r="I146" t="s">
        <v>27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1</v>
      </c>
      <c r="Z146">
        <v>0</v>
      </c>
      <c r="AA146">
        <v>0</v>
      </c>
      <c r="AB146">
        <v>0</v>
      </c>
      <c r="AC146">
        <v>0</v>
      </c>
      <c r="AD146">
        <v>6.5</v>
      </c>
      <c r="AE146">
        <v>593</v>
      </c>
      <c r="AF146">
        <v>62.975059164919337</v>
      </c>
      <c r="AG146">
        <v>37.857383274913907</v>
      </c>
      <c r="AH146">
        <f>62.9087160765486*1</f>
        <v>62.9087160765486</v>
      </c>
      <c r="AI146">
        <f>5.48513106483215*1</f>
        <v>5.4851310648321503</v>
      </c>
      <c r="AJ146">
        <v>1</v>
      </c>
      <c r="AK146">
        <v>0</v>
      </c>
      <c r="AL146">
        <v>0</v>
      </c>
    </row>
    <row r="147" spans="1:38" hidden="1" x14ac:dyDescent="0.2">
      <c r="A147" t="s">
        <v>349</v>
      </c>
      <c r="B147" t="s">
        <v>350</v>
      </c>
      <c r="C147" t="s">
        <v>350</v>
      </c>
      <c r="D147" t="s">
        <v>5</v>
      </c>
      <c r="E147">
        <v>0</v>
      </c>
      <c r="F147">
        <v>0</v>
      </c>
      <c r="G147">
        <v>1</v>
      </c>
      <c r="H147">
        <v>0</v>
      </c>
      <c r="I147" t="s">
        <v>27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1</v>
      </c>
      <c r="Z147">
        <v>0</v>
      </c>
      <c r="AA147">
        <v>0</v>
      </c>
      <c r="AB147">
        <v>0</v>
      </c>
      <c r="AC147">
        <v>0</v>
      </c>
      <c r="AD147">
        <v>5.2</v>
      </c>
      <c r="AE147">
        <v>594</v>
      </c>
      <c r="AF147">
        <v>43.563147686060709</v>
      </c>
      <c r="AG147">
        <v>35.424797392505702</v>
      </c>
      <c r="AH147">
        <f>38.9538511609591*1</f>
        <v>38.953851160959097</v>
      </c>
      <c r="AI147">
        <f>3.26742952815336*1</f>
        <v>3.2674295281533601</v>
      </c>
      <c r="AJ147">
        <v>1</v>
      </c>
      <c r="AK147">
        <v>0</v>
      </c>
      <c r="AL147">
        <v>0</v>
      </c>
    </row>
    <row r="148" spans="1:38" x14ac:dyDescent="0.2">
      <c r="A148" t="s">
        <v>207</v>
      </c>
      <c r="B148" t="s">
        <v>208</v>
      </c>
      <c r="C148" t="s">
        <v>208</v>
      </c>
      <c r="D148" t="s">
        <v>3</v>
      </c>
      <c r="E148">
        <v>1</v>
      </c>
      <c r="F148">
        <v>0</v>
      </c>
      <c r="G148">
        <v>0</v>
      </c>
      <c r="H148">
        <v>0</v>
      </c>
      <c r="I148" t="s">
        <v>19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1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5.0999999999999996</v>
      </c>
      <c r="AE148">
        <v>308</v>
      </c>
      <c r="AF148">
        <v>43.692307692307679</v>
      </c>
      <c r="AG148">
        <v>43.55229741913584</v>
      </c>
      <c r="AH148">
        <f>32.7811788428003*1</f>
        <v>32.781178842800301</v>
      </c>
      <c r="AI148">
        <f>2.74872319827379*1</f>
        <v>2.7487231982737899</v>
      </c>
      <c r="AJ148">
        <v>1</v>
      </c>
      <c r="AK148">
        <v>1</v>
      </c>
      <c r="AL148">
        <v>1</v>
      </c>
    </row>
    <row r="149" spans="1:38" hidden="1" x14ac:dyDescent="0.2">
      <c r="A149" t="s">
        <v>353</v>
      </c>
      <c r="B149" t="s">
        <v>354</v>
      </c>
      <c r="C149" t="s">
        <v>355</v>
      </c>
      <c r="D149" t="s">
        <v>4</v>
      </c>
      <c r="E149">
        <v>0</v>
      </c>
      <c r="F149">
        <v>1</v>
      </c>
      <c r="G149">
        <v>0</v>
      </c>
      <c r="H149">
        <v>0</v>
      </c>
      <c r="I149" t="s">
        <v>27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1</v>
      </c>
      <c r="Z149">
        <v>0</v>
      </c>
      <c r="AA149">
        <v>0</v>
      </c>
      <c r="AB149">
        <v>0</v>
      </c>
      <c r="AC149">
        <v>0</v>
      </c>
      <c r="AD149">
        <v>4.4000000000000004</v>
      </c>
      <c r="AE149">
        <v>597</v>
      </c>
      <c r="AF149">
        <v>24.521739130434799</v>
      </c>
      <c r="AG149">
        <v>18.722441563974119</v>
      </c>
      <c r="AH149">
        <f>23.6340661263217*1</f>
        <v>23.634066126321699</v>
      </c>
      <c r="AI149">
        <f>2.04125676874256*1</f>
        <v>2.04125676874256</v>
      </c>
      <c r="AJ149">
        <v>1</v>
      </c>
      <c r="AK149">
        <v>0</v>
      </c>
      <c r="AL149">
        <v>0</v>
      </c>
    </row>
    <row r="150" spans="1:38" hidden="1" x14ac:dyDescent="0.2">
      <c r="A150" t="s">
        <v>356</v>
      </c>
      <c r="B150" t="s">
        <v>357</v>
      </c>
      <c r="C150" t="s">
        <v>357</v>
      </c>
      <c r="D150" t="s">
        <v>3</v>
      </c>
      <c r="E150">
        <v>1</v>
      </c>
      <c r="F150">
        <v>0</v>
      </c>
      <c r="G150">
        <v>0</v>
      </c>
      <c r="H150">
        <v>0</v>
      </c>
      <c r="I150" t="s">
        <v>27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1</v>
      </c>
      <c r="Z150">
        <v>0</v>
      </c>
      <c r="AA150">
        <v>0</v>
      </c>
      <c r="AB150">
        <v>0</v>
      </c>
      <c r="AC150">
        <v>0</v>
      </c>
      <c r="AD150">
        <v>5</v>
      </c>
      <c r="AE150">
        <v>603</v>
      </c>
      <c r="AF150">
        <v>0</v>
      </c>
      <c r="AG150">
        <v>0</v>
      </c>
      <c r="AH150">
        <f>0*1</f>
        <v>0</v>
      </c>
      <c r="AI150">
        <f>0*1</f>
        <v>0</v>
      </c>
      <c r="AJ150">
        <v>1</v>
      </c>
      <c r="AK150">
        <v>0</v>
      </c>
      <c r="AL150">
        <v>0</v>
      </c>
    </row>
    <row r="151" spans="1:38" x14ac:dyDescent="0.2">
      <c r="A151" t="s">
        <v>309</v>
      </c>
      <c r="B151" t="s">
        <v>310</v>
      </c>
      <c r="C151" t="s">
        <v>310</v>
      </c>
      <c r="D151" t="s">
        <v>3</v>
      </c>
      <c r="E151">
        <v>1</v>
      </c>
      <c r="F151">
        <v>0</v>
      </c>
      <c r="G151">
        <v>0</v>
      </c>
      <c r="H151">
        <v>0</v>
      </c>
      <c r="I151" t="s">
        <v>25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1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5</v>
      </c>
      <c r="AE151">
        <v>524</v>
      </c>
      <c r="AF151">
        <v>41.904761904761877</v>
      </c>
      <c r="AG151">
        <v>48.784211020005088</v>
      </c>
      <c r="AH151">
        <f>31.6346193634553*1</f>
        <v>31.6346193634553</v>
      </c>
      <c r="AI151">
        <f>2.49352535097553*1</f>
        <v>2.49352535097553</v>
      </c>
      <c r="AJ151">
        <v>1</v>
      </c>
      <c r="AK151">
        <v>1</v>
      </c>
      <c r="AL151">
        <v>1</v>
      </c>
    </row>
    <row r="152" spans="1:38" hidden="1" x14ac:dyDescent="0.2">
      <c r="A152" t="s">
        <v>86</v>
      </c>
      <c r="B152" t="s">
        <v>360</v>
      </c>
      <c r="C152" t="s">
        <v>360</v>
      </c>
      <c r="D152" t="s">
        <v>5</v>
      </c>
      <c r="E152">
        <v>0</v>
      </c>
      <c r="F152">
        <v>0</v>
      </c>
      <c r="G152">
        <v>1</v>
      </c>
      <c r="H152">
        <v>0</v>
      </c>
      <c r="I152" t="s">
        <v>27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1</v>
      </c>
      <c r="Z152">
        <v>0</v>
      </c>
      <c r="AA152">
        <v>0</v>
      </c>
      <c r="AB152">
        <v>0</v>
      </c>
      <c r="AC152">
        <v>0</v>
      </c>
      <c r="AD152">
        <v>4.8</v>
      </c>
      <c r="AE152">
        <v>608</v>
      </c>
      <c r="AF152">
        <v>23.285714285714281</v>
      </c>
      <c r="AG152">
        <v>18.894430644850981</v>
      </c>
      <c r="AH152">
        <f>23.47560953683*1</f>
        <v>23.47560953683</v>
      </c>
      <c r="AI152">
        <f>2.00202267330114*1</f>
        <v>2.0020226733011399</v>
      </c>
      <c r="AJ152">
        <v>1</v>
      </c>
      <c r="AK152">
        <v>0</v>
      </c>
      <c r="AL152">
        <v>0</v>
      </c>
    </row>
    <row r="153" spans="1:38" hidden="1" x14ac:dyDescent="0.2">
      <c r="A153" t="s">
        <v>361</v>
      </c>
      <c r="B153" t="s">
        <v>362</v>
      </c>
      <c r="C153" t="s">
        <v>362</v>
      </c>
      <c r="D153" t="s">
        <v>6</v>
      </c>
      <c r="E153">
        <v>0</v>
      </c>
      <c r="F153">
        <v>0</v>
      </c>
      <c r="G153">
        <v>0</v>
      </c>
      <c r="H153">
        <v>1</v>
      </c>
      <c r="I153" t="s">
        <v>28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1</v>
      </c>
      <c r="AA153">
        <v>0</v>
      </c>
      <c r="AB153">
        <v>0</v>
      </c>
      <c r="AC153">
        <v>0</v>
      </c>
      <c r="AD153">
        <v>4.9000000000000004</v>
      </c>
      <c r="AE153">
        <v>617</v>
      </c>
      <c r="AF153">
        <v>26.16393442622951</v>
      </c>
      <c r="AG153">
        <v>34.953441942759397</v>
      </c>
      <c r="AH153">
        <f>15.040279910664*1</f>
        <v>15.040279910663999</v>
      </c>
      <c r="AI153">
        <f>1.25517785507201*1</f>
        <v>1.2551778550720101</v>
      </c>
      <c r="AJ153">
        <v>1</v>
      </c>
      <c r="AK153">
        <v>0</v>
      </c>
      <c r="AL153">
        <v>0</v>
      </c>
    </row>
    <row r="154" spans="1:38" hidden="1" x14ac:dyDescent="0.2">
      <c r="A154" t="s">
        <v>363</v>
      </c>
      <c r="B154" t="s">
        <v>364</v>
      </c>
      <c r="C154" t="s">
        <v>364</v>
      </c>
      <c r="D154" t="s">
        <v>6</v>
      </c>
      <c r="E154">
        <v>0</v>
      </c>
      <c r="F154">
        <v>0</v>
      </c>
      <c r="G154">
        <v>0</v>
      </c>
      <c r="H154">
        <v>1</v>
      </c>
      <c r="I154" t="s">
        <v>28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1</v>
      </c>
      <c r="AA154">
        <v>0</v>
      </c>
      <c r="AB154">
        <v>0</v>
      </c>
      <c r="AC154">
        <v>0</v>
      </c>
      <c r="AD154">
        <v>5.0999999999999996</v>
      </c>
      <c r="AE154">
        <v>622</v>
      </c>
      <c r="AF154">
        <v>25.416102061530712</v>
      </c>
      <c r="AG154">
        <v>24.425356207028319</v>
      </c>
      <c r="AH154">
        <f>17.4716811083606*1</f>
        <v>17.471681108360599</v>
      </c>
      <c r="AI154">
        <f>1.32290822577141*1</f>
        <v>1.32290822577141</v>
      </c>
      <c r="AJ154">
        <v>1</v>
      </c>
      <c r="AK154">
        <v>0</v>
      </c>
      <c r="AL154">
        <v>0</v>
      </c>
    </row>
    <row r="155" spans="1:38" hidden="1" x14ac:dyDescent="0.2">
      <c r="A155" t="s">
        <v>365</v>
      </c>
      <c r="B155" t="s">
        <v>366</v>
      </c>
      <c r="C155" t="s">
        <v>366</v>
      </c>
      <c r="D155" t="s">
        <v>4</v>
      </c>
      <c r="E155">
        <v>0</v>
      </c>
      <c r="F155">
        <v>1</v>
      </c>
      <c r="G155">
        <v>0</v>
      </c>
      <c r="H155">
        <v>0</v>
      </c>
      <c r="I155" t="s">
        <v>28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1</v>
      </c>
      <c r="AA155">
        <v>0</v>
      </c>
      <c r="AB155">
        <v>0</v>
      </c>
      <c r="AC155">
        <v>0</v>
      </c>
      <c r="AD155">
        <v>4</v>
      </c>
      <c r="AE155">
        <v>624</v>
      </c>
      <c r="AF155">
        <v>26.42755855740279</v>
      </c>
      <c r="AG155">
        <v>29.205553624124551</v>
      </c>
      <c r="AH155">
        <f>13.5485159917398*1</f>
        <v>13.5485159917398</v>
      </c>
      <c r="AI155">
        <f>1.27496468638211*1</f>
        <v>1.27496468638211</v>
      </c>
      <c r="AJ155">
        <v>1</v>
      </c>
      <c r="AK155">
        <v>0</v>
      </c>
      <c r="AL155">
        <v>0</v>
      </c>
    </row>
    <row r="156" spans="1:38" hidden="1" x14ac:dyDescent="0.2">
      <c r="A156" t="s">
        <v>367</v>
      </c>
      <c r="B156" t="s">
        <v>368</v>
      </c>
      <c r="C156" t="s">
        <v>368</v>
      </c>
      <c r="D156" t="s">
        <v>4</v>
      </c>
      <c r="E156">
        <v>0</v>
      </c>
      <c r="F156">
        <v>1</v>
      </c>
      <c r="G156">
        <v>0</v>
      </c>
      <c r="H156">
        <v>0</v>
      </c>
      <c r="I156" t="s">
        <v>28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1</v>
      </c>
      <c r="AA156">
        <v>0</v>
      </c>
      <c r="AB156">
        <v>0</v>
      </c>
      <c r="AC156">
        <v>0</v>
      </c>
      <c r="AD156">
        <v>4.3</v>
      </c>
      <c r="AE156">
        <v>645</v>
      </c>
      <c r="AF156">
        <v>19.0829231097314</v>
      </c>
      <c r="AG156">
        <v>31.07864435179021</v>
      </c>
      <c r="AH156">
        <f>8.62118856096379*1</f>
        <v>8.6211885609637893</v>
      </c>
      <c r="AI156">
        <f>0.677903148391846*1</f>
        <v>0.67790314839184596</v>
      </c>
      <c r="AJ156">
        <v>1</v>
      </c>
      <c r="AK156">
        <v>0</v>
      </c>
      <c r="AL156">
        <v>0</v>
      </c>
    </row>
    <row r="157" spans="1:38" hidden="1" x14ac:dyDescent="0.2">
      <c r="A157" t="s">
        <v>369</v>
      </c>
      <c r="B157" t="s">
        <v>370</v>
      </c>
      <c r="C157" t="s">
        <v>370</v>
      </c>
      <c r="D157" t="s">
        <v>5</v>
      </c>
      <c r="E157">
        <v>0</v>
      </c>
      <c r="F157">
        <v>0</v>
      </c>
      <c r="G157">
        <v>1</v>
      </c>
      <c r="H157">
        <v>0</v>
      </c>
      <c r="I157" t="s">
        <v>29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1</v>
      </c>
      <c r="AB157">
        <v>0</v>
      </c>
      <c r="AC157">
        <v>0</v>
      </c>
      <c r="AD157">
        <v>4.8</v>
      </c>
      <c r="AE157">
        <v>662</v>
      </c>
      <c r="AF157">
        <v>22.449438202247212</v>
      </c>
      <c r="AG157">
        <v>21.683947510390141</v>
      </c>
      <c r="AH157">
        <f>15.2864166181736*1</f>
        <v>15.2864166181736</v>
      </c>
      <c r="AI157">
        <f>1.27450837976552*1</f>
        <v>1.2745083797655199</v>
      </c>
      <c r="AJ157">
        <v>1</v>
      </c>
      <c r="AK157">
        <v>0</v>
      </c>
      <c r="AL157">
        <v>0</v>
      </c>
    </row>
    <row r="158" spans="1:38" hidden="1" x14ac:dyDescent="0.2">
      <c r="A158" t="s">
        <v>371</v>
      </c>
      <c r="B158" t="s">
        <v>372</v>
      </c>
      <c r="C158" t="s">
        <v>372</v>
      </c>
      <c r="D158" t="s">
        <v>5</v>
      </c>
      <c r="E158">
        <v>0</v>
      </c>
      <c r="F158">
        <v>0</v>
      </c>
      <c r="G158">
        <v>1</v>
      </c>
      <c r="H158">
        <v>0</v>
      </c>
      <c r="I158" t="s">
        <v>29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1</v>
      </c>
      <c r="AB158">
        <v>0</v>
      </c>
      <c r="AC158">
        <v>0</v>
      </c>
      <c r="AD158">
        <v>6.2</v>
      </c>
      <c r="AE158">
        <v>671</v>
      </c>
      <c r="AF158">
        <v>44.387096774193523</v>
      </c>
      <c r="AG158">
        <v>34.756545837859314</v>
      </c>
      <c r="AH158">
        <f>43.3821343835119*1</f>
        <v>43.382134383511897</v>
      </c>
      <c r="AI158">
        <f>3.6962106386714*1</f>
        <v>3.6962106386714</v>
      </c>
      <c r="AJ158">
        <v>1</v>
      </c>
      <c r="AK158">
        <v>0</v>
      </c>
      <c r="AL158">
        <v>0</v>
      </c>
    </row>
    <row r="159" spans="1:38" hidden="1" x14ac:dyDescent="0.2">
      <c r="A159" t="s">
        <v>373</v>
      </c>
      <c r="B159" t="s">
        <v>374</v>
      </c>
      <c r="C159" t="s">
        <v>374</v>
      </c>
      <c r="D159" t="s">
        <v>5</v>
      </c>
      <c r="E159">
        <v>0</v>
      </c>
      <c r="F159">
        <v>0</v>
      </c>
      <c r="G159">
        <v>1</v>
      </c>
      <c r="H159">
        <v>0</v>
      </c>
      <c r="I159" t="s">
        <v>29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1</v>
      </c>
      <c r="AB159">
        <v>0</v>
      </c>
      <c r="AC159">
        <v>0</v>
      </c>
      <c r="AD159">
        <v>6.3</v>
      </c>
      <c r="AE159">
        <v>672</v>
      </c>
      <c r="AF159">
        <v>47.423076923076913</v>
      </c>
      <c r="AG159">
        <v>44.570226064528683</v>
      </c>
      <c r="AH159">
        <f>29.0333127275698*1</f>
        <v>29.0333127275698</v>
      </c>
      <c r="AI159">
        <f>2.41004965303836*1</f>
        <v>2.4100496530383602</v>
      </c>
      <c r="AJ159">
        <v>1</v>
      </c>
      <c r="AK159">
        <v>0</v>
      </c>
      <c r="AL159">
        <v>0</v>
      </c>
    </row>
    <row r="160" spans="1:38" hidden="1" x14ac:dyDescent="0.2">
      <c r="A160" t="s">
        <v>209</v>
      </c>
      <c r="B160" t="s">
        <v>375</v>
      </c>
      <c r="C160" t="s">
        <v>375</v>
      </c>
      <c r="D160" t="s">
        <v>5</v>
      </c>
      <c r="E160">
        <v>0</v>
      </c>
      <c r="F160">
        <v>0</v>
      </c>
      <c r="G160">
        <v>1</v>
      </c>
      <c r="H160">
        <v>0</v>
      </c>
      <c r="I160" t="s">
        <v>29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1</v>
      </c>
      <c r="AB160">
        <v>0</v>
      </c>
      <c r="AC160">
        <v>0</v>
      </c>
      <c r="AD160">
        <v>7.4</v>
      </c>
      <c r="AE160">
        <v>674</v>
      </c>
      <c r="AF160">
        <v>51.588941992147333</v>
      </c>
      <c r="AG160">
        <v>56.687639427899818</v>
      </c>
      <c r="AH160">
        <f>37.4589750137612*1</f>
        <v>37.458975013761197</v>
      </c>
      <c r="AI160">
        <f>2.32264738050069*1</f>
        <v>2.32264738050069</v>
      </c>
      <c r="AJ160">
        <v>1</v>
      </c>
      <c r="AK160">
        <v>0</v>
      </c>
      <c r="AL160">
        <v>0</v>
      </c>
    </row>
    <row r="161" spans="1:38" hidden="1" x14ac:dyDescent="0.2">
      <c r="A161" t="s">
        <v>173</v>
      </c>
      <c r="B161" t="s">
        <v>376</v>
      </c>
      <c r="C161" t="s">
        <v>377</v>
      </c>
      <c r="D161" t="s">
        <v>4</v>
      </c>
      <c r="E161">
        <v>0</v>
      </c>
      <c r="F161">
        <v>1</v>
      </c>
      <c r="G161">
        <v>0</v>
      </c>
      <c r="H161">
        <v>0</v>
      </c>
      <c r="I161" t="s">
        <v>29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1</v>
      </c>
      <c r="AB161">
        <v>0</v>
      </c>
      <c r="AC161">
        <v>0</v>
      </c>
      <c r="AD161">
        <v>5.4</v>
      </c>
      <c r="AE161">
        <v>675</v>
      </c>
      <c r="AF161">
        <v>45.657178037558793</v>
      </c>
      <c r="AG161">
        <v>50.557720105600623</v>
      </c>
      <c r="AH161">
        <f>25.0930306193763*1</f>
        <v>25.0930306193763</v>
      </c>
      <c r="AI161">
        <f>1.89785970035746*1</f>
        <v>1.89785970035746</v>
      </c>
      <c r="AJ161">
        <v>1</v>
      </c>
      <c r="AK161">
        <v>0</v>
      </c>
      <c r="AL161">
        <v>0</v>
      </c>
    </row>
    <row r="162" spans="1:38" hidden="1" x14ac:dyDescent="0.2">
      <c r="A162" t="s">
        <v>378</v>
      </c>
      <c r="B162" t="s">
        <v>193</v>
      </c>
      <c r="C162" t="s">
        <v>379</v>
      </c>
      <c r="D162" t="s">
        <v>5</v>
      </c>
      <c r="E162">
        <v>0</v>
      </c>
      <c r="F162">
        <v>0</v>
      </c>
      <c r="G162">
        <v>1</v>
      </c>
      <c r="H162">
        <v>0</v>
      </c>
      <c r="I162" t="s">
        <v>29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1</v>
      </c>
      <c r="AB162">
        <v>0</v>
      </c>
      <c r="AC162">
        <v>0</v>
      </c>
      <c r="AD162">
        <v>4.8</v>
      </c>
      <c r="AE162">
        <v>679</v>
      </c>
      <c r="AF162">
        <v>26.117647058823518</v>
      </c>
      <c r="AG162">
        <v>27.810674889013299</v>
      </c>
      <c r="AH162">
        <f>13.9682824156722*1</f>
        <v>13.968282415672199</v>
      </c>
      <c r="AI162">
        <f>1.17187673036565*1</f>
        <v>1.1718767303656501</v>
      </c>
      <c r="AJ162">
        <v>1</v>
      </c>
      <c r="AK162">
        <v>0</v>
      </c>
      <c r="AL162">
        <v>0</v>
      </c>
    </row>
    <row r="163" spans="1:38" hidden="1" x14ac:dyDescent="0.2">
      <c r="A163" t="s">
        <v>380</v>
      </c>
      <c r="B163" t="s">
        <v>381</v>
      </c>
      <c r="C163" t="s">
        <v>380</v>
      </c>
      <c r="D163" t="s">
        <v>5</v>
      </c>
      <c r="E163">
        <v>0</v>
      </c>
      <c r="F163">
        <v>0</v>
      </c>
      <c r="G163">
        <v>1</v>
      </c>
      <c r="H163">
        <v>0</v>
      </c>
      <c r="I163" t="s">
        <v>29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1</v>
      </c>
      <c r="AB163">
        <v>0</v>
      </c>
      <c r="AC163">
        <v>0</v>
      </c>
      <c r="AD163">
        <v>9.6999999999999993</v>
      </c>
      <c r="AE163">
        <v>682</v>
      </c>
      <c r="AF163">
        <v>61.36567283440408</v>
      </c>
      <c r="AG163">
        <v>69.28537598537811</v>
      </c>
      <c r="AH163">
        <f>43.8942738966346*1</f>
        <v>43.894273896634601</v>
      </c>
      <c r="AI163">
        <f>3.38421744649468*1</f>
        <v>3.3842174464946799</v>
      </c>
      <c r="AJ163">
        <v>1</v>
      </c>
      <c r="AK163">
        <v>0</v>
      </c>
      <c r="AL163">
        <v>0</v>
      </c>
    </row>
    <row r="164" spans="1:38" hidden="1" x14ac:dyDescent="0.2">
      <c r="A164" t="s">
        <v>382</v>
      </c>
      <c r="B164" t="s">
        <v>383</v>
      </c>
      <c r="C164" t="s">
        <v>383</v>
      </c>
      <c r="D164" t="s">
        <v>4</v>
      </c>
      <c r="E164">
        <v>0</v>
      </c>
      <c r="F164">
        <v>1</v>
      </c>
      <c r="G164">
        <v>0</v>
      </c>
      <c r="H164">
        <v>0</v>
      </c>
      <c r="I164" t="s">
        <v>29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1</v>
      </c>
      <c r="AB164">
        <v>0</v>
      </c>
      <c r="AC164">
        <v>0</v>
      </c>
      <c r="AD164">
        <v>4.8</v>
      </c>
      <c r="AE164">
        <v>684</v>
      </c>
      <c r="AF164">
        <v>0</v>
      </c>
      <c r="AG164">
        <v>0</v>
      </c>
      <c r="AH164">
        <f>0*1</f>
        <v>0</v>
      </c>
      <c r="AI164">
        <f>0*1</f>
        <v>0</v>
      </c>
      <c r="AJ164">
        <v>1</v>
      </c>
      <c r="AK164">
        <v>0</v>
      </c>
      <c r="AL164">
        <v>0</v>
      </c>
    </row>
    <row r="165" spans="1:38" hidden="1" x14ac:dyDescent="0.2">
      <c r="A165" t="s">
        <v>384</v>
      </c>
      <c r="B165" t="s">
        <v>385</v>
      </c>
      <c r="C165" t="s">
        <v>385</v>
      </c>
      <c r="D165" t="s">
        <v>4</v>
      </c>
      <c r="E165">
        <v>0</v>
      </c>
      <c r="F165">
        <v>1</v>
      </c>
      <c r="G165">
        <v>0</v>
      </c>
      <c r="H165">
        <v>0</v>
      </c>
      <c r="I165" t="s">
        <v>30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1</v>
      </c>
      <c r="AC165">
        <v>0</v>
      </c>
      <c r="AD165">
        <v>4.4000000000000004</v>
      </c>
      <c r="AE165">
        <v>706</v>
      </c>
      <c r="AF165">
        <v>38.688524590163958</v>
      </c>
      <c r="AG165">
        <v>38.11130959490287</v>
      </c>
      <c r="AH165">
        <f>23.0733392593729*1</f>
        <v>23.073339259372901</v>
      </c>
      <c r="AI165">
        <f>1.83756015197748*1</f>
        <v>1.83756015197748</v>
      </c>
      <c r="AJ165">
        <v>1</v>
      </c>
      <c r="AK165">
        <v>0</v>
      </c>
      <c r="AL165">
        <v>0</v>
      </c>
    </row>
    <row r="166" spans="1:38" hidden="1" x14ac:dyDescent="0.2">
      <c r="A166" t="s">
        <v>386</v>
      </c>
      <c r="B166" t="s">
        <v>387</v>
      </c>
      <c r="C166" t="s">
        <v>388</v>
      </c>
      <c r="D166" t="s">
        <v>5</v>
      </c>
      <c r="E166">
        <v>0</v>
      </c>
      <c r="F166">
        <v>0</v>
      </c>
      <c r="G166">
        <v>1</v>
      </c>
      <c r="H166">
        <v>0</v>
      </c>
      <c r="I166" t="s">
        <v>30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1</v>
      </c>
      <c r="AC166">
        <v>0</v>
      </c>
      <c r="AD166">
        <v>5</v>
      </c>
      <c r="AE166">
        <v>707</v>
      </c>
      <c r="AF166">
        <v>0</v>
      </c>
      <c r="AG166">
        <v>0</v>
      </c>
      <c r="AH166">
        <f>0*1</f>
        <v>0</v>
      </c>
      <c r="AI166">
        <f>0*1</f>
        <v>0</v>
      </c>
      <c r="AJ166">
        <v>1</v>
      </c>
      <c r="AK166">
        <v>0</v>
      </c>
      <c r="AL166">
        <v>0</v>
      </c>
    </row>
    <row r="167" spans="1:38" hidden="1" x14ac:dyDescent="0.2">
      <c r="A167" t="s">
        <v>389</v>
      </c>
      <c r="B167" t="s">
        <v>390</v>
      </c>
      <c r="C167" t="s">
        <v>390</v>
      </c>
      <c r="D167" t="s">
        <v>5</v>
      </c>
      <c r="E167">
        <v>0</v>
      </c>
      <c r="F167">
        <v>0</v>
      </c>
      <c r="G167">
        <v>1</v>
      </c>
      <c r="H167">
        <v>0</v>
      </c>
      <c r="I167" t="s">
        <v>30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1</v>
      </c>
      <c r="AC167">
        <v>0</v>
      </c>
      <c r="AD167">
        <v>7.3</v>
      </c>
      <c r="AE167">
        <v>710</v>
      </c>
      <c r="AF167">
        <v>54.235864771166852</v>
      </c>
      <c r="AG167">
        <v>57.818563055506942</v>
      </c>
      <c r="AH167">
        <f>40.3420820962008*1</f>
        <v>40.342082096200798</v>
      </c>
      <c r="AI167">
        <f>2.9925814225487*1</f>
        <v>2.9925814225487</v>
      </c>
      <c r="AJ167">
        <v>1</v>
      </c>
      <c r="AK167">
        <v>0</v>
      </c>
      <c r="AL167">
        <v>0</v>
      </c>
    </row>
    <row r="168" spans="1:38" hidden="1" x14ac:dyDescent="0.2">
      <c r="A168" t="s">
        <v>391</v>
      </c>
      <c r="B168" t="s">
        <v>392</v>
      </c>
      <c r="C168" t="s">
        <v>391</v>
      </c>
      <c r="D168" t="s">
        <v>4</v>
      </c>
      <c r="E168">
        <v>0</v>
      </c>
      <c r="F168">
        <v>1</v>
      </c>
      <c r="G168">
        <v>0</v>
      </c>
      <c r="H168">
        <v>0</v>
      </c>
      <c r="I168" t="s">
        <v>30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1</v>
      </c>
      <c r="AC168">
        <v>0</v>
      </c>
      <c r="AD168">
        <v>4.4000000000000004</v>
      </c>
      <c r="AE168">
        <v>714</v>
      </c>
      <c r="AF168">
        <v>24.71318085676079</v>
      </c>
      <c r="AG168">
        <v>21.48234432359089</v>
      </c>
      <c r="AH168">
        <f>19.9779202885708*1</f>
        <v>19.9779202885708</v>
      </c>
      <c r="AI168">
        <f>1.50707464923671*1</f>
        <v>1.50707464923671</v>
      </c>
      <c r="AJ168">
        <v>1</v>
      </c>
      <c r="AK168">
        <v>0</v>
      </c>
      <c r="AL168">
        <v>0</v>
      </c>
    </row>
    <row r="169" spans="1:38" hidden="1" x14ac:dyDescent="0.2">
      <c r="A169" t="s">
        <v>393</v>
      </c>
      <c r="B169" t="s">
        <v>394</v>
      </c>
      <c r="C169" t="s">
        <v>394</v>
      </c>
      <c r="D169" t="s">
        <v>4</v>
      </c>
      <c r="E169">
        <v>0</v>
      </c>
      <c r="F169">
        <v>1</v>
      </c>
      <c r="G169">
        <v>0</v>
      </c>
      <c r="H169">
        <v>0</v>
      </c>
      <c r="I169" t="s">
        <v>30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1</v>
      </c>
      <c r="AC169">
        <v>0</v>
      </c>
      <c r="AD169">
        <v>4.3</v>
      </c>
      <c r="AE169">
        <v>718</v>
      </c>
      <c r="AF169">
        <v>33.040000000000013</v>
      </c>
      <c r="AG169">
        <v>34.676793573388743</v>
      </c>
      <c r="AH169">
        <f>17.3154049710089*1</f>
        <v>17.315404971008899</v>
      </c>
      <c r="AI169">
        <f>1.33604435589881*1</f>
        <v>1.33604435589881</v>
      </c>
      <c r="AJ169">
        <v>1</v>
      </c>
      <c r="AK169">
        <v>0</v>
      </c>
      <c r="AL169">
        <v>0</v>
      </c>
    </row>
    <row r="170" spans="1:38" hidden="1" x14ac:dyDescent="0.2">
      <c r="A170" t="s">
        <v>395</v>
      </c>
      <c r="B170" t="s">
        <v>396</v>
      </c>
      <c r="C170" t="s">
        <v>396</v>
      </c>
      <c r="D170" t="s">
        <v>5</v>
      </c>
      <c r="E170">
        <v>0</v>
      </c>
      <c r="F170">
        <v>0</v>
      </c>
      <c r="G170">
        <v>1</v>
      </c>
      <c r="H170">
        <v>0</v>
      </c>
      <c r="I170" t="s">
        <v>30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1</v>
      </c>
      <c r="AC170">
        <v>0</v>
      </c>
      <c r="AD170">
        <v>6.2</v>
      </c>
      <c r="AE170">
        <v>719</v>
      </c>
      <c r="AF170">
        <v>44.66666666666665</v>
      </c>
      <c r="AG170">
        <v>48.16088508071347</v>
      </c>
      <c r="AH170">
        <f>17.2639345392611*1</f>
        <v>17.263934539261101</v>
      </c>
      <c r="AI170">
        <f>1.28983713561302*1</f>
        <v>1.28983713561302</v>
      </c>
      <c r="AJ170">
        <v>1</v>
      </c>
      <c r="AK170">
        <v>0</v>
      </c>
      <c r="AL170">
        <v>0</v>
      </c>
    </row>
    <row r="171" spans="1:38" hidden="1" x14ac:dyDescent="0.2">
      <c r="A171" t="s">
        <v>64</v>
      </c>
      <c r="B171" t="s">
        <v>397</v>
      </c>
      <c r="C171" t="s">
        <v>398</v>
      </c>
      <c r="D171" t="s">
        <v>5</v>
      </c>
      <c r="E171">
        <v>0</v>
      </c>
      <c r="F171">
        <v>0</v>
      </c>
      <c r="G171">
        <v>1</v>
      </c>
      <c r="H171">
        <v>0</v>
      </c>
      <c r="I171" t="s">
        <v>30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1</v>
      </c>
      <c r="AC171">
        <v>0</v>
      </c>
      <c r="AD171">
        <v>5.7</v>
      </c>
      <c r="AE171">
        <v>721</v>
      </c>
      <c r="AF171">
        <v>37.589862578600467</v>
      </c>
      <c r="AG171">
        <v>47.812370134752648</v>
      </c>
      <c r="AH171">
        <f>18.6795568319065*1</f>
        <v>18.679556831906499</v>
      </c>
      <c r="AI171">
        <f>1.66958718535409*1</f>
        <v>1.66958718535409</v>
      </c>
      <c r="AJ171">
        <v>1</v>
      </c>
      <c r="AK171">
        <v>0</v>
      </c>
      <c r="AL171">
        <v>0</v>
      </c>
    </row>
    <row r="172" spans="1:38" hidden="1" x14ac:dyDescent="0.2">
      <c r="A172" t="s">
        <v>399</v>
      </c>
      <c r="B172" t="s">
        <v>400</v>
      </c>
      <c r="C172" t="s">
        <v>400</v>
      </c>
      <c r="D172" t="s">
        <v>4</v>
      </c>
      <c r="E172">
        <v>0</v>
      </c>
      <c r="F172">
        <v>1</v>
      </c>
      <c r="G172">
        <v>0</v>
      </c>
      <c r="H172">
        <v>0</v>
      </c>
      <c r="I172" t="s">
        <v>30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1</v>
      </c>
      <c r="AC172">
        <v>0</v>
      </c>
      <c r="AD172">
        <v>4.3</v>
      </c>
      <c r="AE172">
        <v>722</v>
      </c>
      <c r="AF172">
        <v>0</v>
      </c>
      <c r="AG172">
        <v>0</v>
      </c>
      <c r="AH172">
        <f>0*1</f>
        <v>0</v>
      </c>
      <c r="AI172">
        <f>0*1</f>
        <v>0</v>
      </c>
      <c r="AJ172">
        <v>1</v>
      </c>
      <c r="AK172">
        <v>0</v>
      </c>
      <c r="AL172">
        <v>0</v>
      </c>
    </row>
    <row r="173" spans="1:38" hidden="1" x14ac:dyDescent="0.2">
      <c r="A173" t="s">
        <v>401</v>
      </c>
      <c r="B173" t="s">
        <v>402</v>
      </c>
      <c r="C173" t="s">
        <v>402</v>
      </c>
      <c r="D173" t="s">
        <v>5</v>
      </c>
      <c r="E173">
        <v>0</v>
      </c>
      <c r="F173">
        <v>0</v>
      </c>
      <c r="G173">
        <v>1</v>
      </c>
      <c r="H173">
        <v>0</v>
      </c>
      <c r="I173" t="s">
        <v>30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1</v>
      </c>
      <c r="AC173">
        <v>0</v>
      </c>
      <c r="AD173">
        <v>4.9000000000000004</v>
      </c>
      <c r="AE173">
        <v>724</v>
      </c>
      <c r="AF173">
        <v>39.110766588296727</v>
      </c>
      <c r="AG173">
        <v>40.123293678746883</v>
      </c>
      <c r="AH173">
        <f>31.7297046562061*1</f>
        <v>31.729704656206099</v>
      </c>
      <c r="AI173">
        <f>3.17809011812931*1</f>
        <v>3.17809011812931</v>
      </c>
      <c r="AJ173">
        <v>1</v>
      </c>
      <c r="AK173">
        <v>0</v>
      </c>
      <c r="AL173">
        <v>0</v>
      </c>
    </row>
    <row r="174" spans="1:38" hidden="1" x14ac:dyDescent="0.2">
      <c r="A174" t="s">
        <v>403</v>
      </c>
      <c r="B174" t="s">
        <v>404</v>
      </c>
      <c r="C174" t="s">
        <v>404</v>
      </c>
      <c r="D174" t="s">
        <v>5</v>
      </c>
      <c r="E174">
        <v>0</v>
      </c>
      <c r="F174">
        <v>0</v>
      </c>
      <c r="G174">
        <v>1</v>
      </c>
      <c r="H174">
        <v>0</v>
      </c>
      <c r="I174" t="s">
        <v>30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1</v>
      </c>
      <c r="AC174">
        <v>0</v>
      </c>
      <c r="AD174">
        <v>5.5</v>
      </c>
      <c r="AE174">
        <v>728</v>
      </c>
      <c r="AF174">
        <v>0</v>
      </c>
      <c r="AG174">
        <v>0</v>
      </c>
      <c r="AH174">
        <f>0*1</f>
        <v>0</v>
      </c>
      <c r="AI174">
        <f>0*1</f>
        <v>0</v>
      </c>
      <c r="AJ174">
        <v>1</v>
      </c>
      <c r="AK174">
        <v>0</v>
      </c>
      <c r="AL174">
        <v>0</v>
      </c>
    </row>
    <row r="175" spans="1:38" hidden="1" x14ac:dyDescent="0.2">
      <c r="A175" t="s">
        <v>405</v>
      </c>
      <c r="B175" t="s">
        <v>406</v>
      </c>
      <c r="C175" t="s">
        <v>406</v>
      </c>
      <c r="D175" t="s">
        <v>4</v>
      </c>
      <c r="E175">
        <v>0</v>
      </c>
      <c r="F175">
        <v>1</v>
      </c>
      <c r="G175">
        <v>0</v>
      </c>
      <c r="H175">
        <v>0</v>
      </c>
      <c r="I175" t="s">
        <v>31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1</v>
      </c>
      <c r="AD175">
        <v>4.7</v>
      </c>
      <c r="AE175">
        <v>739</v>
      </c>
      <c r="AF175">
        <v>0</v>
      </c>
      <c r="AG175">
        <v>0</v>
      </c>
      <c r="AH175">
        <f>0*1</f>
        <v>0</v>
      </c>
      <c r="AI175">
        <f>0*1</f>
        <v>0</v>
      </c>
      <c r="AJ175">
        <v>1</v>
      </c>
      <c r="AK175">
        <v>0</v>
      </c>
      <c r="AL175">
        <v>0</v>
      </c>
    </row>
    <row r="176" spans="1:38" hidden="1" x14ac:dyDescent="0.2">
      <c r="A176" t="s">
        <v>407</v>
      </c>
      <c r="B176" t="s">
        <v>408</v>
      </c>
      <c r="C176" t="s">
        <v>408</v>
      </c>
      <c r="D176" t="s">
        <v>5</v>
      </c>
      <c r="E176">
        <v>0</v>
      </c>
      <c r="F176">
        <v>0</v>
      </c>
      <c r="G176">
        <v>1</v>
      </c>
      <c r="H176">
        <v>0</v>
      </c>
      <c r="I176" t="s">
        <v>31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1</v>
      </c>
      <c r="AD176">
        <v>4.9000000000000004</v>
      </c>
      <c r="AE176">
        <v>741</v>
      </c>
      <c r="AF176">
        <v>0</v>
      </c>
      <c r="AG176">
        <v>0</v>
      </c>
      <c r="AH176">
        <f>0*1</f>
        <v>0</v>
      </c>
      <c r="AI176">
        <f>0*1</f>
        <v>0</v>
      </c>
      <c r="AJ176">
        <v>1</v>
      </c>
      <c r="AK176">
        <v>0</v>
      </c>
      <c r="AL176">
        <v>0</v>
      </c>
    </row>
    <row r="177" spans="1:38" x14ac:dyDescent="0.2">
      <c r="A177" t="s">
        <v>209</v>
      </c>
      <c r="B177" t="s">
        <v>210</v>
      </c>
      <c r="C177" t="s">
        <v>210</v>
      </c>
      <c r="D177" t="s">
        <v>4</v>
      </c>
      <c r="E177">
        <v>0</v>
      </c>
      <c r="F177">
        <v>1</v>
      </c>
      <c r="G177">
        <v>0</v>
      </c>
      <c r="H177">
        <v>0</v>
      </c>
      <c r="I177" t="s">
        <v>19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1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4.8</v>
      </c>
      <c r="AE177">
        <v>309</v>
      </c>
      <c r="AF177">
        <v>35.976926841306913</v>
      </c>
      <c r="AG177">
        <v>35.031272042006101</v>
      </c>
      <c r="AH177">
        <f>25.0271790000961*1</f>
        <v>25.027179000096101</v>
      </c>
      <c r="AI177">
        <f>1.84339574504964*1</f>
        <v>1.8433957450496401</v>
      </c>
      <c r="AJ177">
        <v>1</v>
      </c>
      <c r="AK177">
        <v>1</v>
      </c>
      <c r="AL177">
        <v>1</v>
      </c>
    </row>
    <row r="178" spans="1:38" hidden="1" x14ac:dyDescent="0.2">
      <c r="A178" t="s">
        <v>412</v>
      </c>
      <c r="B178" t="s">
        <v>413</v>
      </c>
      <c r="C178" t="s">
        <v>413</v>
      </c>
      <c r="D178" t="s">
        <v>4</v>
      </c>
      <c r="E178">
        <v>0</v>
      </c>
      <c r="F178">
        <v>1</v>
      </c>
      <c r="G178">
        <v>0</v>
      </c>
      <c r="H178">
        <v>0</v>
      </c>
      <c r="I178" t="s">
        <v>31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1</v>
      </c>
      <c r="AD178">
        <v>4.3</v>
      </c>
      <c r="AE178">
        <v>749</v>
      </c>
      <c r="AF178">
        <v>30.272717635898019</v>
      </c>
      <c r="AG178">
        <v>50.82246515700588</v>
      </c>
      <c r="AH178">
        <f>11.627523286803*1</f>
        <v>11.627523286802999</v>
      </c>
      <c r="AI178">
        <f>0.899068888658727*1</f>
        <v>0.89906888865872703</v>
      </c>
      <c r="AJ178">
        <v>1</v>
      </c>
      <c r="AK178">
        <v>0</v>
      </c>
      <c r="AL178">
        <v>0</v>
      </c>
    </row>
    <row r="179" spans="1:38" hidden="1" x14ac:dyDescent="0.2">
      <c r="A179" t="s">
        <v>414</v>
      </c>
      <c r="B179" t="s">
        <v>415</v>
      </c>
      <c r="C179" t="s">
        <v>416</v>
      </c>
      <c r="D179" t="s">
        <v>5</v>
      </c>
      <c r="E179">
        <v>0</v>
      </c>
      <c r="F179">
        <v>0</v>
      </c>
      <c r="G179">
        <v>1</v>
      </c>
      <c r="H179">
        <v>0</v>
      </c>
      <c r="I179" t="s">
        <v>31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1</v>
      </c>
      <c r="AD179">
        <v>5.3</v>
      </c>
      <c r="AE179">
        <v>754</v>
      </c>
      <c r="AF179">
        <v>0</v>
      </c>
      <c r="AG179">
        <v>0</v>
      </c>
      <c r="AH179">
        <f>0*1</f>
        <v>0</v>
      </c>
      <c r="AI179">
        <f>0*1</f>
        <v>0</v>
      </c>
      <c r="AJ179">
        <v>1</v>
      </c>
      <c r="AK179">
        <v>0</v>
      </c>
      <c r="AL179">
        <v>0</v>
      </c>
    </row>
    <row r="180" spans="1:38" hidden="1" x14ac:dyDescent="0.2">
      <c r="A180" t="s">
        <v>417</v>
      </c>
      <c r="B180" t="s">
        <v>418</v>
      </c>
      <c r="C180" t="s">
        <v>419</v>
      </c>
      <c r="D180" t="s">
        <v>5</v>
      </c>
      <c r="E180">
        <v>0</v>
      </c>
      <c r="F180">
        <v>0</v>
      </c>
      <c r="G180">
        <v>1</v>
      </c>
      <c r="H180">
        <v>0</v>
      </c>
      <c r="I180" t="s">
        <v>31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1</v>
      </c>
      <c r="AD180">
        <v>4.9000000000000004</v>
      </c>
      <c r="AE180">
        <v>759</v>
      </c>
      <c r="AF180">
        <v>25.886475970216019</v>
      </c>
      <c r="AG180">
        <v>21.373651697826141</v>
      </c>
      <c r="AH180">
        <f>14.7270126973052*1</f>
        <v>14.7270126973052</v>
      </c>
      <c r="AI180">
        <f>1.24101293779615*1</f>
        <v>1.2410129377961501</v>
      </c>
      <c r="AJ180">
        <v>1</v>
      </c>
      <c r="AK180">
        <v>0</v>
      </c>
      <c r="AL180">
        <v>0</v>
      </c>
    </row>
    <row r="181" spans="1:38" hidden="1" x14ac:dyDescent="0.2">
      <c r="A181" t="s">
        <v>420</v>
      </c>
      <c r="B181" t="s">
        <v>421</v>
      </c>
      <c r="C181" t="s">
        <v>422</v>
      </c>
      <c r="D181" t="s">
        <v>3</v>
      </c>
      <c r="E181">
        <v>1</v>
      </c>
      <c r="F181">
        <v>0</v>
      </c>
      <c r="G181">
        <v>0</v>
      </c>
      <c r="H181">
        <v>0</v>
      </c>
      <c r="I181" t="s">
        <v>31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1</v>
      </c>
      <c r="AD181">
        <v>4.3</v>
      </c>
      <c r="AE181">
        <v>760</v>
      </c>
      <c r="AF181">
        <v>42.909566606311472</v>
      </c>
      <c r="AG181">
        <v>44.610331081885413</v>
      </c>
      <c r="AH181">
        <f>22.7817611326269*1</f>
        <v>22.781761132626901</v>
      </c>
      <c r="AI181">
        <f>1.62441299120614*1</f>
        <v>1.62441299120614</v>
      </c>
      <c r="AJ181">
        <v>1</v>
      </c>
      <c r="AK181">
        <v>0</v>
      </c>
      <c r="AL181">
        <v>0</v>
      </c>
    </row>
    <row r="182" spans="1:38" hidden="1" x14ac:dyDescent="0.2">
      <c r="A182" t="s">
        <v>423</v>
      </c>
      <c r="B182" t="s">
        <v>424</v>
      </c>
      <c r="C182" t="s">
        <v>425</v>
      </c>
      <c r="D182" t="s">
        <v>4</v>
      </c>
      <c r="E182">
        <v>0</v>
      </c>
      <c r="F182">
        <v>1</v>
      </c>
      <c r="G182">
        <v>0</v>
      </c>
      <c r="H182">
        <v>0</v>
      </c>
      <c r="I182" t="s">
        <v>31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1</v>
      </c>
      <c r="AD182">
        <v>4.5</v>
      </c>
      <c r="AE182">
        <v>765</v>
      </c>
      <c r="AF182">
        <v>40.142080445026266</v>
      </c>
      <c r="AG182">
        <v>33.306665610147213</v>
      </c>
      <c r="AH182">
        <f>16.3976625302334*1</f>
        <v>16.397662530233401</v>
      </c>
      <c r="AI182">
        <f>1.2275846404389*1</f>
        <v>1.2275846404388999</v>
      </c>
      <c r="AJ182">
        <v>1</v>
      </c>
      <c r="AK182">
        <v>0</v>
      </c>
      <c r="AL182">
        <v>0</v>
      </c>
    </row>
    <row r="183" spans="1:38" hidden="1" x14ac:dyDescent="0.2">
      <c r="A183" t="s">
        <v>426</v>
      </c>
      <c r="B183" t="s">
        <v>427</v>
      </c>
      <c r="C183" t="s">
        <v>428</v>
      </c>
      <c r="D183" t="s">
        <v>4</v>
      </c>
      <c r="E183">
        <v>0</v>
      </c>
      <c r="F183">
        <v>1</v>
      </c>
      <c r="G183">
        <v>0</v>
      </c>
      <c r="H183">
        <v>0</v>
      </c>
      <c r="I183" t="s">
        <v>31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1</v>
      </c>
      <c r="AD183">
        <v>4.3</v>
      </c>
      <c r="AE183">
        <v>769</v>
      </c>
      <c r="AF183">
        <v>0</v>
      </c>
      <c r="AG183">
        <v>0</v>
      </c>
      <c r="AH183">
        <f>0*1</f>
        <v>0</v>
      </c>
      <c r="AI183">
        <f>0*1</f>
        <v>0</v>
      </c>
      <c r="AJ183">
        <v>1</v>
      </c>
      <c r="AK183">
        <v>0</v>
      </c>
      <c r="AL183">
        <v>0</v>
      </c>
    </row>
    <row r="184" spans="1:38" hidden="1" x14ac:dyDescent="0.2">
      <c r="A184" t="s">
        <v>429</v>
      </c>
      <c r="B184" t="s">
        <v>430</v>
      </c>
      <c r="C184" t="s">
        <v>431</v>
      </c>
      <c r="D184" t="s">
        <v>4</v>
      </c>
      <c r="E184">
        <v>0</v>
      </c>
      <c r="F184">
        <v>1</v>
      </c>
      <c r="G184">
        <v>0</v>
      </c>
      <c r="H184">
        <v>0</v>
      </c>
      <c r="I184" t="s">
        <v>31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1</v>
      </c>
      <c r="AD184">
        <v>4.3</v>
      </c>
      <c r="AE184">
        <v>772</v>
      </c>
      <c r="AF184">
        <v>29.027027027027049</v>
      </c>
      <c r="AG184">
        <v>24.63758690240072</v>
      </c>
      <c r="AH184">
        <f>22.0656486386216*1</f>
        <v>22.0656486386216</v>
      </c>
      <c r="AI184">
        <f>1.82592443139725*1</f>
        <v>1.82592443139725</v>
      </c>
      <c r="AJ184">
        <v>1</v>
      </c>
      <c r="AK184">
        <v>0</v>
      </c>
      <c r="AL184">
        <v>0</v>
      </c>
    </row>
  </sheetData>
  <pageMargins left="0.7" right="0.7" top="0.75" bottom="0.75" header="0.3" footer="0.3"/>
  <pageSetup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Gabe Corridore</cp:lastModifiedBy>
  <dcterms:created xsi:type="dcterms:W3CDTF">2025-02-24T15:19:38Z</dcterms:created>
  <dcterms:modified xsi:type="dcterms:W3CDTF">2025-02-24T15:35:52Z</dcterms:modified>
</cp:coreProperties>
</file>