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71097E95-7ED7-1345-8F10-A7F8013901CB}" xr6:coauthVersionLast="47" xr6:coauthVersionMax="47" xr10:uidLastSave="{00000000-0000-0000-0000-000000000000}"/>
  <bookViews>
    <workbookView xWindow="5880" yWindow="76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0" l="1"/>
  <c r="D12" i="20"/>
  <c r="D11" i="20"/>
  <c r="F11" i="20" s="1"/>
  <c r="D10" i="20"/>
  <c r="F10" i="20" s="1"/>
  <c r="D9" i="20"/>
  <c r="F9" i="20" s="1"/>
  <c r="F8" i="20"/>
  <c r="D8" i="20"/>
  <c r="D7" i="20"/>
  <c r="F7" i="20" s="1"/>
  <c r="D6" i="20"/>
  <c r="F6" i="20" s="1"/>
  <c r="I5" i="20"/>
  <c r="F5" i="20"/>
  <c r="D5" i="20"/>
  <c r="F4" i="20"/>
  <c r="D4" i="20"/>
  <c r="D3" i="20"/>
  <c r="F3" i="20" s="1"/>
  <c r="D2" i="20"/>
  <c r="F2" i="20" s="1"/>
  <c r="D7" i="19"/>
  <c r="F7" i="19" s="1"/>
  <c r="F6" i="19"/>
  <c r="D6" i="19"/>
  <c r="D5" i="19"/>
  <c r="F5" i="19" s="1"/>
  <c r="D4" i="19"/>
  <c r="F4" i="19" s="1"/>
  <c r="D3" i="19"/>
  <c r="F3" i="19" s="1"/>
  <c r="F2" i="19"/>
  <c r="I7" i="19" s="1"/>
  <c r="D2" i="19"/>
  <c r="D10" i="18"/>
  <c r="F10" i="18" s="1"/>
  <c r="D9" i="18"/>
  <c r="F9" i="18" s="1"/>
  <c r="D8" i="18"/>
  <c r="F8" i="18" s="1"/>
  <c r="D7" i="18"/>
  <c r="F7" i="18" s="1"/>
  <c r="F6" i="18"/>
  <c r="D6" i="18"/>
  <c r="D5" i="18"/>
  <c r="F5" i="18" s="1"/>
  <c r="D4" i="18"/>
  <c r="F4" i="18" s="1"/>
  <c r="D3" i="18"/>
  <c r="F3" i="18" s="1"/>
  <c r="F2" i="18"/>
  <c r="I7" i="18" s="1"/>
  <c r="D2" i="18"/>
  <c r="F6" i="17"/>
  <c r="D6" i="17"/>
  <c r="I5" i="17"/>
  <c r="F5" i="17"/>
  <c r="D5" i="17"/>
  <c r="D4" i="17"/>
  <c r="F4" i="17" s="1"/>
  <c r="F3" i="17"/>
  <c r="D3" i="17"/>
  <c r="D2" i="17"/>
  <c r="F2" i="17" s="1"/>
  <c r="I7" i="17" s="1"/>
  <c r="I5" i="16"/>
  <c r="F4" i="16"/>
  <c r="D4" i="16"/>
  <c r="D3" i="16"/>
  <c r="F3" i="16" s="1"/>
  <c r="F2" i="16"/>
  <c r="I7" i="16" s="1"/>
  <c r="D2" i="16"/>
  <c r="D10" i="15"/>
  <c r="F10" i="15" s="1"/>
  <c r="D9" i="15"/>
  <c r="F9" i="15" s="1"/>
  <c r="F8" i="15"/>
  <c r="D8" i="15"/>
  <c r="D7" i="15"/>
  <c r="F7" i="15" s="1"/>
  <c r="F6" i="15"/>
  <c r="D6" i="15"/>
  <c r="D5" i="15"/>
  <c r="F5" i="15" s="1"/>
  <c r="F4" i="15"/>
  <c r="D4" i="15"/>
  <c r="D3" i="15"/>
  <c r="F3" i="15" s="1"/>
  <c r="F2" i="15"/>
  <c r="D2" i="15"/>
  <c r="D8" i="14"/>
  <c r="F8" i="14" s="1"/>
  <c r="D7" i="14"/>
  <c r="F7" i="14" s="1"/>
  <c r="F6" i="14"/>
  <c r="D6" i="14"/>
  <c r="F5" i="14"/>
  <c r="D5" i="14"/>
  <c r="I5" i="14" s="1"/>
  <c r="D4" i="14"/>
  <c r="F4" i="14" s="1"/>
  <c r="D3" i="14"/>
  <c r="F3" i="14" s="1"/>
  <c r="F2" i="14"/>
  <c r="D2" i="14"/>
  <c r="D11" i="13"/>
  <c r="F11" i="13" s="1"/>
  <c r="F10" i="13"/>
  <c r="D10" i="13"/>
  <c r="D9" i="13"/>
  <c r="F9" i="13" s="1"/>
  <c r="D8" i="13"/>
  <c r="F8" i="13" s="1"/>
  <c r="F7" i="13"/>
  <c r="D7" i="13"/>
  <c r="D6" i="13"/>
  <c r="F6" i="13" s="1"/>
  <c r="D5" i="13"/>
  <c r="I5" i="13" s="1"/>
  <c r="D4" i="13"/>
  <c r="F4" i="13" s="1"/>
  <c r="F3" i="13"/>
  <c r="D3" i="13"/>
  <c r="D2" i="13"/>
  <c r="F2" i="13" s="1"/>
  <c r="F7" i="12"/>
  <c r="D7" i="12"/>
  <c r="F6" i="12"/>
  <c r="D6" i="12"/>
  <c r="I5" i="12"/>
  <c r="F5" i="12"/>
  <c r="D5" i="12"/>
  <c r="D4" i="12"/>
  <c r="F4" i="12" s="1"/>
  <c r="D3" i="12"/>
  <c r="F3" i="12" s="1"/>
  <c r="D2" i="12"/>
  <c r="F2" i="12" s="1"/>
  <c r="D15" i="11"/>
  <c r="F15" i="11" s="1"/>
  <c r="F14" i="11"/>
  <c r="D14" i="11"/>
  <c r="D13" i="11"/>
  <c r="F13" i="11" s="1"/>
  <c r="D12" i="11"/>
  <c r="F12" i="11" s="1"/>
  <c r="D11" i="11"/>
  <c r="F11" i="11" s="1"/>
  <c r="D10" i="11"/>
  <c r="F10" i="11" s="1"/>
  <c r="F9" i="11"/>
  <c r="D9" i="11"/>
  <c r="D8" i="11"/>
  <c r="F8" i="11" s="1"/>
  <c r="D7" i="11"/>
  <c r="F7" i="11" s="1"/>
  <c r="F6" i="11"/>
  <c r="D6" i="11"/>
  <c r="I5" i="11"/>
  <c r="F5" i="11"/>
  <c r="D5" i="11"/>
  <c r="D4" i="11"/>
  <c r="F4" i="11" s="1"/>
  <c r="D3" i="11"/>
  <c r="F3" i="11" s="1"/>
  <c r="D2" i="11"/>
  <c r="F2" i="11" s="1"/>
  <c r="I7" i="11" s="1"/>
  <c r="D12" i="10"/>
  <c r="F12" i="10" s="1"/>
  <c r="F11" i="10"/>
  <c r="D11" i="10"/>
  <c r="D10" i="10"/>
  <c r="F10" i="10" s="1"/>
  <c r="D9" i="10"/>
  <c r="F9" i="10" s="1"/>
  <c r="D8" i="10"/>
  <c r="F8" i="10" s="1"/>
  <c r="D7" i="10"/>
  <c r="F7" i="10" s="1"/>
  <c r="F6" i="10"/>
  <c r="D6" i="10"/>
  <c r="D5" i="10"/>
  <c r="I5" i="10" s="1"/>
  <c r="D4" i="10"/>
  <c r="F4" i="10" s="1"/>
  <c r="D3" i="10"/>
  <c r="F3" i="10" s="1"/>
  <c r="F2" i="10"/>
  <c r="D2" i="10"/>
  <c r="D11" i="9"/>
  <c r="F11" i="9" s="1"/>
  <c r="D10" i="9"/>
  <c r="F10" i="9" s="1"/>
  <c r="D9" i="9"/>
  <c r="F9" i="9" s="1"/>
  <c r="D8" i="9"/>
  <c r="F8" i="9" s="1"/>
  <c r="F7" i="9"/>
  <c r="D7" i="9"/>
  <c r="D6" i="9"/>
  <c r="F6" i="9" s="1"/>
  <c r="D5" i="9"/>
  <c r="I5" i="9" s="1"/>
  <c r="D4" i="9"/>
  <c r="F4" i="9" s="1"/>
  <c r="F3" i="9"/>
  <c r="D3" i="9"/>
  <c r="D2" i="9"/>
  <c r="F2" i="9" s="1"/>
  <c r="F8" i="8"/>
  <c r="D8" i="8"/>
  <c r="F7" i="8"/>
  <c r="D7" i="8"/>
  <c r="D6" i="8"/>
  <c r="F6" i="8" s="1"/>
  <c r="I5" i="8"/>
  <c r="D5" i="8"/>
  <c r="F5" i="8" s="1"/>
  <c r="D4" i="8"/>
  <c r="F4" i="8" s="1"/>
  <c r="D3" i="8"/>
  <c r="F3" i="8" s="1"/>
  <c r="F2" i="8"/>
  <c r="D2" i="8"/>
  <c r="F9" i="7"/>
  <c r="D9" i="7"/>
  <c r="D8" i="7"/>
  <c r="F8" i="7" s="1"/>
  <c r="D7" i="7"/>
  <c r="F7" i="7" s="1"/>
  <c r="F6" i="7"/>
  <c r="D6" i="7"/>
  <c r="I5" i="7"/>
  <c r="F5" i="7"/>
  <c r="D5" i="7"/>
  <c r="D4" i="7"/>
  <c r="F4" i="7" s="1"/>
  <c r="D3" i="7"/>
  <c r="F3" i="7" s="1"/>
  <c r="D2" i="7"/>
  <c r="F2" i="7" s="1"/>
  <c r="I5" i="6"/>
  <c r="F4" i="6"/>
  <c r="D4" i="6"/>
  <c r="D3" i="6"/>
  <c r="F3" i="6" s="1"/>
  <c r="D2" i="6"/>
  <c r="F2" i="6" s="1"/>
  <c r="I7" i="6" s="1"/>
  <c r="F7" i="5"/>
  <c r="D7" i="5"/>
  <c r="D6" i="5"/>
  <c r="F6" i="5" s="1"/>
  <c r="I5" i="5"/>
  <c r="D5" i="5"/>
  <c r="F5" i="5" s="1"/>
  <c r="D4" i="5"/>
  <c r="F4" i="5" s="1"/>
  <c r="D3" i="5"/>
  <c r="F3" i="5" s="1"/>
  <c r="F2" i="5"/>
  <c r="D2" i="5"/>
  <c r="F8" i="4"/>
  <c r="D8" i="4"/>
  <c r="D7" i="4"/>
  <c r="F7" i="4" s="1"/>
  <c r="D6" i="4"/>
  <c r="F6" i="4" s="1"/>
  <c r="I5" i="4"/>
  <c r="F5" i="4"/>
  <c r="D5" i="4"/>
  <c r="F4" i="4"/>
  <c r="D4" i="4"/>
  <c r="D3" i="4"/>
  <c r="F3" i="4" s="1"/>
  <c r="D2" i="4"/>
  <c r="F2" i="4" s="1"/>
  <c r="I7" i="4" s="1"/>
  <c r="D7" i="3"/>
  <c r="F7" i="3" s="1"/>
  <c r="D6" i="3"/>
  <c r="F6" i="3" s="1"/>
  <c r="I5" i="3"/>
  <c r="D5" i="3"/>
  <c r="F5" i="3" s="1"/>
  <c r="D4" i="3"/>
  <c r="F4" i="3" s="1"/>
  <c r="D3" i="3"/>
  <c r="F3" i="3" s="1"/>
  <c r="D2" i="3"/>
  <c r="F2" i="3" s="1"/>
  <c r="I7" i="3" s="1"/>
  <c r="F10" i="2"/>
  <c r="D10" i="2"/>
  <c r="D9" i="2"/>
  <c r="F9" i="2" s="1"/>
  <c r="D8" i="2"/>
  <c r="F8" i="2" s="1"/>
  <c r="D7" i="2"/>
  <c r="F7" i="2" s="1"/>
  <c r="D6" i="2"/>
  <c r="F6" i="2" s="1"/>
  <c r="I5" i="2"/>
  <c r="D5" i="2"/>
  <c r="F5" i="2" s="1"/>
  <c r="D4" i="2"/>
  <c r="F4" i="2" s="1"/>
  <c r="D3" i="2"/>
  <c r="F3" i="2" s="1"/>
  <c r="D2" i="2"/>
  <c r="F2" i="2" s="1"/>
  <c r="F13" i="1"/>
  <c r="D13" i="1"/>
  <c r="D12" i="1"/>
  <c r="F12" i="1" s="1"/>
  <c r="D11" i="1"/>
  <c r="F11" i="1" s="1"/>
  <c r="D10" i="1"/>
  <c r="F10" i="1" s="1"/>
  <c r="D9" i="1"/>
  <c r="F9" i="1" s="1"/>
  <c r="F8" i="1"/>
  <c r="D8" i="1"/>
  <c r="D7" i="1"/>
  <c r="F7" i="1" s="1"/>
  <c r="D6" i="1"/>
  <c r="F6" i="1" s="1"/>
  <c r="D5" i="1"/>
  <c r="F5" i="1" s="1"/>
  <c r="F4" i="1"/>
  <c r="D4" i="1"/>
  <c r="D3" i="1"/>
  <c r="F3" i="1" s="1"/>
  <c r="D2" i="1"/>
  <c r="F2" i="1" s="1"/>
  <c r="I7" i="8" l="1"/>
  <c r="I7" i="2"/>
  <c r="I7" i="5"/>
  <c r="I7" i="12"/>
  <c r="I7" i="20"/>
  <c r="I7" i="7"/>
  <c r="I7" i="14"/>
  <c r="I7" i="15"/>
  <c r="I7" i="1"/>
  <c r="I5" i="1"/>
  <c r="I5" i="15"/>
  <c r="I5" i="18"/>
  <c r="I5" i="19"/>
  <c r="F5" i="9"/>
  <c r="I7" i="9" s="1"/>
  <c r="F5" i="13"/>
  <c r="I7" i="13" s="1"/>
  <c r="F5" i="10"/>
  <c r="I7" i="10" s="1"/>
</calcChain>
</file>

<file path=xl/sharedStrings.xml><?xml version="1.0" encoding="utf-8"?>
<sst xmlns="http://schemas.openxmlformats.org/spreadsheetml/2006/main" count="359" uniqueCount="167">
  <si>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</si>
  <si>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</si>
  <si>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</si>
  <si>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</si>
  <si>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</si>
  <si>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</si>
  <si>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</si>
  <si>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</si>
  <si>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</si>
  <si>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</si>
  <si>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</si>
  <si>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</si>
  <si>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</si>
  <si>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</si>
  <si>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</si>
  <si>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</si>
  <si>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</si>
  <si>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</si>
  <si>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</si>
  <si>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</si>
  <si>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</si>
  <si>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</si>
  <si>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</si>
  <si>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</si>
  <si>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</si>
  <si>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</si>
  <si>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</si>
  <si>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</si>
  <si>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</si>
  <si>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</si>
  <si>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</si>
  <si>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Smith</t>
  </si>
  <si>
    <t>Solanke</t>
  </si>
  <si>
    <t>Tavernier</t>
  </si>
  <si>
    <t>Senesi</t>
  </si>
  <si>
    <t>Neto</t>
  </si>
  <si>
    <t>Semenyo</t>
  </si>
  <si>
    <t>Maupay</t>
  </si>
  <si>
    <t>Nørgaard</t>
  </si>
  <si>
    <t>Janelt</t>
  </si>
  <si>
    <t>Wissa</t>
  </si>
  <si>
    <t>Jensen</t>
  </si>
  <si>
    <t>Lewis-Potter</t>
  </si>
  <si>
    <t>Flekken</t>
  </si>
  <si>
    <t>Dunk</t>
  </si>
  <si>
    <t>Gross</t>
  </si>
  <si>
    <t>Welbeck</t>
  </si>
  <si>
    <t>João Pedro</t>
  </si>
  <si>
    <t>Mitoma</t>
  </si>
  <si>
    <t>Buonanotte</t>
  </si>
  <si>
    <t>Berge</t>
  </si>
  <si>
    <t>Trafford</t>
  </si>
  <si>
    <t>Amdouni</t>
  </si>
  <si>
    <t>Sterling</t>
  </si>
  <si>
    <t>Gallagher</t>
  </si>
  <si>
    <t>Palmer</t>
  </si>
  <si>
    <t>T.Silva</t>
  </si>
  <si>
    <t>Colwill</t>
  </si>
  <si>
    <t>Mudryk</t>
  </si>
  <si>
    <t>Enzo</t>
  </si>
  <si>
    <t>N.Jackson</t>
  </si>
  <si>
    <t>Ward</t>
  </si>
  <si>
    <t>J.Ayew</t>
  </si>
  <si>
    <t>Eze</t>
  </si>
  <si>
    <t>Johnstone</t>
  </si>
  <si>
    <t>Mateta</t>
  </si>
  <si>
    <t>Edouard</t>
  </si>
  <si>
    <t>Lerma</t>
  </si>
  <si>
    <t>A.Doucoure</t>
  </si>
  <si>
    <t>Tarkowski</t>
  </si>
  <si>
    <t>Pickford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</si>
  <si>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</si>
  <si>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</si>
  <si>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</si>
  <si>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</si>
  <si>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</si>
  <si>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</si>
  <si>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</si>
  <si>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</si>
  <si>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Cairney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</si>
  <si>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</si>
  <si>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</si>
  <si>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</si>
  <si>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</si>
  <si>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</si>
  <si>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</si>
  <si>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</si>
  <si>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</si>
  <si>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</si>
  <si>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A.Becker</t>
  </si>
  <si>
    <t>Salah</t>
  </si>
  <si>
    <t>Alexander-Arnold</t>
  </si>
  <si>
    <t>Virgil</t>
  </si>
  <si>
    <t>Elliott</t>
  </si>
  <si>
    <t>Jones</t>
  </si>
  <si>
    <t>Mac Allister</t>
  </si>
  <si>
    <t>Konaté</t>
  </si>
  <si>
    <t>Luis Díaz</t>
  </si>
  <si>
    <t>Darwin</t>
  </si>
  <si>
    <t>Diogo J.</t>
  </si>
  <si>
    <t>Gakpo</t>
  </si>
  <si>
    <t>Szoboszlai</t>
  </si>
  <si>
    <t>Gomez</t>
  </si>
  <si>
    <t>Barkley</t>
  </si>
  <si>
    <t>Kaminski</t>
  </si>
  <si>
    <t>Adebayo</t>
  </si>
  <si>
    <t>Ogbene</t>
  </si>
  <si>
    <t>Doughty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</si>
  <si>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</si>
  <si>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</si>
  <si>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</si>
  <si>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</si>
  <si>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</si>
  <si>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</si>
  <si>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</si>
  <si>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</si>
  <si>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</si>
  <si>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</si>
  <si>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</si>
  <si>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Rashford</t>
  </si>
  <si>
    <t>McTominay</t>
  </si>
  <si>
    <t>Lindelof</t>
  </si>
  <si>
    <t>B.Fernandes</t>
  </si>
  <si>
    <t>Dalot</t>
  </si>
  <si>
    <t>Garnacho</t>
  </si>
  <si>
    <t>Trippier</t>
  </si>
  <si>
    <t>Schär</t>
  </si>
  <si>
    <t>Longstaff</t>
  </si>
  <si>
    <t>Burn</t>
  </si>
  <si>
    <t>Gordon</t>
  </si>
  <si>
    <t>Bruno G.</t>
  </si>
  <si>
    <t>Almirón</t>
  </si>
  <si>
    <t>Isak</t>
  </si>
  <si>
    <t>Wood</t>
  </si>
  <si>
    <t>Gibbs-White</t>
  </si>
  <si>
    <t>Elanga</t>
  </si>
  <si>
    <t>Archer</t>
  </si>
  <si>
    <t>McAtee</t>
  </si>
  <si>
    <t>Vini Souza</t>
  </si>
  <si>
    <t>Foderingham</t>
  </si>
  <si>
    <t>Hamer</t>
  </si>
  <si>
    <t>Richarlison</t>
  </si>
  <si>
    <t>Romero</t>
  </si>
  <si>
    <t>Kulusevski</t>
  </si>
  <si>
    <t>Johnson</t>
  </si>
  <si>
    <t>Son</t>
  </si>
  <si>
    <t>Sarr</t>
  </si>
  <si>
    <t>Pedro Porro</t>
  </si>
  <si>
    <t>Udogie</t>
  </si>
  <si>
    <t>Vicario</t>
  </si>
  <si>
    <t>Ward-Prowse</t>
  </si>
  <si>
    <t>Emerson</t>
  </si>
  <si>
    <t>Bowen</t>
  </si>
  <si>
    <t>Areola</t>
  </si>
  <si>
    <t>L.Paquetá</t>
  </si>
  <si>
    <t>Coufal</t>
  </si>
  <si>
    <t>Mario Jr.</t>
  </si>
  <si>
    <t>Kilman</t>
  </si>
  <si>
    <t>Dawson</t>
  </si>
  <si>
    <t>N.Semedo</t>
  </si>
  <si>
    <t>José Sá</t>
  </si>
  <si>
    <t>Toti</t>
  </si>
  <si>
    <t>Hee Chan</t>
  </si>
  <si>
    <t>Aït-Nouri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</si>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</sst>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5" totalsRowShown="0">
  <autoFilter ref="A1:F15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7" totalsRowShown="0">
  <autoFilter ref="A1:F7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1" totalsRowShown="0">
  <autoFilter ref="A1:F11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8" totalsRowShown="0">
  <autoFilter ref="A1:F8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10" totalsRowShown="0">
  <autoFilter ref="A1:F10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4" totalsRowShown="0">
  <autoFilter ref="A1:F4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6" totalsRowShown="0">
  <autoFilter ref="A1:F6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0" totalsRowShown="0">
  <autoFilter ref="A1:F10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7" totalsRowShown="0">
  <autoFilter ref="A1:F7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0" totalsRowShown="0">
  <autoFilter ref="A1:F10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2" totalsRowShown="0">
  <autoFilter ref="A1:F12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7" totalsRowShown="0">
  <autoFilter ref="A1:F7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8" totalsRowShown="0">
  <autoFilter ref="A1:F8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7" totalsRowShown="0">
  <autoFilter ref="A1:F7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4" totalsRowShown="0">
  <autoFilter ref="A1:F4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9" totalsRowShown="0">
  <autoFilter ref="A1:F9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8" totalsRowShown="0">
  <autoFilter ref="A1:F8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1" totalsRowShown="0">
  <autoFilter ref="A1:F11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28.850727763549909</v>
      </c>
      <c r="C2">
        <v>28.079470198675491</v>
      </c>
      <c r="D2">
        <f>TableARS[[#This Row],[ARIMAPP]]*$I$2+TableARS[[#This Row],[LSTMPP]]*$I$3</f>
        <v>33.080509371560574</v>
      </c>
      <c r="E2">
        <v>43</v>
      </c>
      <c r="F2">
        <f>ABS(TableARS[[#This Row],[PP]]-TableARS[[#This Row],[AP]])</f>
        <v>9.9194906284394264</v>
      </c>
      <c r="H2" t="s">
        <v>0</v>
      </c>
      <c r="I2">
        <v>1.0077061913000001</v>
      </c>
    </row>
    <row r="3" spans="1:9" x14ac:dyDescent="0.2">
      <c r="A3" t="s">
        <v>11</v>
      </c>
      <c r="B3">
        <v>40.408163265306143</v>
      </c>
      <c r="C3">
        <v>40.920739476016642</v>
      </c>
      <c r="D3">
        <f>TableARS[[#This Row],[ARIMAPP]]*$I$2+TableARS[[#This Row],[LSTMPP]]*$I$3</f>
        <v>46.55969194772134</v>
      </c>
      <c r="E3">
        <v>45</v>
      </c>
      <c r="F3">
        <f>ABS(TableARS[[#This Row],[PP]]-TableARS[[#This Row],[AP]])</f>
        <v>1.5596919477213405</v>
      </c>
      <c r="H3" t="s">
        <v>1</v>
      </c>
      <c r="I3">
        <v>0.14271823337</v>
      </c>
    </row>
    <row r="4" spans="1:9" x14ac:dyDescent="0.2">
      <c r="A4" t="s">
        <v>12</v>
      </c>
      <c r="B4">
        <v>33.434343434343432</v>
      </c>
      <c r="C4">
        <v>31.139240506329109</v>
      </c>
      <c r="D4">
        <f>TableARS[[#This Row],[ARIMAPP]]*$I$2+TableARS[[#This Row],[LSTMPP]]*$I$3</f>
        <v>38.136132274385218</v>
      </c>
      <c r="E4">
        <v>41</v>
      </c>
      <c r="F4">
        <f>ABS(TableARS[[#This Row],[PP]]-TableARS[[#This Row],[AP]])</f>
        <v>2.8638677256147815</v>
      </c>
    </row>
    <row r="5" spans="1:9" x14ac:dyDescent="0.2">
      <c r="A5" t="s">
        <v>13</v>
      </c>
      <c r="B5">
        <v>55.386410872249293</v>
      </c>
      <c r="C5">
        <v>35</v>
      </c>
      <c r="D5">
        <f>TableARS[[#This Row],[ARIMAPP]]*$I$2+TableARS[[#This Row],[LSTMPP]]*$I$3</f>
        <v>60.808367317801249</v>
      </c>
      <c r="E5">
        <v>75</v>
      </c>
      <c r="F5">
        <f>ABS(TableARS[[#This Row],[PP]]-TableARS[[#This Row],[AP]])</f>
        <v>14.191632682198751</v>
      </c>
      <c r="H5" t="s">
        <v>2</v>
      </c>
      <c r="I5">
        <f>SUM(ABS(TableARS[[#This Row],[PP]]-TableARS[[#This Row],[AP]]))</f>
        <v>14.191632682198751</v>
      </c>
    </row>
    <row r="6" spans="1:9" x14ac:dyDescent="0.2">
      <c r="A6" t="s">
        <v>14</v>
      </c>
      <c r="B6">
        <v>38.296941738252059</v>
      </c>
      <c r="C6">
        <v>38.892349345896847</v>
      </c>
      <c r="D6">
        <f>TableARS[[#This Row],[ARIMAPP]]*$I$2+TableARS[[#This Row],[LSTMPP]]*$I$3</f>
        <v>44.142712687747256</v>
      </c>
      <c r="E6">
        <v>42</v>
      </c>
      <c r="F6">
        <f>ABS(TableARS[[#This Row],[PP]]-TableARS[[#This Row],[AP]])</f>
        <v>2.142712687747256</v>
      </c>
    </row>
    <row r="7" spans="1:9" x14ac:dyDescent="0.2">
      <c r="A7" t="s">
        <v>15</v>
      </c>
      <c r="B7">
        <v>31.881188118811899</v>
      </c>
      <c r="C7">
        <v>34.404458939902227</v>
      </c>
      <c r="D7">
        <f>TableARS[[#This Row],[ARIMAPP]]*$I$2+TableARS[[#This Row],[LSTMPP]]*$I$3</f>
        <v>37.037014253280304</v>
      </c>
      <c r="E7">
        <v>50</v>
      </c>
      <c r="F7">
        <f>ABS(TableARS[[#This Row],[PP]]-TableARS[[#This Row],[AP]])</f>
        <v>12.962985746719696</v>
      </c>
      <c r="H7" t="s">
        <v>3</v>
      </c>
      <c r="I7">
        <f>AVERAGE(TableARS[DIFF])/10</f>
        <v>0.86341641751736575</v>
      </c>
    </row>
    <row r="8" spans="1:9" x14ac:dyDescent="0.2">
      <c r="A8" t="s">
        <v>16</v>
      </c>
      <c r="B8">
        <v>53.261128845338213</v>
      </c>
      <c r="C8">
        <v>44.012346570239558</v>
      </c>
      <c r="D8">
        <f>TableARS[[#This Row],[ARIMAPP]]*$I$2+TableARS[[#This Row],[LSTMPP]]*$I$3</f>
        <v>59.952933642047114</v>
      </c>
      <c r="E8">
        <v>48</v>
      </c>
      <c r="F8">
        <f>ABS(TableARS[[#This Row],[PP]]-TableARS[[#This Row],[AP]])</f>
        <v>11.952933642047114</v>
      </c>
    </row>
    <row r="9" spans="1:9" x14ac:dyDescent="0.2">
      <c r="A9" t="s">
        <v>17</v>
      </c>
      <c r="B9">
        <v>41.126760563380309</v>
      </c>
      <c r="C9">
        <v>34.82455484676521</v>
      </c>
      <c r="D9">
        <f>TableARS[[#This Row],[ARIMAPP]]*$I$2+TableARS[[#This Row],[LSTMPP]]*$I$3</f>
        <v>46.413790193458013</v>
      </c>
      <c r="E9">
        <v>41</v>
      </c>
      <c r="F9">
        <f>ABS(TableARS[[#This Row],[PP]]-TableARS[[#This Row],[AP]])</f>
        <v>5.4137901934580128</v>
      </c>
    </row>
    <row r="10" spans="1:9" x14ac:dyDescent="0.2">
      <c r="A10" t="s">
        <v>18</v>
      </c>
      <c r="B10">
        <v>43.952848500018597</v>
      </c>
      <c r="C10">
        <v>35</v>
      </c>
      <c r="D10">
        <f>TableARS[[#This Row],[ARIMAPP]]*$I$2+TableARS[[#This Row],[LSTMPP]]*$I$3</f>
        <v>49.286695726689665</v>
      </c>
      <c r="E10">
        <v>39</v>
      </c>
      <c r="F10">
        <f>ABS(TableARS[[#This Row],[PP]]-TableARS[[#This Row],[AP]])</f>
        <v>10.286695726689665</v>
      </c>
    </row>
    <row r="11" spans="1:9" x14ac:dyDescent="0.2">
      <c r="A11" t="s">
        <v>19</v>
      </c>
      <c r="B11">
        <v>40.784313725490193</v>
      </c>
      <c r="C11">
        <v>33.25</v>
      </c>
      <c r="D11">
        <f>TableARS[[#This Row],[ARIMAPP]]*$I$2+TableARS[[#This Row],[LSTMPP]]*$I$3</f>
        <v>45.84398670865054</v>
      </c>
      <c r="E11">
        <v>34</v>
      </c>
      <c r="F11">
        <f>ABS(TableARS[[#This Row],[PP]]-TableARS[[#This Row],[AP]])</f>
        <v>11.84398670865054</v>
      </c>
    </row>
    <row r="12" spans="1:9" x14ac:dyDescent="0.2">
      <c r="A12" t="s">
        <v>20</v>
      </c>
      <c r="B12">
        <v>47.916666666666693</v>
      </c>
      <c r="C12">
        <v>49.288244104895902</v>
      </c>
      <c r="D12">
        <f>TableARS[[#This Row],[ARIMAPP]]*$I$2+TableARS[[#This Row],[LSTMPP]]*$I$3</f>
        <v>55.320252791018426</v>
      </c>
      <c r="E12">
        <v>51</v>
      </c>
      <c r="F12">
        <f>ABS(TableARS[[#This Row],[PP]]-TableARS[[#This Row],[AP]])</f>
        <v>4.3202527910184259</v>
      </c>
    </row>
    <row r="13" spans="1:9" x14ac:dyDescent="0.2">
      <c r="A13" t="s">
        <v>21</v>
      </c>
      <c r="B13">
        <v>35.000000000000007</v>
      </c>
      <c r="C13">
        <v>32.079668971599482</v>
      </c>
      <c r="D13">
        <f>TableARS[[#This Row],[ARIMAPP]]*$I$2+TableARS[[#This Row],[LSTMPP]]*$I$3</f>
        <v>39.848070378221095</v>
      </c>
      <c r="E13">
        <v>56</v>
      </c>
      <c r="F13">
        <f>ABS(TableARS[[#This Row],[PP]]-TableARS[[#This Row],[AP]])</f>
        <v>16.151929621778905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78</v>
      </c>
      <c r="B2">
        <v>14.183270176153069</v>
      </c>
      <c r="C2">
        <v>41.505774352318547</v>
      </c>
      <c r="D2">
        <f>TableFUL[[#This Row],[ARIMAPP]]*$I$2+TableFUL[[#This Row],[LSTMPP]]*$I$3</f>
        <v>40.681252483095584</v>
      </c>
      <c r="E2">
        <v>42</v>
      </c>
      <c r="F2">
        <f>ABS(TableFUL[[#This Row],[PP]]-TableFUL[[#This Row],[AP]])</f>
        <v>1.3187475169044163</v>
      </c>
      <c r="H2" t="s">
        <v>0</v>
      </c>
      <c r="I2">
        <v>0</v>
      </c>
    </row>
    <row r="3" spans="1:9" x14ac:dyDescent="0.2">
      <c r="A3" t="s">
        <v>79</v>
      </c>
      <c r="B3">
        <v>22.730073230015861</v>
      </c>
      <c r="C3">
        <v>24.70588235294117</v>
      </c>
      <c r="D3">
        <f>TableFUL[[#This Row],[ARIMAPP]]*$I$2+TableFUL[[#This Row],[LSTMPP]]*$I$3</f>
        <v>24.2150942489647</v>
      </c>
      <c r="E3">
        <v>22</v>
      </c>
      <c r="F3">
        <f>ABS(TableFUL[[#This Row],[PP]]-TableFUL[[#This Row],[AP]])</f>
        <v>2.2150942489647001</v>
      </c>
      <c r="H3" t="s">
        <v>1</v>
      </c>
      <c r="I3">
        <v>0.98013476722000004</v>
      </c>
    </row>
    <row r="4" spans="1:9" x14ac:dyDescent="0.2">
      <c r="A4" t="s">
        <v>80</v>
      </c>
      <c r="B4">
        <v>26.312499999999979</v>
      </c>
      <c r="C4">
        <v>27.8125</v>
      </c>
      <c r="D4">
        <f>TableFUL[[#This Row],[ARIMAPP]]*$I$2+TableFUL[[#This Row],[LSTMPP]]*$I$3</f>
        <v>27.25999821330625</v>
      </c>
      <c r="E4">
        <v>50</v>
      </c>
      <c r="F4">
        <f>ABS(TableFUL[[#This Row],[PP]]-TableFUL[[#This Row],[AP]])</f>
        <v>22.74000178669375</v>
      </c>
    </row>
    <row r="5" spans="1:9" x14ac:dyDescent="0.2">
      <c r="A5" t="s">
        <v>81</v>
      </c>
      <c r="B5">
        <v>36.30100200820079</v>
      </c>
      <c r="C5">
        <v>32.966101694915253</v>
      </c>
      <c r="D5">
        <f>TableFUL[[#This Row],[ARIMAPP]]*$I$2+TableFUL[[#This Row],[LSTMPP]]*$I$3</f>
        <v>32.311222410896612</v>
      </c>
      <c r="E5">
        <v>23</v>
      </c>
      <c r="F5">
        <f>ABS(TableFUL[[#This Row],[PP]]-TableFUL[[#This Row],[AP]])</f>
        <v>9.3112224108966117</v>
      </c>
      <c r="H5" t="s">
        <v>2</v>
      </c>
      <c r="I5">
        <f>SUM(ABS(TableFUL[[#This Row],[PP]]-TableFUL[[#This Row],[AP]]))</f>
        <v>9.3112224108966117</v>
      </c>
    </row>
    <row r="6" spans="1:9" x14ac:dyDescent="0.2">
      <c r="A6" t="s">
        <v>82</v>
      </c>
      <c r="B6">
        <v>25.833333333333321</v>
      </c>
      <c r="C6">
        <v>27.280701754385959</v>
      </c>
      <c r="D6">
        <f>TableFUL[[#This Row],[ARIMAPP]]*$I$2+TableFUL[[#This Row],[LSTMPP]]*$I$3</f>
        <v>26.738764263633328</v>
      </c>
      <c r="E6">
        <v>22</v>
      </c>
      <c r="F6">
        <f>ABS(TableFUL[[#This Row],[PP]]-TableFUL[[#This Row],[AP]])</f>
        <v>4.7387642636333283</v>
      </c>
    </row>
    <row r="7" spans="1:9" x14ac:dyDescent="0.2">
      <c r="A7" t="s">
        <v>83</v>
      </c>
      <c r="B7">
        <v>31.855331107388949</v>
      </c>
      <c r="C7">
        <v>30.32051282051281</v>
      </c>
      <c r="D7">
        <f>TableFUL[[#This Row],[ARIMAPP]]*$I$2+TableFUL[[#This Row],[LSTMPP]]*$I$3</f>
        <v>29.71818877532435</v>
      </c>
      <c r="E7">
        <v>23</v>
      </c>
      <c r="F7">
        <f>ABS(TableFUL[[#This Row],[PP]]-TableFUL[[#This Row],[AP]])</f>
        <v>6.7181887753243501</v>
      </c>
      <c r="H7" t="s">
        <v>3</v>
      </c>
      <c r="I7">
        <f>AVERAGE(TableFUL[DIFF])/10</f>
        <v>0.64567609915278035</v>
      </c>
    </row>
    <row r="8" spans="1:9" x14ac:dyDescent="0.2">
      <c r="A8" t="s">
        <v>84</v>
      </c>
      <c r="B8">
        <v>24.266666666666659</v>
      </c>
      <c r="C8">
        <v>26.416666666666661</v>
      </c>
      <c r="D8">
        <f>TableFUL[[#This Row],[ARIMAPP]]*$I$2+TableFUL[[#This Row],[LSTMPP]]*$I$3</f>
        <v>25.891893434061661</v>
      </c>
      <c r="E8">
        <v>27</v>
      </c>
      <c r="F8">
        <f>ABS(TableFUL[[#This Row],[PP]]-TableFUL[[#This Row],[AP]])</f>
        <v>1.1081065659383391</v>
      </c>
    </row>
    <row r="9" spans="1:9" x14ac:dyDescent="0.2">
      <c r="A9" t="s">
        <v>85</v>
      </c>
      <c r="B9">
        <v>25.777777777777779</v>
      </c>
      <c r="C9">
        <v>26.388888888888889</v>
      </c>
      <c r="D9">
        <f>TableFUL[[#This Row],[ARIMAPP]]*$I$2+TableFUL[[#This Row],[LSTMPP]]*$I$3</f>
        <v>25.864667468305559</v>
      </c>
      <c r="E9">
        <v>26</v>
      </c>
      <c r="F9">
        <f>ABS(TableFUL[[#This Row],[PP]]-TableFUL[[#This Row],[AP]])</f>
        <v>0.13533253169444137</v>
      </c>
    </row>
    <row r="10" spans="1:9" x14ac:dyDescent="0.2">
      <c r="A10" t="s">
        <v>86</v>
      </c>
      <c r="B10">
        <v>37.70833333333335</v>
      </c>
      <c r="C10">
        <v>33.026315789473692</v>
      </c>
      <c r="D10">
        <f>TableFUL[[#This Row],[ARIMAPP]]*$I$2+TableFUL[[#This Row],[LSTMPP]]*$I$3</f>
        <v>32.37024033845001</v>
      </c>
      <c r="E10">
        <v>21</v>
      </c>
      <c r="F10">
        <f>ABS(TableFUL[[#This Row],[PP]]-TableFUL[[#This Row],[AP]])</f>
        <v>11.37024033845001</v>
      </c>
    </row>
    <row r="11" spans="1:9" x14ac:dyDescent="0.2">
      <c r="A11" t="s">
        <v>87</v>
      </c>
      <c r="B11">
        <v>24.39612223711752</v>
      </c>
      <c r="C11">
        <v>26.621621621621621</v>
      </c>
      <c r="D11">
        <f>TableFUL[[#This Row],[ARIMAPP]]*$I$2+TableFUL[[#This Row],[LSTMPP]]*$I$3</f>
        <v>26.092776911127029</v>
      </c>
      <c r="E11">
        <v>34</v>
      </c>
      <c r="F11">
        <f>ABS(TableFUL[[#This Row],[PP]]-TableFUL[[#This Row],[AP]])</f>
        <v>7.9072230888729713</v>
      </c>
    </row>
    <row r="12" spans="1:9" x14ac:dyDescent="0.2">
      <c r="A12" t="s">
        <v>88</v>
      </c>
      <c r="B12">
        <v>38.378378378378393</v>
      </c>
      <c r="C12">
        <v>40.339912370124402</v>
      </c>
      <c r="D12">
        <f>TableFUL[[#This Row],[ARIMAPP]]*$I$2+TableFUL[[#This Row],[LSTMPP]]*$I$3</f>
        <v>39.538550620567079</v>
      </c>
      <c r="E12">
        <v>43</v>
      </c>
      <c r="F12">
        <f>ABS(TableFUL[[#This Row],[PP]]-TableFUL[[#This Row],[AP]])</f>
        <v>3.4614493794329206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89</v>
      </c>
      <c r="B2">
        <v>44.733168337584942</v>
      </c>
      <c r="C2">
        <v>43.173718804941451</v>
      </c>
      <c r="D2">
        <f>TableLIV[[#This Row],[ARIMAPP]]*$I$2+TableLIV[[#This Row],[LSTMPP]]*$I$3</f>
        <v>48.800357237872198</v>
      </c>
      <c r="E2">
        <v>38</v>
      </c>
      <c r="F2">
        <f>ABS(TableLIV[[#This Row],[PP]]-TableLIV[[#This Row],[AP]])</f>
        <v>10.800357237872198</v>
      </c>
      <c r="H2" t="s">
        <v>0</v>
      </c>
      <c r="I2">
        <v>0</v>
      </c>
    </row>
    <row r="3" spans="1:9" x14ac:dyDescent="0.2">
      <c r="A3" t="s">
        <v>90</v>
      </c>
      <c r="B3">
        <v>68.907103825136588</v>
      </c>
      <c r="C3">
        <v>68.693323787272462</v>
      </c>
      <c r="D3">
        <f>TableLIV[[#This Row],[ARIMAPP]]*$I$2+TableLIV[[#This Row],[LSTMPP]]*$I$3</f>
        <v>77.645818647710215</v>
      </c>
      <c r="E3">
        <v>82</v>
      </c>
      <c r="F3">
        <f>ABS(TableLIV[[#This Row],[PP]]-TableLIV[[#This Row],[AP]])</f>
        <v>4.3541813522897854</v>
      </c>
      <c r="H3" t="s">
        <v>1</v>
      </c>
      <c r="I3">
        <v>1.130325545</v>
      </c>
    </row>
    <row r="4" spans="1:9" x14ac:dyDescent="0.2">
      <c r="A4" t="s">
        <v>91</v>
      </c>
      <c r="B4">
        <v>52.914775325573672</v>
      </c>
      <c r="C4">
        <v>48.029741399783397</v>
      </c>
      <c r="D4">
        <f>TableLIV[[#This Row],[ARIMAPP]]*$I$2+TableLIV[[#This Row],[LSTMPP]]*$I$3</f>
        <v>54.289243623919234</v>
      </c>
      <c r="E4">
        <v>57</v>
      </c>
      <c r="F4">
        <f>ABS(TableLIV[[#This Row],[PP]]-TableLIV[[#This Row],[AP]])</f>
        <v>2.7107563760807665</v>
      </c>
    </row>
    <row r="5" spans="1:9" x14ac:dyDescent="0.2">
      <c r="A5" t="s">
        <v>92</v>
      </c>
      <c r="B5">
        <v>48.531239421819627</v>
      </c>
      <c r="C5">
        <v>42.212804552162453</v>
      </c>
      <c r="D5">
        <f>TableLIV[[#This Row],[ARIMAPP]]*$I$2+TableLIV[[#This Row],[LSTMPP]]*$I$3</f>
        <v>47.714211311401506</v>
      </c>
      <c r="E5">
        <v>37</v>
      </c>
      <c r="F5">
        <f>ABS(TableLIV[[#This Row],[PP]]-TableLIV[[#This Row],[AP]])</f>
        <v>10.714211311401506</v>
      </c>
      <c r="H5" t="s">
        <v>2</v>
      </c>
      <c r="I5">
        <f>SUM(ABS(TableLIV[[#This Row],[PP]]-TableLIV[[#This Row],[AP]]))</f>
        <v>10.714211311401506</v>
      </c>
    </row>
    <row r="6" spans="1:9" x14ac:dyDescent="0.2">
      <c r="A6" t="s">
        <v>93</v>
      </c>
      <c r="B6">
        <v>17.843137254901961</v>
      </c>
      <c r="C6">
        <v>22.875</v>
      </c>
      <c r="D6">
        <f>TableLIV[[#This Row],[ARIMAPP]]*$I$2+TableLIV[[#This Row],[LSTMPP]]*$I$3</f>
        <v>25.856196841875001</v>
      </c>
      <c r="E6">
        <v>37</v>
      </c>
      <c r="F6">
        <f>ABS(TableLIV[[#This Row],[PP]]-TableLIV[[#This Row],[AP]])</f>
        <v>11.143803158124999</v>
      </c>
    </row>
    <row r="7" spans="1:9" x14ac:dyDescent="0.2">
      <c r="A7" t="s">
        <v>94</v>
      </c>
      <c r="B7">
        <v>21.64179104477612</v>
      </c>
      <c r="C7">
        <v>24.90566037735849</v>
      </c>
      <c r="D7">
        <f>TableLIV[[#This Row],[ARIMAPP]]*$I$2+TableLIV[[#This Row],[LSTMPP]]*$I$3</f>
        <v>28.151504139622642</v>
      </c>
      <c r="E7">
        <v>27</v>
      </c>
      <c r="F7">
        <f>ABS(TableLIV[[#This Row],[PP]]-TableLIV[[#This Row],[AP]])</f>
        <v>1.1515041396226415</v>
      </c>
      <c r="H7" t="s">
        <v>3</v>
      </c>
      <c r="I7">
        <f>AVERAGE(TableLIV[DIFF])/10</f>
        <v>0.75803578951609918</v>
      </c>
    </row>
    <row r="8" spans="1:9" x14ac:dyDescent="0.2">
      <c r="A8" t="s">
        <v>95</v>
      </c>
      <c r="B8">
        <v>28.383838383838381</v>
      </c>
      <c r="C8">
        <v>29.050632911392398</v>
      </c>
      <c r="D8">
        <f>TableLIV[[#This Row],[ARIMAPP]]*$I$2+TableLIV[[#This Row],[LSTMPP]]*$I$3</f>
        <v>32.836672478164552</v>
      </c>
      <c r="E8">
        <v>32</v>
      </c>
      <c r="F8">
        <f>ABS(TableLIV[[#This Row],[PP]]-TableLIV[[#This Row],[AP]])</f>
        <v>0.83667247816455159</v>
      </c>
    </row>
    <row r="9" spans="1:9" x14ac:dyDescent="0.2">
      <c r="A9" t="s">
        <v>96</v>
      </c>
      <c r="B9">
        <v>29.142857142857139</v>
      </c>
      <c r="C9">
        <v>29.464285714285719</v>
      </c>
      <c r="D9">
        <f>TableLIV[[#This Row],[ARIMAPP]]*$I$2+TableLIV[[#This Row],[LSTMPP]]*$I$3</f>
        <v>33.304234808035723</v>
      </c>
      <c r="E9">
        <v>23</v>
      </c>
      <c r="F9">
        <f>ABS(TableLIV[[#This Row],[PP]]-TableLIV[[#This Row],[AP]])</f>
        <v>10.304234808035723</v>
      </c>
    </row>
    <row r="10" spans="1:9" x14ac:dyDescent="0.2">
      <c r="A10" t="s">
        <v>97</v>
      </c>
      <c r="B10">
        <v>33.500000000000007</v>
      </c>
      <c r="C10">
        <v>34.379744887625257</v>
      </c>
      <c r="D10">
        <f>TableLIV[[#This Row],[ARIMAPP]]*$I$2+TableLIV[[#This Row],[LSTMPP]]*$I$3</f>
        <v>38.860303877065981</v>
      </c>
      <c r="E10">
        <v>47</v>
      </c>
      <c r="F10">
        <f>ABS(TableLIV[[#This Row],[PP]]-TableLIV[[#This Row],[AP]])</f>
        <v>8.1396961229340192</v>
      </c>
    </row>
    <row r="11" spans="1:9" x14ac:dyDescent="0.2">
      <c r="A11" t="s">
        <v>98</v>
      </c>
      <c r="B11">
        <v>38.536585365853668</v>
      </c>
      <c r="C11">
        <v>37.182494244126786</v>
      </c>
      <c r="D11">
        <f>TableLIV[[#This Row],[ARIMAPP]]*$I$2+TableLIV[[#This Row],[LSTMPP]]*$I$3</f>
        <v>42.028323070951977</v>
      </c>
      <c r="E11">
        <v>41</v>
      </c>
      <c r="F11">
        <f>ABS(TableLIV[[#This Row],[PP]]-TableLIV[[#This Row],[AP]])</f>
        <v>1.0283230709519771</v>
      </c>
    </row>
    <row r="12" spans="1:9" x14ac:dyDescent="0.2">
      <c r="A12" t="s">
        <v>99</v>
      </c>
      <c r="B12">
        <v>36.071428571428569</v>
      </c>
      <c r="C12">
        <v>39.091598342799657</v>
      </c>
      <c r="D12">
        <f>TableLIV[[#This Row],[ARIMAPP]]*$I$2+TableLIV[[#This Row],[LSTMPP]]*$I$3</f>
        <v>44.186232201746122</v>
      </c>
      <c r="E12">
        <v>65</v>
      </c>
      <c r="F12">
        <f>ABS(TableLIV[[#This Row],[PP]]-TableLIV[[#This Row],[AP]])</f>
        <v>20.813767798253878</v>
      </c>
    </row>
    <row r="13" spans="1:9" x14ac:dyDescent="0.2">
      <c r="A13" t="s">
        <v>100</v>
      </c>
      <c r="B13">
        <v>34.363590314031249</v>
      </c>
      <c r="C13">
        <v>32.70615050871146</v>
      </c>
      <c r="D13">
        <f>TableLIV[[#This Row],[ARIMAPP]]*$I$2+TableLIV[[#This Row],[LSTMPP]]*$I$3</f>
        <v>36.968597398611308</v>
      </c>
      <c r="E13">
        <v>27</v>
      </c>
      <c r="F13">
        <f>ABS(TableLIV[[#This Row],[PP]]-TableLIV[[#This Row],[AP]])</f>
        <v>9.9685973986113083</v>
      </c>
    </row>
    <row r="14" spans="1:9" x14ac:dyDescent="0.2">
      <c r="A14" t="s">
        <v>101</v>
      </c>
      <c r="B14">
        <v>42.727272727272727</v>
      </c>
      <c r="C14">
        <v>37.68049853496899</v>
      </c>
      <c r="D14">
        <f>TableLIV[[#This Row],[ARIMAPP]]*$I$2+TableLIV[[#This Row],[LSTMPP]]*$I$3</f>
        <v>42.59123004241053</v>
      </c>
      <c r="E14">
        <v>35</v>
      </c>
      <c r="F14">
        <f>ABS(TableLIV[[#This Row],[PP]]-TableLIV[[#This Row],[AP]])</f>
        <v>7.5912300424105297</v>
      </c>
    </row>
    <row r="15" spans="1:9" x14ac:dyDescent="0.2">
      <c r="A15" t="s">
        <v>102</v>
      </c>
      <c r="B15">
        <v>21.818181818181809</v>
      </c>
      <c r="C15">
        <v>22.5</v>
      </c>
      <c r="D15">
        <f>TableLIV[[#This Row],[ARIMAPP]]*$I$2+TableLIV[[#This Row],[LSTMPP]]*$I$3</f>
        <v>25.432324762500002</v>
      </c>
      <c r="E15">
        <v>32</v>
      </c>
      <c r="F15">
        <f>ABS(TableLIV[[#This Row],[PP]]-TableLIV[[#This Row],[AP]])</f>
        <v>6.5676752374999978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103</v>
      </c>
      <c r="B2">
        <v>28.307943816167651</v>
      </c>
      <c r="C2">
        <v>28.91304347826086</v>
      </c>
      <c r="D2">
        <f>TableLUT[[#This Row],[ARIMAPP]]*$I$2+TableLUT[[#This Row],[LSTMPP]]*$I$3</f>
        <v>45.380782959826071</v>
      </c>
      <c r="E2">
        <v>47</v>
      </c>
      <c r="F2">
        <f>ABS(TableLUT[[#This Row],[PP]]-TableLUT[[#This Row],[AP]])</f>
        <v>1.619217040173929</v>
      </c>
      <c r="H2" t="s">
        <v>0</v>
      </c>
      <c r="I2">
        <v>0</v>
      </c>
    </row>
    <row r="3" spans="1:9" x14ac:dyDescent="0.2">
      <c r="A3" t="s">
        <v>104</v>
      </c>
      <c r="B3">
        <v>21.53846150629445</v>
      </c>
      <c r="C3">
        <v>24.5</v>
      </c>
      <c r="D3">
        <f>TableLUT[[#This Row],[ARIMAPP]]*$I$2+TableLUT[[#This Row],[LSTMPP]]*$I$3</f>
        <v>38.454242402799999</v>
      </c>
      <c r="E3">
        <v>27</v>
      </c>
      <c r="F3">
        <f>ABS(TableLUT[[#This Row],[PP]]-TableLUT[[#This Row],[AP]])</f>
        <v>11.454242402799999</v>
      </c>
      <c r="H3" t="s">
        <v>1</v>
      </c>
      <c r="I3">
        <v>1.5695609144</v>
      </c>
    </row>
    <row r="4" spans="1:9" x14ac:dyDescent="0.2">
      <c r="A4" t="s">
        <v>105</v>
      </c>
      <c r="B4">
        <v>20.833333333333339</v>
      </c>
      <c r="C4">
        <v>26.111111111111111</v>
      </c>
      <c r="D4">
        <f>TableLUT[[#This Row],[ARIMAPP]]*$I$2+TableLUT[[#This Row],[LSTMPP]]*$I$3</f>
        <v>40.982979431555556</v>
      </c>
      <c r="E4">
        <v>54</v>
      </c>
      <c r="F4">
        <f>ABS(TableLUT[[#This Row],[PP]]-TableLUT[[#This Row],[AP]])</f>
        <v>13.017020568444444</v>
      </c>
    </row>
    <row r="5" spans="1:9" x14ac:dyDescent="0.2">
      <c r="A5" t="s">
        <v>106</v>
      </c>
      <c r="B5">
        <v>24.166666666666671</v>
      </c>
      <c r="C5">
        <v>24.444444444444439</v>
      </c>
      <c r="D5">
        <f>TableLUT[[#This Row],[ARIMAPP]]*$I$2+TableLUT[[#This Row],[LSTMPP]]*$I$3</f>
        <v>38.367044574222213</v>
      </c>
      <c r="E5">
        <v>31</v>
      </c>
      <c r="F5">
        <f>ABS(TableLUT[[#This Row],[PP]]-TableLUT[[#This Row],[AP]])</f>
        <v>7.3670445742222128</v>
      </c>
      <c r="H5" t="s">
        <v>2</v>
      </c>
      <c r="I5">
        <f>SUM(ABS(TableLUT[[#This Row],[PP]]-TableLUT[[#This Row],[AP]]))</f>
        <v>7.3670445742222128</v>
      </c>
    </row>
    <row r="6" spans="1:9" x14ac:dyDescent="0.2">
      <c r="A6" t="s">
        <v>107</v>
      </c>
      <c r="B6">
        <v>14.166666666666661</v>
      </c>
      <c r="C6">
        <v>19.444444444444439</v>
      </c>
      <c r="D6">
        <f>TableLUT[[#This Row],[ARIMAPP]]*$I$2+TableLUT[[#This Row],[LSTMPP]]*$I$3</f>
        <v>30.519240002222215</v>
      </c>
      <c r="E6">
        <v>48</v>
      </c>
      <c r="F6">
        <f>ABS(TableLUT[[#This Row],[PP]]-TableLUT[[#This Row],[AP]])</f>
        <v>17.480759997777785</v>
      </c>
    </row>
    <row r="7" spans="1:9" x14ac:dyDescent="0.2">
      <c r="A7" t="s">
        <v>108</v>
      </c>
      <c r="B7">
        <v>33.846153846153861</v>
      </c>
      <c r="C7">
        <v>31.499999999999989</v>
      </c>
      <c r="D7">
        <f>TableLUT[[#This Row],[ARIMAPP]]*$I$2+TableLUT[[#This Row],[LSTMPP]]*$I$3</f>
        <v>49.441168803599986</v>
      </c>
      <c r="E7">
        <v>41</v>
      </c>
      <c r="F7">
        <f>ABS(TableLUT[[#This Row],[PP]]-TableLUT[[#This Row],[AP]])</f>
        <v>8.4411688035999859</v>
      </c>
      <c r="H7" t="s">
        <v>3</v>
      </c>
      <c r="I7">
        <f>AVERAGE(TableLUT[DIFF])/10</f>
        <v>0.98965755645030584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109</v>
      </c>
      <c r="B2">
        <v>39.510869565217398</v>
      </c>
      <c r="C2">
        <v>35.963761866822288</v>
      </c>
      <c r="D2">
        <f>TableMCI[[#This Row],[ARIMAPP]]*$I$2+TableMCI[[#This Row],[LSTMPP]]*$I$3</f>
        <v>41.289140430875577</v>
      </c>
      <c r="E2">
        <v>36</v>
      </c>
      <c r="F2">
        <f>ABS(TableMCI[[#This Row],[PP]]-TableMCI[[#This Row],[AP]])</f>
        <v>5.2891404308755767</v>
      </c>
      <c r="H2" t="s">
        <v>0</v>
      </c>
      <c r="I2">
        <v>1.045006917</v>
      </c>
    </row>
    <row r="3" spans="1:9" x14ac:dyDescent="0.2">
      <c r="A3" t="s">
        <v>110</v>
      </c>
      <c r="B3">
        <v>38.308823529411747</v>
      </c>
      <c r="C3">
        <v>36.714795930116843</v>
      </c>
      <c r="D3">
        <f>TableMCI[[#This Row],[ARIMAPP]]*$I$2+TableMCI[[#This Row],[LSTMPP]]*$I$3</f>
        <v>40.032994185128906</v>
      </c>
      <c r="E3">
        <v>28</v>
      </c>
      <c r="F3">
        <f>ABS(TableMCI[[#This Row],[PP]]-TableMCI[[#This Row],[AP]])</f>
        <v>12.032994185128906</v>
      </c>
      <c r="H3" t="s">
        <v>1</v>
      </c>
      <c r="I3">
        <v>2.3464004251999999E-7</v>
      </c>
    </row>
    <row r="4" spans="1:9" x14ac:dyDescent="0.2">
      <c r="A4" t="s">
        <v>111</v>
      </c>
      <c r="B4">
        <v>32.698412698412682</v>
      </c>
      <c r="C4">
        <v>29.750000000000011</v>
      </c>
      <c r="D4">
        <f>TableMCI[[#This Row],[ARIMAPP]]*$I$2+TableMCI[[#This Row],[LSTMPP]]*$I$3</f>
        <v>34.170074425303156</v>
      </c>
      <c r="E4">
        <v>38</v>
      </c>
      <c r="F4">
        <f>ABS(TableMCI[[#This Row],[PP]]-TableMCI[[#This Row],[AP]])</f>
        <v>3.8299255746968441</v>
      </c>
    </row>
    <row r="5" spans="1:9" x14ac:dyDescent="0.2">
      <c r="A5" t="s">
        <v>112</v>
      </c>
      <c r="B5">
        <v>46.024992455226538</v>
      </c>
      <c r="C5">
        <v>40.341636377327511</v>
      </c>
      <c r="D5">
        <f>TableMCI[[#This Row],[ARIMAPP]]*$I$2+TableMCI[[#This Row],[LSTMPP]]*$I$3</f>
        <v>48.096444936347822</v>
      </c>
      <c r="E5">
        <v>72</v>
      </c>
      <c r="F5">
        <f>ABS(TableMCI[[#This Row],[PP]]-TableMCI[[#This Row],[AP]])</f>
        <v>23.903555063652178</v>
      </c>
      <c r="H5" t="s">
        <v>2</v>
      </c>
      <c r="I5">
        <f>SUM(ABS(TableMCI[[#This Row],[PP]]-TableMCI[[#This Row],[AP]]))</f>
        <v>23.903555063652178</v>
      </c>
    </row>
    <row r="6" spans="1:9" x14ac:dyDescent="0.2">
      <c r="A6" t="s">
        <v>113</v>
      </c>
      <c r="B6">
        <v>30.58689198633185</v>
      </c>
      <c r="C6">
        <v>29.247787610619469</v>
      </c>
      <c r="D6">
        <f>TableMCI[[#This Row],[ARIMAPP]]*$I$2+TableMCI[[#This Row],[LSTMPP]]*$I$3</f>
        <v>31.963520557950783</v>
      </c>
      <c r="E6">
        <v>40</v>
      </c>
      <c r="F6">
        <f>ABS(TableMCI[[#This Row],[PP]]-TableMCI[[#This Row],[AP]])</f>
        <v>8.0364794420492167</v>
      </c>
    </row>
    <row r="7" spans="1:9" x14ac:dyDescent="0.2">
      <c r="A7" t="s">
        <v>114</v>
      </c>
      <c r="B7">
        <v>79.186601433723283</v>
      </c>
      <c r="C7">
        <v>74.793150666056576</v>
      </c>
      <c r="D7">
        <f>TableMCI[[#This Row],[ARIMAPP]]*$I$2+TableMCI[[#This Row],[LSTMPP]]*$I$3</f>
        <v>82.750563781431012</v>
      </c>
      <c r="E7">
        <v>65</v>
      </c>
      <c r="F7">
        <f>ABS(TableMCI[[#This Row],[PP]]-TableMCI[[#This Row],[AP]])</f>
        <v>17.750563781431012</v>
      </c>
      <c r="H7" t="s">
        <v>3</v>
      </c>
      <c r="I7">
        <f>AVERAGE(TableMCI[DIFF])/10</f>
        <v>0.95389519705273895</v>
      </c>
    </row>
    <row r="8" spans="1:9" x14ac:dyDescent="0.2">
      <c r="A8" t="s">
        <v>115</v>
      </c>
      <c r="B8">
        <v>36.058031345130992</v>
      </c>
      <c r="C8">
        <v>29.393939393939391</v>
      </c>
      <c r="D8">
        <f>TableMCI[[#This Row],[ARIMAPP]]*$I$2+TableMCI[[#This Row],[LSTMPP]]*$I$3</f>
        <v>37.680899066059894</v>
      </c>
      <c r="E8">
        <v>45</v>
      </c>
      <c r="F8">
        <f>ABS(TableMCI[[#This Row],[PP]]-TableMCI[[#This Row],[AP]])</f>
        <v>7.3191009339401063</v>
      </c>
    </row>
    <row r="9" spans="1:9" x14ac:dyDescent="0.2">
      <c r="A9" t="s">
        <v>116</v>
      </c>
      <c r="B9">
        <v>35.909090909090907</v>
      </c>
      <c r="C9">
        <v>35.127246220889063</v>
      </c>
      <c r="D9">
        <f>TableMCI[[#This Row],[ARIMAPP]]*$I$2+TableMCI[[#This Row],[LSTMPP]]*$I$3</f>
        <v>37.525256625440363</v>
      </c>
      <c r="E9">
        <v>47</v>
      </c>
      <c r="F9">
        <f>ABS(TableMCI[[#This Row],[PP]]-TableMCI[[#This Row],[AP]])</f>
        <v>9.4747433745596368</v>
      </c>
    </row>
    <row r="10" spans="1:9" x14ac:dyDescent="0.2">
      <c r="A10" t="s">
        <v>117</v>
      </c>
      <c r="B10">
        <v>30.571428571428569</v>
      </c>
      <c r="C10">
        <v>29.285714285714281</v>
      </c>
      <c r="D10">
        <f>TableMCI[[#This Row],[ARIMAPP]]*$I$2+TableMCI[[#This Row],[LSTMPP]]*$I$3</f>
        <v>31.94736119131553</v>
      </c>
      <c r="E10">
        <v>28</v>
      </c>
      <c r="F10">
        <f>ABS(TableMCI[[#This Row],[PP]]-TableMCI[[#This Row],[AP]])</f>
        <v>3.9473611913155295</v>
      </c>
    </row>
    <row r="11" spans="1:9" x14ac:dyDescent="0.2">
      <c r="A11" t="s">
        <v>118</v>
      </c>
      <c r="B11">
        <v>31.764705882352938</v>
      </c>
      <c r="C11">
        <v>29.444444444444439</v>
      </c>
      <c r="D11">
        <f>TableMCI[[#This Row],[ARIMAPP]]*$I$2+TableMCI[[#This Row],[LSTMPP]]*$I$3</f>
        <v>33.194344272375105</v>
      </c>
      <c r="E11">
        <v>37</v>
      </c>
      <c r="F11">
        <f>ABS(TableMCI[[#This Row],[PP]]-TableMCI[[#This Row],[AP]])</f>
        <v>3.8056557276248952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119</v>
      </c>
      <c r="B2">
        <v>44.602302510228128</v>
      </c>
      <c r="C2">
        <v>43.382214597786287</v>
      </c>
      <c r="D2">
        <f>TableMUN[[#This Row],[ARIMAPP]]*$I$2+TableMUN[[#This Row],[LSTMPP]]*$I$3</f>
        <v>39.100795704463124</v>
      </c>
      <c r="E2">
        <v>36</v>
      </c>
      <c r="F2">
        <f>ABS(TableMUN[[#This Row],[PP]]-TableMUN[[#This Row],[AP]])</f>
        <v>3.100795704463124</v>
      </c>
      <c r="H2" t="s">
        <v>0</v>
      </c>
      <c r="I2">
        <v>0</v>
      </c>
    </row>
    <row r="3" spans="1:9" x14ac:dyDescent="0.2">
      <c r="A3" t="s">
        <v>120</v>
      </c>
      <c r="B3">
        <v>26.044776119402979</v>
      </c>
      <c r="C3">
        <v>26.915887850467289</v>
      </c>
      <c r="D3">
        <f>TableMUN[[#This Row],[ARIMAPP]]*$I$2+TableMUN[[#This Row],[LSTMPP]]*$I$3</f>
        <v>24.259541422743926</v>
      </c>
      <c r="E3">
        <v>26</v>
      </c>
      <c r="F3">
        <f>ABS(TableMUN[[#This Row],[PP]]-TableMUN[[#This Row],[AP]])</f>
        <v>1.7404585772560743</v>
      </c>
      <c r="H3" t="s">
        <v>1</v>
      </c>
      <c r="I3">
        <v>0.90130935147000002</v>
      </c>
    </row>
    <row r="4" spans="1:9" x14ac:dyDescent="0.2">
      <c r="A4" t="s">
        <v>121</v>
      </c>
      <c r="B4">
        <v>30.773862784841391</v>
      </c>
      <c r="C4">
        <v>31.785784343890938</v>
      </c>
      <c r="D4">
        <f>TableMUN[[#This Row],[ARIMAPP]]*$I$2+TableMUN[[#This Row],[LSTMPP]]*$I$3</f>
        <v>28.648824672957623</v>
      </c>
      <c r="E4">
        <v>33</v>
      </c>
      <c r="F4">
        <f>ABS(TableMUN[[#This Row],[PP]]-TableMUN[[#This Row],[AP]])</f>
        <v>4.3511753270423768</v>
      </c>
    </row>
    <row r="5" spans="1:9" x14ac:dyDescent="0.2">
      <c r="A5" t="s">
        <v>122</v>
      </c>
      <c r="B5">
        <v>45.704337322555972</v>
      </c>
      <c r="C5">
        <v>46.547987870487837</v>
      </c>
      <c r="D5">
        <f>TableMUN[[#This Row],[ARIMAPP]]*$I$2+TableMUN[[#This Row],[LSTMPP]]*$I$3</f>
        <v>41.95413675978282</v>
      </c>
      <c r="E5">
        <v>26</v>
      </c>
      <c r="F5">
        <f>ABS(TableMUN[[#This Row],[PP]]-TableMUN[[#This Row],[AP]])</f>
        <v>15.95413675978282</v>
      </c>
      <c r="H5" t="s">
        <v>2</v>
      </c>
      <c r="I5">
        <f>SUM(ABS(TableMUN[[#This Row],[PP]]-TableMUN[[#This Row],[AP]]))</f>
        <v>15.95413675978282</v>
      </c>
    </row>
    <row r="6" spans="1:9" x14ac:dyDescent="0.2">
      <c r="A6" t="s">
        <v>123</v>
      </c>
      <c r="B6">
        <v>38.157894736842117</v>
      </c>
      <c r="C6">
        <v>31.666666666666671</v>
      </c>
      <c r="D6">
        <f>TableMUN[[#This Row],[ARIMAPP]]*$I$2+TableMUN[[#This Row],[LSTMPP]]*$I$3</f>
        <v>28.541462796550004</v>
      </c>
      <c r="E6">
        <v>23</v>
      </c>
      <c r="F6">
        <f>ABS(TableMUN[[#This Row],[PP]]-TableMUN[[#This Row],[AP]])</f>
        <v>5.5414627965500038</v>
      </c>
    </row>
    <row r="7" spans="1:9" x14ac:dyDescent="0.2">
      <c r="A7" t="s">
        <v>124</v>
      </c>
      <c r="B7">
        <v>21.666666666666661</v>
      </c>
      <c r="C7">
        <v>22.083333333333329</v>
      </c>
      <c r="D7">
        <f>TableMUN[[#This Row],[ARIMAPP]]*$I$2+TableMUN[[#This Row],[LSTMPP]]*$I$3</f>
        <v>19.903914844962497</v>
      </c>
      <c r="E7">
        <v>51</v>
      </c>
      <c r="F7">
        <f>ABS(TableMUN[[#This Row],[PP]]-TableMUN[[#This Row],[AP]])</f>
        <v>31.096085155037503</v>
      </c>
      <c r="H7" t="s">
        <v>3</v>
      </c>
      <c r="I7">
        <f>AVERAGE(TableMUN[DIFF])/10</f>
        <v>0.96508884908910897</v>
      </c>
    </row>
    <row r="8" spans="1:9" x14ac:dyDescent="0.2">
      <c r="A8" t="s">
        <v>77</v>
      </c>
      <c r="B8">
        <v>35.867372260443197</v>
      </c>
      <c r="C8">
        <v>31.318764015768501</v>
      </c>
      <c r="D8">
        <f>TableMUN[[#This Row],[ARIMAPP]]*$I$2+TableMUN[[#This Row],[LSTMPP]]*$I$3</f>
        <v>28.22789488389428</v>
      </c>
      <c r="E8">
        <v>34</v>
      </c>
      <c r="F8">
        <f>ABS(TableMUN[[#This Row],[PP]]-TableMUN[[#This Row],[AP]])</f>
        <v>5.7721051161057204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82</v>
      </c>
      <c r="B2">
        <v>45.734265734265733</v>
      </c>
      <c r="C2">
        <v>37.5</v>
      </c>
      <c r="D2">
        <f>TableNEW[[#This Row],[ARIMAPP]]*$I$2+TableNEW[[#This Row],[LSTMPP]]*$I$3</f>
        <v>35.449353376454368</v>
      </c>
      <c r="E2">
        <v>33</v>
      </c>
      <c r="F2">
        <f>ABS(TableNEW[[#This Row],[PP]]-TableNEW[[#This Row],[AP]])</f>
        <v>2.4493533764543685</v>
      </c>
      <c r="H2" t="s">
        <v>0</v>
      </c>
      <c r="I2">
        <v>0.39507149828999999</v>
      </c>
    </row>
    <row r="3" spans="1:9" x14ac:dyDescent="0.2">
      <c r="A3" t="s">
        <v>125</v>
      </c>
      <c r="B3">
        <v>52.740069484684412</v>
      </c>
      <c r="C3">
        <v>38.151640913448411</v>
      </c>
      <c r="D3">
        <f>TableNEW[[#This Row],[ARIMAPP]]*$I$2+TableNEW[[#This Row],[LSTMPP]]*$I$3</f>
        <v>38.519178822577189</v>
      </c>
      <c r="E3">
        <v>25</v>
      </c>
      <c r="F3">
        <f>ABS(TableNEW[[#This Row],[PP]]-TableNEW[[#This Row],[AP]])</f>
        <v>13.519178822577189</v>
      </c>
      <c r="H3" t="s">
        <v>1</v>
      </c>
      <c r="I3">
        <v>0.46349462639</v>
      </c>
    </row>
    <row r="4" spans="1:9" x14ac:dyDescent="0.2">
      <c r="A4" t="s">
        <v>126</v>
      </c>
      <c r="B4">
        <v>29.322185063512769</v>
      </c>
      <c r="C4">
        <v>30.694444444444439</v>
      </c>
      <c r="D4">
        <f>TableNEW[[#This Row],[ARIMAPP]]*$I$2+TableNEW[[#This Row],[LSTMPP]]*$I$3</f>
        <v>25.811069646205034</v>
      </c>
      <c r="E4">
        <v>31</v>
      </c>
      <c r="F4">
        <f>ABS(TableNEW[[#This Row],[PP]]-TableNEW[[#This Row],[AP]])</f>
        <v>5.1889303537949658</v>
      </c>
    </row>
    <row r="5" spans="1:9" x14ac:dyDescent="0.2">
      <c r="A5" t="s">
        <v>127</v>
      </c>
      <c r="B5">
        <v>23.442622950819668</v>
      </c>
      <c r="C5">
        <v>25.67010309278351</v>
      </c>
      <c r="D5">
        <f>TableNEW[[#This Row],[ARIMAPP]]*$I$2+TableNEW[[#This Row],[LSTMPP]]*$I$3</f>
        <v>21.159467015410343</v>
      </c>
      <c r="E5">
        <v>34</v>
      </c>
      <c r="F5">
        <f>ABS(TableNEW[[#This Row],[PP]]-TableNEW[[#This Row],[AP]])</f>
        <v>12.840532984589657</v>
      </c>
      <c r="H5" t="s">
        <v>2</v>
      </c>
      <c r="I5">
        <f>SUM(ABS(TableNEW[[#This Row],[PP]]-TableNEW[[#This Row],[AP]]))</f>
        <v>12.840532984589657</v>
      </c>
    </row>
    <row r="6" spans="1:9" x14ac:dyDescent="0.2">
      <c r="A6" t="s">
        <v>128</v>
      </c>
      <c r="B6">
        <v>29.548872180451159</v>
      </c>
      <c r="C6">
        <v>30</v>
      </c>
      <c r="D6">
        <f>TableNEW[[#This Row],[ARIMAPP]]*$I$2+TableNEW[[#This Row],[LSTMPP]]*$I$3</f>
        <v>25.578755996810536</v>
      </c>
      <c r="E6">
        <v>28</v>
      </c>
      <c r="F6">
        <f>ABS(TableNEW[[#This Row],[PP]]-TableNEW[[#This Row],[AP]])</f>
        <v>2.4212440031894644</v>
      </c>
    </row>
    <row r="7" spans="1:9" x14ac:dyDescent="0.2">
      <c r="A7" t="s">
        <v>129</v>
      </c>
      <c r="B7">
        <v>50.720023068805993</v>
      </c>
      <c r="C7">
        <v>25.763888888888889</v>
      </c>
      <c r="D7">
        <f>TableNEW[[#This Row],[ARIMAPP]]*$I$2+TableNEW[[#This Row],[LSTMPP]]*$I$3</f>
        <v>31.979459562005577</v>
      </c>
      <c r="E7">
        <v>38</v>
      </c>
      <c r="F7">
        <f>ABS(TableNEW[[#This Row],[PP]]-TableNEW[[#This Row],[AP]])</f>
        <v>6.0205404379944234</v>
      </c>
      <c r="H7" t="s">
        <v>3</v>
      </c>
      <c r="I7">
        <f>AVERAGE(TableNEW[DIFF])/10</f>
        <v>0.75938440445032085</v>
      </c>
    </row>
    <row r="8" spans="1:9" x14ac:dyDescent="0.2">
      <c r="A8" t="s">
        <v>130</v>
      </c>
      <c r="B8">
        <v>32.205949264307009</v>
      </c>
      <c r="C8">
        <v>31.48936170212767</v>
      </c>
      <c r="D8">
        <f>TableNEW[[#This Row],[ARIMAPP]]*$I$2+TableNEW[[#This Row],[LSTMPP]]*$I$3</f>
        <v>27.318802567088731</v>
      </c>
      <c r="E8">
        <v>41</v>
      </c>
      <c r="F8">
        <f>ABS(TableNEW[[#This Row],[PP]]-TableNEW[[#This Row],[AP]])</f>
        <v>13.681197432911269</v>
      </c>
    </row>
    <row r="9" spans="1:9" x14ac:dyDescent="0.2">
      <c r="A9" t="s">
        <v>131</v>
      </c>
      <c r="B9">
        <v>35.984393104955842</v>
      </c>
      <c r="C9">
        <v>44.355423756037887</v>
      </c>
      <c r="D9">
        <f>TableNEW[[#This Row],[ARIMAPP]]*$I$2+TableNEW[[#This Row],[LSTMPP]]*$I$3</f>
        <v>34.774908661206162</v>
      </c>
      <c r="E9">
        <v>23</v>
      </c>
      <c r="F9">
        <f>ABS(TableNEW[[#This Row],[PP]]-TableNEW[[#This Row],[AP]])</f>
        <v>11.774908661206162</v>
      </c>
    </row>
    <row r="10" spans="1:9" x14ac:dyDescent="0.2">
      <c r="A10" t="s">
        <v>132</v>
      </c>
      <c r="B10">
        <v>48.928571428571423</v>
      </c>
      <c r="C10">
        <v>39.090909090909093</v>
      </c>
      <c r="D10">
        <f>TableNEW[[#This Row],[ARIMAPP]]*$I$2+TableNEW[[#This Row],[LSTMPP]]*$I$3</f>
        <v>37.448710327811362</v>
      </c>
      <c r="E10">
        <v>37</v>
      </c>
      <c r="F10">
        <f>ABS(TableNEW[[#This Row],[PP]]-TableNEW[[#This Row],[AP]])</f>
        <v>0.44871032781136222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133</v>
      </c>
      <c r="B2">
        <v>33.510623285976699</v>
      </c>
      <c r="C2">
        <v>34.010396381355058</v>
      </c>
      <c r="D2">
        <f>TableNFO[[#This Row],[ARIMAPP]]*$I$2+TableNFO[[#This Row],[LSTMPP]]*$I$3</f>
        <v>46.070870764102096</v>
      </c>
      <c r="E2">
        <v>46</v>
      </c>
      <c r="F2">
        <f>ABS(TableNFO[[#This Row],[PP]]-TableNFO[[#This Row],[AP]])</f>
        <v>7.0870764102096473E-2</v>
      </c>
      <c r="H2" t="s">
        <v>0</v>
      </c>
      <c r="I2">
        <v>0.39597687024</v>
      </c>
    </row>
    <row r="3" spans="1:9" x14ac:dyDescent="0.2">
      <c r="A3" t="s">
        <v>134</v>
      </c>
      <c r="B3">
        <v>36.527447310434098</v>
      </c>
      <c r="C3">
        <v>26.84210526315789</v>
      </c>
      <c r="D3">
        <f>TableNFO[[#This Row],[ARIMAPP]]*$I$2+TableNFO[[#This Row],[LSTMPP]]*$I$3</f>
        <v>40.351981272700087</v>
      </c>
      <c r="E3">
        <v>35</v>
      </c>
      <c r="F3">
        <f>ABS(TableNFO[[#This Row],[PP]]-TableNFO[[#This Row],[AP]])</f>
        <v>5.3519812727000868</v>
      </c>
      <c r="H3" t="s">
        <v>1</v>
      </c>
      <c r="I3">
        <v>0.96445330032999999</v>
      </c>
    </row>
    <row r="4" spans="1:9" x14ac:dyDescent="0.2">
      <c r="A4" t="s">
        <v>135</v>
      </c>
      <c r="B4">
        <v>34.543060785146899</v>
      </c>
      <c r="C4">
        <v>25.5</v>
      </c>
      <c r="D4">
        <f>TableNFO[[#This Row],[ARIMAPP]]*$I$2+TableNFO[[#This Row],[LSTMPP]]*$I$3</f>
        <v>38.271812256627548</v>
      </c>
      <c r="E4">
        <v>44</v>
      </c>
      <c r="F4">
        <f>ABS(TableNFO[[#This Row],[PP]]-TableNFO[[#This Row],[AP]])</f>
        <v>5.7281877433724517</v>
      </c>
    </row>
    <row r="5" spans="1:9" x14ac:dyDescent="0.2">
      <c r="H5" t="s">
        <v>2</v>
      </c>
      <c r="I5" t="e">
        <f>SUM(ABS(TableNFO[[#This Row],[PP]]-TableNFO[[#This Row],[AP]]))</f>
        <v>#VALUE!</v>
      </c>
    </row>
    <row r="7" spans="1:9" x14ac:dyDescent="0.2">
      <c r="H7" t="s">
        <v>3</v>
      </c>
      <c r="I7">
        <f>AVERAGE(TableNFO[DIFF])/10</f>
        <v>0.37170132600582118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136</v>
      </c>
      <c r="B2">
        <v>21.42857142857142</v>
      </c>
      <c r="C2">
        <v>22.8125</v>
      </c>
      <c r="D2">
        <f>TableSHU[[#This Row],[ARIMAPP]]*$I$2+TableSHU[[#This Row],[LSTMPP]]*$I$3</f>
        <v>26.750432926701304</v>
      </c>
      <c r="E2">
        <v>30</v>
      </c>
      <c r="F2">
        <f>ABS(TableSHU[[#This Row],[PP]]-TableSHU[[#This Row],[AP]])</f>
        <v>3.2495670732986959</v>
      </c>
      <c r="H2" t="s">
        <v>0</v>
      </c>
      <c r="I2">
        <v>9.6701269299999995E-8</v>
      </c>
    </row>
    <row r="3" spans="1:9" x14ac:dyDescent="0.2">
      <c r="A3" t="s">
        <v>137</v>
      </c>
      <c r="B3">
        <v>18.64932003749399</v>
      </c>
      <c r="C3">
        <v>23.63636363636364</v>
      </c>
      <c r="D3">
        <f>TableSHU[[#This Row],[ARIMAPP]]*$I$2+TableSHU[[#This Row],[LSTMPP]]*$I$3</f>
        <v>27.716512975231105</v>
      </c>
      <c r="E3">
        <v>37</v>
      </c>
      <c r="F3">
        <f>ABS(TableSHU[[#This Row],[PP]]-TableSHU[[#This Row],[AP]])</f>
        <v>9.2834870247688954</v>
      </c>
      <c r="H3" t="s">
        <v>1</v>
      </c>
      <c r="I3">
        <v>1.1726216265</v>
      </c>
    </row>
    <row r="4" spans="1:9" x14ac:dyDescent="0.2">
      <c r="A4" t="s">
        <v>138</v>
      </c>
      <c r="B4">
        <v>17.333333298189899</v>
      </c>
      <c r="C4">
        <v>22.5</v>
      </c>
      <c r="D4">
        <f>TableSHU[[#This Row],[ARIMAPP]]*$I$2+TableSHU[[#This Row],[LSTMPP]]*$I$3</f>
        <v>26.383988272405333</v>
      </c>
      <c r="E4">
        <v>31</v>
      </c>
      <c r="F4">
        <f>ABS(TableSHU[[#This Row],[PP]]-TableSHU[[#This Row],[AP]])</f>
        <v>4.6160117275946675</v>
      </c>
    </row>
    <row r="5" spans="1:9" x14ac:dyDescent="0.2">
      <c r="A5" t="s">
        <v>139</v>
      </c>
      <c r="B5">
        <v>21.333333333333329</v>
      </c>
      <c r="C5">
        <v>25</v>
      </c>
      <c r="D5">
        <f>TableSHU[[#This Row],[ARIMAPP]]*$I$2+TableSHU[[#This Row],[LSTMPP]]*$I$3</f>
        <v>29.315542725460414</v>
      </c>
      <c r="E5">
        <v>26</v>
      </c>
      <c r="F5">
        <f>ABS(TableSHU[[#This Row],[PP]]-TableSHU[[#This Row],[AP]])</f>
        <v>3.3155427254604142</v>
      </c>
      <c r="H5" t="s">
        <v>2</v>
      </c>
      <c r="I5">
        <f>SUM(ABS(TableSHU[[#This Row],[PP]]-TableSHU[[#This Row],[AP]]))</f>
        <v>3.3155427254604142</v>
      </c>
    </row>
    <row r="6" spans="1:9" x14ac:dyDescent="0.2">
      <c r="A6" t="s">
        <v>140</v>
      </c>
      <c r="B6">
        <v>27.142857142857149</v>
      </c>
      <c r="C6">
        <v>29.54545454545454</v>
      </c>
      <c r="D6">
        <f>TableSHU[[#This Row],[ARIMAPP]]*$I$2+TableSHU[[#This Row],[LSTMPP]]*$I$3</f>
        <v>34.64564158952146</v>
      </c>
      <c r="E6">
        <v>24</v>
      </c>
      <c r="F6">
        <f>ABS(TableSHU[[#This Row],[PP]]-TableSHU[[#This Row],[AP]])</f>
        <v>10.64564158952146</v>
      </c>
    </row>
    <row r="7" spans="1:9" x14ac:dyDescent="0.2">
      <c r="H7" t="s">
        <v>3</v>
      </c>
      <c r="I7">
        <f>AVERAGE(TableSHU[DIFF])/10</f>
        <v>0.62220500281288271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141</v>
      </c>
      <c r="B2">
        <v>26.703666079022941</v>
      </c>
      <c r="C2">
        <v>35.265151515151523</v>
      </c>
      <c r="D2">
        <f>TableTOT[[#This Row],[ARIMAPP]]*$I$2+TableTOT[[#This Row],[LSTMPP]]*$I$3</f>
        <v>44.073056648780309</v>
      </c>
      <c r="E2">
        <v>75</v>
      </c>
      <c r="F2">
        <f>ABS(TableTOT[[#This Row],[PP]]-TableTOT[[#This Row],[AP]])</f>
        <v>30.926943351219691</v>
      </c>
      <c r="H2" t="s">
        <v>0</v>
      </c>
      <c r="I2">
        <v>0</v>
      </c>
    </row>
    <row r="3" spans="1:9" x14ac:dyDescent="0.2">
      <c r="A3" t="s">
        <v>142</v>
      </c>
      <c r="B3">
        <v>31.428571428571431</v>
      </c>
      <c r="C3">
        <v>27.27272727272727</v>
      </c>
      <c r="D3">
        <f>TableTOT[[#This Row],[ARIMAPP]]*$I$2+TableTOT[[#This Row],[LSTMPP]]*$I$3</f>
        <v>34.084426194545451</v>
      </c>
      <c r="E3">
        <v>20</v>
      </c>
      <c r="F3">
        <f>ABS(TableTOT[[#This Row],[PP]]-TableTOT[[#This Row],[AP]])</f>
        <v>14.084426194545451</v>
      </c>
      <c r="H3" t="s">
        <v>1</v>
      </c>
      <c r="I3">
        <v>1.2497622937999999</v>
      </c>
    </row>
    <row r="4" spans="1:9" x14ac:dyDescent="0.2">
      <c r="A4" t="s">
        <v>143</v>
      </c>
      <c r="B4">
        <v>39.203093532350373</v>
      </c>
      <c r="C4">
        <v>40.736239931133838</v>
      </c>
      <c r="D4">
        <f>TableTOT[[#This Row],[ARIMAPP]]*$I$2+TableTOT[[#This Row],[LSTMPP]]*$I$3</f>
        <v>50.910616657120976</v>
      </c>
      <c r="E4">
        <v>44</v>
      </c>
      <c r="F4">
        <f>ABS(TableTOT[[#This Row],[PP]]-TableTOT[[#This Row],[AP]])</f>
        <v>6.9106166571209755</v>
      </c>
    </row>
    <row r="5" spans="1:9" x14ac:dyDescent="0.2">
      <c r="A5" t="s">
        <v>144</v>
      </c>
      <c r="B5">
        <v>30</v>
      </c>
      <c r="C5">
        <v>29.743589743589741</v>
      </c>
      <c r="D5">
        <f>TableTOT[[#This Row],[ARIMAPP]]*$I$2+TableTOT[[#This Row],[LSTMPP]]*$I$3</f>
        <v>37.172416943794865</v>
      </c>
      <c r="E5">
        <v>40</v>
      </c>
      <c r="F5">
        <f>ABS(TableTOT[[#This Row],[PP]]-TableTOT[[#This Row],[AP]])</f>
        <v>2.8275830562051354</v>
      </c>
      <c r="H5" t="s">
        <v>2</v>
      </c>
      <c r="I5">
        <f>SUM(ABS(TableTOT[[#This Row],[PP]]-TableTOT[[#This Row],[AP]]))</f>
        <v>2.8275830562051354</v>
      </c>
    </row>
    <row r="6" spans="1:9" x14ac:dyDescent="0.2">
      <c r="A6" t="s">
        <v>145</v>
      </c>
      <c r="B6">
        <v>49.361702127659562</v>
      </c>
      <c r="C6">
        <v>40.642988871823889</v>
      </c>
      <c r="D6">
        <f>TableTOT[[#This Row],[ARIMAPP]]*$I$2+TableTOT[[#This Row],[LSTMPP]]*$I$3</f>
        <v>50.794074999338491</v>
      </c>
      <c r="E6">
        <v>60</v>
      </c>
      <c r="F6">
        <f>ABS(TableTOT[[#This Row],[PP]]-TableTOT[[#This Row],[AP]])</f>
        <v>9.2059250006615088</v>
      </c>
    </row>
    <row r="7" spans="1:9" x14ac:dyDescent="0.2">
      <c r="A7" t="s">
        <v>146</v>
      </c>
      <c r="B7">
        <v>21.36363636363636</v>
      </c>
      <c r="C7">
        <v>23.82352941176471</v>
      </c>
      <c r="D7">
        <f>TableTOT[[#This Row],[ARIMAPP]]*$I$2+TableTOT[[#This Row],[LSTMPP]]*$I$3</f>
        <v>29.773748764058826</v>
      </c>
      <c r="E7">
        <v>31</v>
      </c>
      <c r="F7">
        <f>ABS(TableTOT[[#This Row],[PP]]-TableTOT[[#This Row],[AP]])</f>
        <v>1.2262512359411737</v>
      </c>
      <c r="H7" t="s">
        <v>3</v>
      </c>
      <c r="I7">
        <f>AVERAGE(TableTOT[DIFF])/10</f>
        <v>1.0295839132714668</v>
      </c>
    </row>
    <row r="8" spans="1:9" x14ac:dyDescent="0.2">
      <c r="A8" t="s">
        <v>147</v>
      </c>
      <c r="B8">
        <v>38.928571428571423</v>
      </c>
      <c r="C8">
        <v>34.778738631931247</v>
      </c>
      <c r="D8">
        <f>TableTOT[[#This Row],[ARIMAPP]]*$I$2+TableTOT[[#This Row],[LSTMPP]]*$I$3</f>
        <v>43.465156168113069</v>
      </c>
      <c r="E8">
        <v>37</v>
      </c>
      <c r="F8">
        <f>ABS(TableTOT[[#This Row],[PP]]-TableTOT[[#This Row],[AP]])</f>
        <v>6.4651561681130687</v>
      </c>
    </row>
    <row r="9" spans="1:9" x14ac:dyDescent="0.2">
      <c r="A9" t="s">
        <v>148</v>
      </c>
      <c r="B9">
        <v>30.023931474629979</v>
      </c>
      <c r="C9">
        <v>33.125</v>
      </c>
      <c r="D9">
        <f>TableTOT[[#This Row],[ARIMAPP]]*$I$2+TableTOT[[#This Row],[LSTMPP]]*$I$3</f>
        <v>41.398375982124996</v>
      </c>
      <c r="E9">
        <v>34</v>
      </c>
      <c r="F9">
        <f>ABS(TableTOT[[#This Row],[PP]]-TableTOT[[#This Row],[AP]])</f>
        <v>7.3983759821249961</v>
      </c>
    </row>
    <row r="10" spans="1:9" x14ac:dyDescent="0.2">
      <c r="A10" t="s">
        <v>149</v>
      </c>
      <c r="B10">
        <v>34.666666666666679</v>
      </c>
      <c r="C10">
        <v>32.5</v>
      </c>
      <c r="D10">
        <f>TableTOT[[#This Row],[ARIMAPP]]*$I$2+TableTOT[[#This Row],[LSTMPP]]*$I$3</f>
        <v>40.617274548499999</v>
      </c>
      <c r="E10">
        <v>27</v>
      </c>
      <c r="F10">
        <f>ABS(TableTOT[[#This Row],[PP]]-TableTOT[[#This Row],[AP]])</f>
        <v>13.617274548499999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150</v>
      </c>
      <c r="B2">
        <v>38.277185496644087</v>
      </c>
      <c r="C2">
        <v>33.435374149659857</v>
      </c>
      <c r="D2">
        <f>TableWHU[[#This Row],[ARIMAPP]]*$I$2+TableWHU[[#This Row],[LSTMPP]]*$I$3</f>
        <v>40.824514261336461</v>
      </c>
      <c r="E2">
        <v>42</v>
      </c>
      <c r="F2">
        <f>ABS(TableWHU[[#This Row],[PP]]-TableWHU[[#This Row],[AP]])</f>
        <v>1.1754857386635393</v>
      </c>
      <c r="H2" t="s">
        <v>0</v>
      </c>
      <c r="I2">
        <v>1.6687520934000001E-7</v>
      </c>
    </row>
    <row r="3" spans="1:9" x14ac:dyDescent="0.2">
      <c r="A3" t="s">
        <v>151</v>
      </c>
      <c r="B3">
        <v>17.142857142857139</v>
      </c>
      <c r="C3">
        <v>23.4</v>
      </c>
      <c r="D3">
        <f>TableWHU[[#This Row],[ARIMAPP]]*$I$2+TableWHU[[#This Row],[LSTMPP]]*$I$3</f>
        <v>28.571344098637869</v>
      </c>
      <c r="E3">
        <v>45</v>
      </c>
      <c r="F3">
        <f>ABS(TableWHU[[#This Row],[PP]]-TableWHU[[#This Row],[AP]])</f>
        <v>16.428655901362131</v>
      </c>
      <c r="H3" t="s">
        <v>1</v>
      </c>
      <c r="I3">
        <v>1.2209974887999999</v>
      </c>
    </row>
    <row r="4" spans="1:9" x14ac:dyDescent="0.2">
      <c r="A4" t="s">
        <v>152</v>
      </c>
      <c r="B4">
        <v>44.779411764705863</v>
      </c>
      <c r="C4">
        <v>42.636119535392147</v>
      </c>
      <c r="D4">
        <f>TableWHU[[#This Row],[ARIMAPP]]*$I$2+TableWHU[[#This Row],[LSTMPP]]*$I$3</f>
        <v>52.058602357464146</v>
      </c>
      <c r="E4">
        <v>54</v>
      </c>
      <c r="F4">
        <f>ABS(TableWHU[[#This Row],[PP]]-TableWHU[[#This Row],[AP]])</f>
        <v>1.9413976425358541</v>
      </c>
    </row>
    <row r="5" spans="1:9" x14ac:dyDescent="0.2">
      <c r="A5" t="s">
        <v>153</v>
      </c>
      <c r="B5">
        <v>30.96153846153846</v>
      </c>
      <c r="C5">
        <v>31.341463414634141</v>
      </c>
      <c r="D5">
        <f>TableWHU[[#This Row],[ARIMAPP]]*$I$2+TableWHU[[#This Row],[LSTMPP]]*$I$3</f>
        <v>38.267853291298572</v>
      </c>
      <c r="E5">
        <v>43</v>
      </c>
      <c r="F5">
        <f>ABS(TableWHU[[#This Row],[PP]]-TableWHU[[#This Row],[AP]])</f>
        <v>4.7321467087014284</v>
      </c>
      <c r="H5" t="s">
        <v>2</v>
      </c>
      <c r="I5">
        <f>SUM(ABS(TableWHU[[#This Row],[PP]]-TableWHU[[#This Row],[AP]]))</f>
        <v>4.7321467087014284</v>
      </c>
    </row>
    <row r="6" spans="1:9" x14ac:dyDescent="0.2">
      <c r="A6" t="s">
        <v>154</v>
      </c>
      <c r="B6">
        <v>33.714285714285708</v>
      </c>
      <c r="C6">
        <v>36.416595737011107</v>
      </c>
      <c r="D6">
        <f>TableWHU[[#This Row],[ARIMAPP]]*$I$2+TableWHU[[#This Row],[LSTMPP]]*$I$3</f>
        <v>44.46457757161383</v>
      </c>
      <c r="E6">
        <v>40</v>
      </c>
      <c r="F6">
        <f>ABS(TableWHU[[#This Row],[PP]]-TableWHU[[#This Row],[AP]])</f>
        <v>4.4645775716138303</v>
      </c>
    </row>
    <row r="7" spans="1:9" x14ac:dyDescent="0.2">
      <c r="A7" t="s">
        <v>155</v>
      </c>
      <c r="B7">
        <v>30</v>
      </c>
      <c r="C7">
        <v>32.18270506738606</v>
      </c>
      <c r="D7">
        <f>TableWHU[[#This Row],[ARIMAPP]]*$I$2+TableWHU[[#This Row],[LSTMPP]]*$I$3</f>
        <v>39.295007076325689</v>
      </c>
      <c r="E7">
        <v>24</v>
      </c>
      <c r="F7">
        <f>ABS(TableWHU[[#This Row],[PP]]-TableWHU[[#This Row],[AP]])</f>
        <v>15.295007076325689</v>
      </c>
      <c r="H7" t="s">
        <v>3</v>
      </c>
      <c r="I7">
        <f>AVERAGE(TableWHU[DIFF])/10</f>
        <v>0.73395451065337458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25.327224380885099</v>
      </c>
      <c r="C2">
        <v>32.856103111086817</v>
      </c>
      <c r="D2">
        <f>TableAVL[[#This Row],[ARIMAPP]]*$I$2+TableAVL[[#This Row],[LSTMPP]]*$I$3</f>
        <v>28.809338298730438</v>
      </c>
      <c r="E2">
        <v>26</v>
      </c>
      <c r="F2">
        <f>ABS(TableAVL[[#This Row],[PP]]-TableAVL[[#This Row],[AP]])</f>
        <v>2.8093382987304381</v>
      </c>
      <c r="H2" t="s">
        <v>0</v>
      </c>
      <c r="I2">
        <v>0.85365521294000002</v>
      </c>
    </row>
    <row r="3" spans="1:9" x14ac:dyDescent="0.2">
      <c r="A3" t="s">
        <v>23</v>
      </c>
      <c r="B3">
        <v>20.722287468016589</v>
      </c>
      <c r="C3">
        <v>35.620096707731243</v>
      </c>
      <c r="D3">
        <f>TableAVL[[#This Row],[ARIMAPP]]*$I$2+TableAVL[[#This Row],[LSTMPP]]*$I$3</f>
        <v>25.483046948749099</v>
      </c>
      <c r="E3">
        <v>31</v>
      </c>
      <c r="F3">
        <f>ABS(TableAVL[[#This Row],[PP]]-TableAVL[[#This Row],[AP]])</f>
        <v>5.5169530512509013</v>
      </c>
      <c r="H3" t="s">
        <v>1</v>
      </c>
      <c r="I3">
        <v>0.21879104629000001</v>
      </c>
    </row>
    <row r="4" spans="1:9" x14ac:dyDescent="0.2">
      <c r="A4" t="s">
        <v>24</v>
      </c>
      <c r="B4">
        <v>58.094902851356757</v>
      </c>
      <c r="C4">
        <v>27.584745762711869</v>
      </c>
      <c r="D4">
        <f>TableAVL[[#This Row],[ARIMAPP]]*$I$2+TableAVL[[#This Row],[LSTMPP]]*$I$3</f>
        <v>55.628312051370941</v>
      </c>
      <c r="E4">
        <v>58</v>
      </c>
      <c r="F4">
        <f>ABS(TableAVL[[#This Row],[PP]]-TableAVL[[#This Row],[AP]])</f>
        <v>2.3716879486290594</v>
      </c>
    </row>
    <row r="5" spans="1:9" x14ac:dyDescent="0.2">
      <c r="A5" t="s">
        <v>25</v>
      </c>
      <c r="B5">
        <v>30.62937062937063</v>
      </c>
      <c r="C5">
        <v>29.956140350877192</v>
      </c>
      <c r="D5">
        <f>TableAVL[[#This Row],[ARIMAPP]]*$I$2+TableAVL[[#This Row],[LSTMPP]]*$I$3</f>
        <v>32.701057197012076</v>
      </c>
      <c r="E5">
        <v>33</v>
      </c>
      <c r="F5">
        <f>ABS(TableAVL[[#This Row],[PP]]-TableAVL[[#This Row],[AP]])</f>
        <v>0.29894280298792353</v>
      </c>
      <c r="H5" t="s">
        <v>2</v>
      </c>
      <c r="I5">
        <f>SUM(ABS(TableAVL[[#This Row],[PP]]-TableAVL[[#This Row],[AP]]))</f>
        <v>0.29894280298792353</v>
      </c>
    </row>
    <row r="6" spans="1:9" x14ac:dyDescent="0.2">
      <c r="A6" t="s">
        <v>26</v>
      </c>
      <c r="B6">
        <v>28.296296296296291</v>
      </c>
      <c r="C6">
        <v>28.472222222222221</v>
      </c>
      <c r="D6">
        <f>TableAVL[[#This Row],[ARIMAPP]]*$I$2+TableAVL[[#This Row],[LSTMPP]]*$I$3</f>
        <v>30.384748130429532</v>
      </c>
      <c r="E6">
        <v>26</v>
      </c>
      <c r="F6">
        <f>ABS(TableAVL[[#This Row],[PP]]-TableAVL[[#This Row],[AP]])</f>
        <v>4.3847481304295322</v>
      </c>
    </row>
    <row r="7" spans="1:9" x14ac:dyDescent="0.2">
      <c r="A7" t="s">
        <v>27</v>
      </c>
      <c r="B7">
        <v>45.37815126050419</v>
      </c>
      <c r="C7">
        <v>43.927870834412701</v>
      </c>
      <c r="D7">
        <f>TableAVL[[#This Row],[ARIMAPP]]*$I$2+TableAVL[[#This Row],[LSTMPP]]*$I$3</f>
        <v>48.348320198262364</v>
      </c>
      <c r="E7">
        <v>71</v>
      </c>
      <c r="F7">
        <f>ABS(TableAVL[[#This Row],[PP]]-TableAVL[[#This Row],[AP]])</f>
        <v>22.651679801737636</v>
      </c>
      <c r="H7" t="s">
        <v>3</v>
      </c>
      <c r="I7">
        <f>AVERAGE(TableAVL[DIFF])/10</f>
        <v>0.99350052185699922</v>
      </c>
    </row>
    <row r="8" spans="1:9" x14ac:dyDescent="0.2">
      <c r="A8" t="s">
        <v>28</v>
      </c>
      <c r="B8">
        <v>30.46875</v>
      </c>
      <c r="C8">
        <v>29.00003494467969</v>
      </c>
      <c r="D8">
        <f>TableAVL[[#This Row],[ARIMAPP]]*$I$2+TableAVL[[#This Row],[LSTMPP]]*$I$3</f>
        <v>32.35475525725866</v>
      </c>
      <c r="E8">
        <v>48</v>
      </c>
      <c r="F8">
        <f>ABS(TableAVL[[#This Row],[PP]]-TableAVL[[#This Row],[AP]])</f>
        <v>15.64524474274134</v>
      </c>
    </row>
    <row r="9" spans="1:9" x14ac:dyDescent="0.2">
      <c r="A9" t="s">
        <v>29</v>
      </c>
      <c r="B9">
        <v>35.800000000000011</v>
      </c>
      <c r="C9">
        <v>32</v>
      </c>
      <c r="D9">
        <f>TableAVL[[#This Row],[ARIMAPP]]*$I$2+TableAVL[[#This Row],[LSTMPP]]*$I$3</f>
        <v>37.562170104532015</v>
      </c>
      <c r="E9">
        <v>30</v>
      </c>
      <c r="F9">
        <f>ABS(TableAVL[[#This Row],[PP]]-TableAVL[[#This Row],[AP]])</f>
        <v>7.5621701045320151</v>
      </c>
    </row>
    <row r="10" spans="1:9" x14ac:dyDescent="0.2">
      <c r="A10" t="s">
        <v>30</v>
      </c>
      <c r="B10">
        <v>46.137648976507201</v>
      </c>
      <c r="C10">
        <v>44.739662296442283</v>
      </c>
      <c r="D10">
        <f>TableAVL[[#This Row],[ARIMAPP]]*$I$2+TableAVL[[#This Row],[LSTMPP]]*$I$3</f>
        <v>49.174282086091097</v>
      </c>
      <c r="E10">
        <v>21</v>
      </c>
      <c r="F10">
        <f>ABS(TableAVL[[#This Row],[PP]]-TableAVL[[#This Row],[AP]])</f>
        <v>28.174282086091097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2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156</v>
      </c>
      <c r="B2">
        <v>20.575896762408849</v>
      </c>
      <c r="C2">
        <v>25.241935483870961</v>
      </c>
      <c r="D2">
        <f>TableWOL[[#This Row],[ARIMAPP]]*$I$2+TableWOL[[#This Row],[LSTMPP]]*$I$3</f>
        <v>30.332385729898846</v>
      </c>
      <c r="E2">
        <v>35</v>
      </c>
      <c r="F2">
        <f>ABS(TableWOL[[#This Row],[PP]]-TableWOL[[#This Row],[AP]])</f>
        <v>4.6676142701011543</v>
      </c>
      <c r="H2" t="s">
        <v>0</v>
      </c>
      <c r="I2">
        <v>0.66959318299000004</v>
      </c>
    </row>
    <row r="3" spans="1:9" x14ac:dyDescent="0.2">
      <c r="A3" t="s">
        <v>157</v>
      </c>
      <c r="B3">
        <v>29.708737864077651</v>
      </c>
      <c r="C3">
        <v>30.243902439024389</v>
      </c>
      <c r="D3">
        <f>TableWOL[[#This Row],[ARIMAPP]]*$I$2+TableWOL[[#This Row],[LSTMPP]]*$I$3</f>
        <v>39.728210360652554</v>
      </c>
      <c r="E3">
        <v>38</v>
      </c>
      <c r="F3">
        <f>ABS(TableWOL[[#This Row],[PP]]-TableWOL[[#This Row],[AP]])</f>
        <v>1.7282103606525538</v>
      </c>
      <c r="H3" t="s">
        <v>1</v>
      </c>
      <c r="I3">
        <v>0.65584929232</v>
      </c>
    </row>
    <row r="4" spans="1:9" x14ac:dyDescent="0.2">
      <c r="A4" t="s">
        <v>158</v>
      </c>
      <c r="B4">
        <v>26.10188148996118</v>
      </c>
      <c r="C4">
        <v>28.10940592435766</v>
      </c>
      <c r="D4">
        <f>TableWOL[[#This Row],[ARIMAPP]]*$I$2+TableWOL[[#This Row],[LSTMPP]]*$I$3</f>
        <v>35.913175891916453</v>
      </c>
      <c r="E4">
        <v>42</v>
      </c>
      <c r="F4">
        <f>ABS(TableWOL[[#This Row],[PP]]-TableWOL[[#This Row],[AP]])</f>
        <v>6.0868241080835475</v>
      </c>
    </row>
    <row r="5" spans="1:9" x14ac:dyDescent="0.2">
      <c r="A5" t="s">
        <v>159</v>
      </c>
      <c r="B5">
        <v>28.130841121495308</v>
      </c>
      <c r="C5">
        <v>29.764705882352938</v>
      </c>
      <c r="D5">
        <f>TableWOL[[#This Row],[ARIMAPP]]*$I$2+TableWOL[[#This Row],[LSTMPP]]*$I$3</f>
        <v>38.357380735782144</v>
      </c>
      <c r="E5">
        <v>25</v>
      </c>
      <c r="F5">
        <f>ABS(TableWOL[[#This Row],[PP]]-TableWOL[[#This Row],[AP]])</f>
        <v>13.357380735782144</v>
      </c>
      <c r="H5" t="s">
        <v>2</v>
      </c>
      <c r="I5">
        <f>SUM(ABS(TableWOL[[#This Row],[PP]]-TableWOL[[#This Row],[AP]]))</f>
        <v>13.357380735782144</v>
      </c>
    </row>
    <row r="6" spans="1:9" x14ac:dyDescent="0.2">
      <c r="A6" t="s">
        <v>160</v>
      </c>
      <c r="B6">
        <v>39.777332120480118</v>
      </c>
      <c r="C6">
        <v>34.924242424242422</v>
      </c>
      <c r="D6">
        <f>TableWOL[[#This Row],[ARIMAPP]]*$I$2+TableWOL[[#This Row],[LSTMPP]]*$I$3</f>
        <v>49.539670104154169</v>
      </c>
      <c r="E6">
        <v>36</v>
      </c>
      <c r="F6">
        <f>ABS(TableWOL[[#This Row],[PP]]-TableWOL[[#This Row],[AP]])</f>
        <v>13.539670104154169</v>
      </c>
    </row>
    <row r="7" spans="1:9" x14ac:dyDescent="0.2">
      <c r="A7" t="s">
        <v>161</v>
      </c>
      <c r="B7">
        <v>23.235294117647062</v>
      </c>
      <c r="C7">
        <v>24.81481481481481</v>
      </c>
      <c r="D7">
        <f>TableWOL[[#This Row],[ARIMAPP]]*$I$2+TableWOL[[#This Row],[LSTMPP]]*$I$3</f>
        <v>31.832973281292269</v>
      </c>
      <c r="E7">
        <v>28</v>
      </c>
      <c r="F7">
        <f>ABS(TableWOL[[#This Row],[PP]]-TableWOL[[#This Row],[AP]])</f>
        <v>3.8329732812922686</v>
      </c>
      <c r="H7" t="s">
        <v>3</v>
      </c>
      <c r="I7">
        <f>AVERAGE(TableWOL[DIFF])/10</f>
        <v>0.65731793830741048</v>
      </c>
    </row>
    <row r="8" spans="1:9" x14ac:dyDescent="0.2">
      <c r="A8" t="s">
        <v>162</v>
      </c>
      <c r="B8">
        <v>46.641307192213262</v>
      </c>
      <c r="C8">
        <v>26.774193548387089</v>
      </c>
      <c r="D8">
        <f>TableWOL[[#This Row],[ARIMAPP]]*$I$2+TableWOL[[#This Row],[LSTMPP]]*$I$3</f>
        <v>48.790537232796837</v>
      </c>
      <c r="E8">
        <v>49</v>
      </c>
      <c r="F8">
        <f>ABS(TableWOL[[#This Row],[PP]]-TableWOL[[#This Row],[AP]])</f>
        <v>0.20946276720316348</v>
      </c>
    </row>
    <row r="9" spans="1:9" x14ac:dyDescent="0.2">
      <c r="A9" t="s">
        <v>163</v>
      </c>
      <c r="B9">
        <v>16.060606060606052</v>
      </c>
      <c r="C9">
        <v>23.65384615384616</v>
      </c>
      <c r="D9">
        <f>TableWOL[[#This Row],[ARIMAPP]]*$I$2+TableWOL[[#This Row],[LSTMPP]]*$I$3</f>
        <v>26.267430593515847</v>
      </c>
      <c r="E9">
        <v>35</v>
      </c>
      <c r="F9">
        <f>ABS(TableWOL[[#This Row],[PP]]-TableWOL[[#This Row],[AP]])</f>
        <v>8.7325694064841528</v>
      </c>
    </row>
    <row r="10" spans="1:9" x14ac:dyDescent="0.2">
      <c r="A10" t="s">
        <v>164</v>
      </c>
      <c r="B10">
        <v>41.020070406774572</v>
      </c>
      <c r="C10">
        <v>26.666666666666671</v>
      </c>
      <c r="D10">
        <f>TableWOL[[#This Row],[ARIMAPP]]*$I$2+TableWOL[[#This Row],[LSTMPP]]*$I$3</f>
        <v>44.95607397201276</v>
      </c>
      <c r="E10">
        <v>57</v>
      </c>
      <c r="F10">
        <f>ABS(TableWOL[[#This Row],[PP]]-TableWOL[[#This Row],[AP]])</f>
        <v>12.04392602798724</v>
      </c>
    </row>
    <row r="11" spans="1:9" x14ac:dyDescent="0.2">
      <c r="A11" t="s">
        <v>165</v>
      </c>
      <c r="B11">
        <v>45.695769740749583</v>
      </c>
      <c r="C11">
        <v>21.5625</v>
      </c>
      <c r="D11">
        <f>TableWOL[[#This Row],[ARIMAPP]]*$I$2+TableWOL[[#This Row],[LSTMPP]]*$I$3</f>
        <v>44.739326275536641</v>
      </c>
      <c r="E11">
        <v>45</v>
      </c>
      <c r="F11">
        <f>ABS(TableWOL[[#This Row],[PP]]-TableWOL[[#This Row],[AP]])</f>
        <v>0.26067372446335924</v>
      </c>
    </row>
    <row r="12" spans="1:9" x14ac:dyDescent="0.2">
      <c r="A12" t="s">
        <v>166</v>
      </c>
      <c r="B12">
        <v>18.333333333333339</v>
      </c>
      <c r="C12">
        <v>24.21052631578948</v>
      </c>
      <c r="D12">
        <f>TableWOL[[#This Row],[ARIMAPP]]*$I$2+TableWOL[[#This Row],[LSTMPP]]*$I$3</f>
        <v>28.154331572388607</v>
      </c>
      <c r="E12">
        <v>36</v>
      </c>
      <c r="F12">
        <f>ABS(TableWOL[[#This Row],[PP]]-TableWOL[[#This Row],[AP]])</f>
        <v>7.8456684276113933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>
      <selection activeCell="I3" sqref="H2: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31</v>
      </c>
      <c r="B2">
        <v>22.08791208791208</v>
      </c>
      <c r="C2">
        <v>26.527777777777779</v>
      </c>
      <c r="D2">
        <f>TableBOU[[#This Row],[ARIMAPP]]*$I$2+TableBOU[[#This Row],[LSTMPP]]*$I$3</f>
        <v>26.917828860857135</v>
      </c>
      <c r="E2">
        <v>30</v>
      </c>
      <c r="F2">
        <f>ABS(TableBOU[[#This Row],[PP]]-TableBOU[[#This Row],[AP]])</f>
        <v>3.082171139142865</v>
      </c>
      <c r="H2" t="s">
        <v>0</v>
      </c>
      <c r="I2">
        <v>1.2186678738000001</v>
      </c>
    </row>
    <row r="3" spans="1:9" x14ac:dyDescent="0.2">
      <c r="A3" t="s">
        <v>32</v>
      </c>
      <c r="B3">
        <v>42.882886344089307</v>
      </c>
      <c r="C3">
        <v>28.309859154929569</v>
      </c>
      <c r="D3">
        <f>TableBOU[[#This Row],[ARIMAPP]]*$I$2+TableBOU[[#This Row],[LSTMPP]]*$I$3</f>
        <v>52.259995923358375</v>
      </c>
      <c r="E3">
        <v>62</v>
      </c>
      <c r="F3">
        <f>ABS(TableBOU[[#This Row],[PP]]-TableBOU[[#This Row],[AP]])</f>
        <v>9.7400040766416254</v>
      </c>
      <c r="H3" t="s">
        <v>1</v>
      </c>
      <c r="I3">
        <v>0</v>
      </c>
    </row>
    <row r="4" spans="1:9" x14ac:dyDescent="0.2">
      <c r="A4" t="s">
        <v>33</v>
      </c>
      <c r="B4">
        <v>37.352941176470587</v>
      </c>
      <c r="C4">
        <v>36.266988397501343</v>
      </c>
      <c r="D4">
        <f>TableBOU[[#This Row],[ARIMAPP]]*$I$2+TableBOU[[#This Row],[LSTMPP]]*$I$3</f>
        <v>45.520829403705882</v>
      </c>
      <c r="E4">
        <v>31</v>
      </c>
      <c r="F4">
        <f>ABS(TableBOU[[#This Row],[PP]]-TableBOU[[#This Row],[AP]])</f>
        <v>14.520829403705882</v>
      </c>
    </row>
    <row r="5" spans="1:9" x14ac:dyDescent="0.2">
      <c r="A5" t="s">
        <v>34</v>
      </c>
      <c r="B5">
        <v>20.539512985232012</v>
      </c>
      <c r="C5">
        <v>26.212121212121211</v>
      </c>
      <c r="D5">
        <f>TableBOU[[#This Row],[ARIMAPP]]*$I$2+TableBOU[[#This Row],[LSTMPP]]*$I$3</f>
        <v>25.030844618600188</v>
      </c>
      <c r="E5">
        <v>52</v>
      </c>
      <c r="F5">
        <f>ABS(TableBOU[[#This Row],[PP]]-TableBOU[[#This Row],[AP]])</f>
        <v>26.969155381399812</v>
      </c>
      <c r="H5" t="s">
        <v>2</v>
      </c>
      <c r="I5">
        <f>SUM(ABS(TableBOU[[#This Row],[PP]]-TableBOU[[#This Row],[AP]]))</f>
        <v>26.969155381399812</v>
      </c>
    </row>
    <row r="6" spans="1:9" x14ac:dyDescent="0.2">
      <c r="A6" t="s">
        <v>35</v>
      </c>
      <c r="B6">
        <v>33.759683839654343</v>
      </c>
      <c r="C6">
        <v>54.876305334355237</v>
      </c>
      <c r="D6">
        <f>TableBOU[[#This Row],[ARIMAPP]]*$I$2+TableBOU[[#This Row],[LSTMPP]]*$I$3</f>
        <v>41.141842125031779</v>
      </c>
      <c r="E6">
        <v>32</v>
      </c>
      <c r="F6">
        <f>ABS(TableBOU[[#This Row],[PP]]-TableBOU[[#This Row],[AP]])</f>
        <v>9.1418421250317792</v>
      </c>
    </row>
    <row r="7" spans="1:9" x14ac:dyDescent="0.2">
      <c r="A7" t="s">
        <v>36</v>
      </c>
      <c r="B7">
        <v>25.714285714285701</v>
      </c>
      <c r="C7">
        <v>25</v>
      </c>
      <c r="D7">
        <f>TableBOU[[#This Row],[ARIMAPP]]*$I$2+TableBOU[[#This Row],[LSTMPP]]*$I$3</f>
        <v>31.337173897714273</v>
      </c>
      <c r="E7">
        <v>24</v>
      </c>
      <c r="F7">
        <f>ABS(TableBOU[[#This Row],[PP]]-TableBOU[[#This Row],[AP]])</f>
        <v>7.3371738977142726</v>
      </c>
      <c r="H7" t="s">
        <v>3</v>
      </c>
      <c r="I7">
        <f>AVERAGE(TableBOU[DIFF])/10</f>
        <v>1.1798529337272705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37</v>
      </c>
      <c r="B2">
        <v>22.168770580935149</v>
      </c>
      <c r="C2">
        <v>30.183486238532112</v>
      </c>
      <c r="D2">
        <f>TableBRE[[#This Row],[ARIMAPP]]*$I$2+TableBRE[[#This Row],[LSTMPP]]*$I$3</f>
        <v>29.12566232401835</v>
      </c>
      <c r="E2">
        <v>35</v>
      </c>
      <c r="F2">
        <f>ABS(TableBRE[[#This Row],[PP]]-TableBRE[[#This Row],[AP]])</f>
        <v>5.8743376759816499</v>
      </c>
      <c r="H2" t="s">
        <v>0</v>
      </c>
      <c r="I2">
        <v>0</v>
      </c>
    </row>
    <row r="3" spans="1:9" x14ac:dyDescent="0.2">
      <c r="A3" t="s">
        <v>38</v>
      </c>
      <c r="B3">
        <v>30.303030303030312</v>
      </c>
      <c r="C3">
        <v>29.51923076923077</v>
      </c>
      <c r="D3">
        <f>TableBRE[[#This Row],[ARIMAPP]]*$I$2+TableBRE[[#This Row],[LSTMPP]]*$I$3</f>
        <v>28.484686648019231</v>
      </c>
      <c r="E3">
        <v>23</v>
      </c>
      <c r="F3">
        <f>ABS(TableBRE[[#This Row],[PP]]-TableBRE[[#This Row],[AP]])</f>
        <v>5.4846866480192311</v>
      </c>
      <c r="H3" t="s">
        <v>1</v>
      </c>
      <c r="I3">
        <v>0.96495355419999995</v>
      </c>
    </row>
    <row r="4" spans="1:9" x14ac:dyDescent="0.2">
      <c r="A4" t="s">
        <v>39</v>
      </c>
      <c r="B4">
        <v>26.66666666666665</v>
      </c>
      <c r="C4">
        <v>27.177419354838719</v>
      </c>
      <c r="D4">
        <f>TableBRE[[#This Row],[ARIMAPP]]*$I$2+TableBRE[[#This Row],[LSTMPP]]*$I$3</f>
        <v>26.224947400435493</v>
      </c>
      <c r="E4">
        <v>21</v>
      </c>
      <c r="F4">
        <f>ABS(TableBRE[[#This Row],[PP]]-TableBRE[[#This Row],[AP]])</f>
        <v>5.224947400435493</v>
      </c>
    </row>
    <row r="5" spans="1:9" x14ac:dyDescent="0.2">
      <c r="A5" t="s">
        <v>40</v>
      </c>
      <c r="B5">
        <v>31.515655922449639</v>
      </c>
      <c r="C5">
        <v>28.083333333333329</v>
      </c>
      <c r="D5">
        <f>TableBRE[[#This Row],[ARIMAPP]]*$I$2+TableBRE[[#This Row],[LSTMPP]]*$I$3</f>
        <v>27.099112313783326</v>
      </c>
      <c r="E5">
        <v>25</v>
      </c>
      <c r="F5">
        <f>ABS(TableBRE[[#This Row],[PP]]-TableBRE[[#This Row],[AP]])</f>
        <v>2.0991123137833263</v>
      </c>
      <c r="H5" t="s">
        <v>2</v>
      </c>
      <c r="I5">
        <f>SUM(ABS(TableBRE[[#This Row],[PP]]-TableBRE[[#This Row],[AP]]))</f>
        <v>2.0991123137833263</v>
      </c>
    </row>
    <row r="6" spans="1:9" x14ac:dyDescent="0.2">
      <c r="A6" t="s">
        <v>41</v>
      </c>
      <c r="B6">
        <v>41.464153330603892</v>
      </c>
      <c r="C6">
        <v>27.627118644067789</v>
      </c>
      <c r="D6">
        <f>TableBRE[[#This Row],[ARIMAPP]]*$I$2+TableBRE[[#This Row],[LSTMPP]]*$I$3</f>
        <v>26.658886327898298</v>
      </c>
      <c r="E6">
        <v>23</v>
      </c>
      <c r="F6">
        <f>ABS(TableBRE[[#This Row],[PP]]-TableBRE[[#This Row],[AP]])</f>
        <v>3.6588863278982977</v>
      </c>
    </row>
    <row r="7" spans="1:9" x14ac:dyDescent="0.2">
      <c r="A7" t="s">
        <v>42</v>
      </c>
      <c r="B7">
        <v>14.73684207345574</v>
      </c>
      <c r="C7">
        <v>18</v>
      </c>
      <c r="D7">
        <f>TableBRE[[#This Row],[ARIMAPP]]*$I$2+TableBRE[[#This Row],[LSTMPP]]*$I$3</f>
        <v>17.369163975599999</v>
      </c>
      <c r="E7">
        <v>32</v>
      </c>
      <c r="F7">
        <f>ABS(TableBRE[[#This Row],[PP]]-TableBRE[[#This Row],[AP]])</f>
        <v>14.630836024400001</v>
      </c>
      <c r="H7" t="s">
        <v>3</v>
      </c>
      <c r="I7">
        <f>AVERAGE(TableBRE[DIFF])/10</f>
        <v>0.538787117801793</v>
      </c>
    </row>
    <row r="8" spans="1:9" x14ac:dyDescent="0.2">
      <c r="A8" t="s">
        <v>43</v>
      </c>
      <c r="B8">
        <v>29.285714285714288</v>
      </c>
      <c r="C8">
        <v>31.356647180265391</v>
      </c>
      <c r="D8">
        <f>TableBRE[[#This Row],[ARIMAPP]]*$I$2+TableBRE[[#This Row],[LSTMPP]]*$I$3</f>
        <v>30.257708144392495</v>
      </c>
      <c r="E8">
        <v>31</v>
      </c>
      <c r="F8">
        <f>ABS(TableBRE[[#This Row],[PP]]-TableBRE[[#This Row],[AP]])</f>
        <v>0.74229185560750466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44</v>
      </c>
      <c r="B2">
        <v>31.279069767441879</v>
      </c>
      <c r="C2">
        <v>31.021897810218981</v>
      </c>
      <c r="D2">
        <f>TableBHA[[#This Row],[ARIMAPP]]*$I$2+TableBHA[[#This Row],[LSTMPP]]*$I$3</f>
        <v>44.415449995101703</v>
      </c>
      <c r="E2">
        <v>42</v>
      </c>
      <c r="F2">
        <f>ABS(TableBHA[[#This Row],[PP]]-TableBHA[[#This Row],[AP]])</f>
        <v>2.415449995101703</v>
      </c>
      <c r="H2" t="s">
        <v>0</v>
      </c>
      <c r="I2">
        <v>1.0991567676</v>
      </c>
    </row>
    <row r="3" spans="1:9" x14ac:dyDescent="0.2">
      <c r="A3" t="s">
        <v>45</v>
      </c>
      <c r="B3">
        <v>35.283018867924532</v>
      </c>
      <c r="C3">
        <v>33.530483297055049</v>
      </c>
      <c r="D3">
        <f>TableBHA[[#This Row],[ARIMAPP]]*$I$2+TableBHA[[#This Row],[LSTMPP]]*$I$3</f>
        <v>49.627885701853337</v>
      </c>
      <c r="E3">
        <v>54</v>
      </c>
      <c r="F3">
        <f>ABS(TableBHA[[#This Row],[PP]]-TableBHA[[#This Row],[AP]])</f>
        <v>4.3721142981466627</v>
      </c>
      <c r="H3" t="s">
        <v>1</v>
      </c>
      <c r="I3">
        <v>0.32347630172000003</v>
      </c>
    </row>
    <row r="4" spans="1:9" x14ac:dyDescent="0.2">
      <c r="A4" t="s">
        <v>46</v>
      </c>
      <c r="B4">
        <v>29.525151917421979</v>
      </c>
      <c r="C4">
        <v>30.476190476190471</v>
      </c>
      <c r="D4">
        <f>TableBHA[[#This Row],[ARIMAPP]]*$I$2+TableBHA[[#This Row],[LSTMPP]]*$I$3</f>
        <v>42.311095930204864</v>
      </c>
      <c r="E4">
        <v>36</v>
      </c>
      <c r="F4">
        <f>ABS(TableBHA[[#This Row],[PP]]-TableBHA[[#This Row],[AP]])</f>
        <v>6.3110959302048641</v>
      </c>
    </row>
    <row r="5" spans="1:9" x14ac:dyDescent="0.2">
      <c r="A5" t="s">
        <v>47</v>
      </c>
      <c r="B5">
        <v>19.920099083028251</v>
      </c>
      <c r="C5">
        <v>25</v>
      </c>
      <c r="D5">
        <f>TableBHA[[#This Row],[ARIMAPP]]*$I$2+TableBHA[[#This Row],[LSTMPP]]*$I$3</f>
        <v>29.982219261373061</v>
      </c>
      <c r="E5">
        <v>41</v>
      </c>
      <c r="F5">
        <f>ABS(TableBHA[[#This Row],[PP]]-TableBHA[[#This Row],[AP]])</f>
        <v>11.017780738626939</v>
      </c>
      <c r="H5" t="s">
        <v>2</v>
      </c>
      <c r="I5">
        <f>SUM(ABS(TableBHA[[#This Row],[PP]]-TableBHA[[#This Row],[AP]]))</f>
        <v>11.017780738626939</v>
      </c>
    </row>
    <row r="6" spans="1:9" x14ac:dyDescent="0.2">
      <c r="A6" t="s">
        <v>48</v>
      </c>
      <c r="B6">
        <v>15.086647067872811</v>
      </c>
      <c r="C6">
        <v>45.19868438992188</v>
      </c>
      <c r="D6">
        <f>TableBHA[[#This Row],[ARIMAPP]]*$I$2+TableBHA[[#This Row],[LSTMPP]]*$I$3</f>
        <v>31.203293494106518</v>
      </c>
      <c r="E6">
        <v>30</v>
      </c>
      <c r="F6">
        <f>ABS(TableBHA[[#This Row],[PP]]-TableBHA[[#This Row],[AP]])</f>
        <v>1.2032934941065179</v>
      </c>
    </row>
    <row r="7" spans="1:9" x14ac:dyDescent="0.2">
      <c r="A7" t="s">
        <v>49</v>
      </c>
      <c r="B7">
        <v>21.666666666666661</v>
      </c>
      <c r="C7">
        <v>23.214285714285719</v>
      </c>
      <c r="D7">
        <f>TableBHA[[#This Row],[ARIMAPP]]*$I$2+TableBHA[[#This Row],[LSTMPP]]*$I$3</f>
        <v>31.324334587928568</v>
      </c>
      <c r="E7">
        <v>27</v>
      </c>
      <c r="F7">
        <f>ABS(TableBHA[[#This Row],[PP]]-TableBHA[[#This Row],[AP]])</f>
        <v>4.3243345879285684</v>
      </c>
      <c r="H7" t="s">
        <v>3</v>
      </c>
      <c r="I7">
        <f>AVERAGE(TableBHA[DIFF])/10</f>
        <v>0.49406781740192091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50</v>
      </c>
      <c r="B2">
        <v>22.61904761904762</v>
      </c>
      <c r="C2">
        <v>26.060606060606059</v>
      </c>
      <c r="D2">
        <f>TableBUR[[#This Row],[ARIMAPP]]*$I$2+TableBUR[[#This Row],[LSTMPP]]*$I$3</f>
        <v>22.030218857318829</v>
      </c>
      <c r="E2">
        <v>21</v>
      </c>
      <c r="F2">
        <f>ABS(TableBUR[[#This Row],[PP]]-TableBUR[[#This Row],[AP]])</f>
        <v>1.0302188573188289</v>
      </c>
      <c r="H2" t="s">
        <v>0</v>
      </c>
      <c r="I2">
        <v>0.75570225868999996</v>
      </c>
    </row>
    <row r="3" spans="1:9" x14ac:dyDescent="0.2">
      <c r="A3" t="s">
        <v>51</v>
      </c>
      <c r="B3">
        <v>31.895426795408898</v>
      </c>
      <c r="C3">
        <v>21.666666666666671</v>
      </c>
      <c r="D3">
        <f>TableBUR[[#This Row],[ARIMAPP]]*$I$2+TableBUR[[#This Row],[LSTMPP]]*$I$3</f>
        <v>28.208006233688721</v>
      </c>
      <c r="E3">
        <v>27</v>
      </c>
      <c r="F3">
        <f>ABS(TableBUR[[#This Row],[PP]]-TableBUR[[#This Row],[AP]])</f>
        <v>1.208006233688721</v>
      </c>
      <c r="H3" t="s">
        <v>1</v>
      </c>
      <c r="I3">
        <v>0.18944123827000001</v>
      </c>
    </row>
    <row r="4" spans="1:9" x14ac:dyDescent="0.2">
      <c r="A4" t="s">
        <v>52</v>
      </c>
      <c r="B4">
        <v>29.285714285714288</v>
      </c>
      <c r="C4">
        <v>25.11263055367019</v>
      </c>
      <c r="D4">
        <f>TableBUR[[#This Row],[ARIMAPP]]*$I$2+TableBUR[[#This Row],[LSTMPP]]*$I$3</f>
        <v>26.888648261368605</v>
      </c>
      <c r="E4">
        <v>29</v>
      </c>
      <c r="F4">
        <f>ABS(TableBUR[[#This Row],[PP]]-TableBUR[[#This Row],[AP]])</f>
        <v>2.1113517386313951</v>
      </c>
    </row>
    <row r="5" spans="1:9" x14ac:dyDescent="0.2">
      <c r="H5" t="s">
        <v>2</v>
      </c>
      <c r="I5" t="e">
        <f>SUM(ABS(TableBUR[[#This Row],[PP]]-TableBUR[[#This Row],[AP]]))</f>
        <v>#VALUE!</v>
      </c>
    </row>
    <row r="7" spans="1:9" x14ac:dyDescent="0.2">
      <c r="H7" t="s">
        <v>3</v>
      </c>
      <c r="I7">
        <f>AVERAGE(TableBUR[DIFF])/10</f>
        <v>0.14498589432129816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53</v>
      </c>
      <c r="B2">
        <v>46.00004742563997</v>
      </c>
      <c r="C2">
        <v>56.795667990046212</v>
      </c>
      <c r="D2">
        <f>TableCHE[[#This Row],[ARIMAPP]]*$I$2+TableCHE[[#This Row],[LSTMPP]]*$I$3</f>
        <v>51.07125344000498</v>
      </c>
      <c r="E2">
        <v>34</v>
      </c>
      <c r="F2">
        <f>ABS(TableCHE[[#This Row],[PP]]-TableCHE[[#This Row],[AP]])</f>
        <v>17.07125344000498</v>
      </c>
      <c r="H2" t="s">
        <v>0</v>
      </c>
      <c r="I2">
        <v>0.63898650125000001</v>
      </c>
    </row>
    <row r="3" spans="1:9" x14ac:dyDescent="0.2">
      <c r="A3" t="s">
        <v>54</v>
      </c>
      <c r="B3">
        <v>28.249931790573509</v>
      </c>
      <c r="C3">
        <v>27.965116279069768</v>
      </c>
      <c r="D3">
        <f>TableCHE[[#This Row],[ARIMAPP]]*$I$2+TableCHE[[#This Row],[LSTMPP]]*$I$3</f>
        <v>28.725086856529479</v>
      </c>
      <c r="E3">
        <v>31</v>
      </c>
      <c r="F3">
        <f>ABS(TableCHE[[#This Row],[PP]]-TableCHE[[#This Row],[AP]])</f>
        <v>2.2749131434705205</v>
      </c>
      <c r="H3" t="s">
        <v>1</v>
      </c>
      <c r="I3">
        <v>0.38168129445999999</v>
      </c>
    </row>
    <row r="4" spans="1:9" x14ac:dyDescent="0.2">
      <c r="A4" t="s">
        <v>55</v>
      </c>
      <c r="B4">
        <v>23.737053843767601</v>
      </c>
      <c r="C4">
        <v>21.95652173913043</v>
      </c>
      <c r="D4">
        <f>TableCHE[[#This Row],[ARIMAPP]]*$I$2+TableCHE[[#This Row],[LSTMPP]]*$I$3</f>
        <v>23.548050624842354</v>
      </c>
      <c r="E4">
        <v>74</v>
      </c>
      <c r="F4">
        <f>ABS(TableCHE[[#This Row],[PP]]-TableCHE[[#This Row],[AP]])</f>
        <v>50.451949375157646</v>
      </c>
    </row>
    <row r="5" spans="1:9" x14ac:dyDescent="0.2">
      <c r="A5" t="s">
        <v>56</v>
      </c>
      <c r="B5">
        <v>27.998750921758528</v>
      </c>
      <c r="C5">
        <v>31.296296296296301</v>
      </c>
      <c r="D5">
        <f>TableCHE[[#This Row],[ARIMAPP]]*$I$2+TableCHE[[#This Row],[LSTMPP]]*$I$3</f>
        <v>29.836034773038769</v>
      </c>
      <c r="E5">
        <v>29</v>
      </c>
      <c r="F5">
        <f>ABS(TableCHE[[#This Row],[PP]]-TableCHE[[#This Row],[AP]])</f>
        <v>0.83603477303876872</v>
      </c>
      <c r="H5" t="s">
        <v>2</v>
      </c>
      <c r="I5">
        <f>SUM(ABS(TableCHE[[#This Row],[PP]]-TableCHE[[#This Row],[AP]]))</f>
        <v>0.83603477303876872</v>
      </c>
    </row>
    <row r="6" spans="1:9" x14ac:dyDescent="0.2">
      <c r="A6" t="s">
        <v>57</v>
      </c>
      <c r="B6">
        <v>26.785714285714288</v>
      </c>
      <c r="C6">
        <v>27.951025967603329</v>
      </c>
      <c r="D6">
        <f>TableCHE[[#This Row],[ARIMAPP]]*$I$2+TableCHE[[#This Row],[LSTMPP]]*$I$3</f>
        <v>27.784093627710625</v>
      </c>
      <c r="E6">
        <v>29</v>
      </c>
      <c r="F6">
        <f>ABS(TableCHE[[#This Row],[PP]]-TableCHE[[#This Row],[AP]])</f>
        <v>1.2159063722893748</v>
      </c>
    </row>
    <row r="7" spans="1:9" x14ac:dyDescent="0.2">
      <c r="A7" t="s">
        <v>58</v>
      </c>
      <c r="B7">
        <v>47.970224132660611</v>
      </c>
      <c r="C7">
        <v>22.941176470588228</v>
      </c>
      <c r="D7">
        <f>TableCHE[[#This Row],[ARIMAPP]]*$I$2+TableCHE[[#This Row],[LSTMPP]]*$I$3</f>
        <v>39.408543614436525</v>
      </c>
      <c r="E7">
        <v>30</v>
      </c>
      <c r="F7">
        <f>ABS(TableCHE[[#This Row],[PP]]-TableCHE[[#This Row],[AP]])</f>
        <v>9.4085436144365246</v>
      </c>
      <c r="H7" t="s">
        <v>3</v>
      </c>
      <c r="I7">
        <f>AVERAGE(TableCHE[DIFF])/10</f>
        <v>1.2408030305488733</v>
      </c>
    </row>
    <row r="8" spans="1:9" x14ac:dyDescent="0.2">
      <c r="A8" t="s">
        <v>59</v>
      </c>
      <c r="B8">
        <v>23.214285714285712</v>
      </c>
      <c r="C8">
        <v>25.45454545454546</v>
      </c>
      <c r="D8">
        <f>TableCHE[[#This Row],[ARIMAPP]]*$I$2+TableCHE[[#This Row],[LSTMPP]]*$I$3</f>
        <v>24.549139066571104</v>
      </c>
      <c r="E8">
        <v>35</v>
      </c>
      <c r="F8">
        <f>ABS(TableCHE[[#This Row],[PP]]-TableCHE[[#This Row],[AP]])</f>
        <v>10.450860933428896</v>
      </c>
    </row>
    <row r="9" spans="1:9" x14ac:dyDescent="0.2">
      <c r="A9" t="s">
        <v>60</v>
      </c>
      <c r="B9">
        <v>36.666666666666693</v>
      </c>
      <c r="C9">
        <v>34.388050807727801</v>
      </c>
      <c r="D9">
        <f>TableCHE[[#This Row],[ARIMAPP]]*$I$2+TableCHE[[#This Row],[LSTMPP]]*$I$3</f>
        <v>36.554780792083143</v>
      </c>
      <c r="E9">
        <v>29</v>
      </c>
      <c r="F9">
        <f>ABS(TableCHE[[#This Row],[PP]]-TableCHE[[#This Row],[AP]])</f>
        <v>7.5547807920831431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61</v>
      </c>
      <c r="B2">
        <v>23.933933881787901</v>
      </c>
      <c r="C2">
        <v>27.62626262626263</v>
      </c>
      <c r="D2">
        <f>TableCRY[[#This Row],[ARIMAPP]]*$I$2+TableCRY[[#This Row],[LSTMPP]]*$I$3</f>
        <v>30.961521593439397</v>
      </c>
      <c r="E2">
        <v>23</v>
      </c>
      <c r="F2">
        <f>ABS(TableCRY[[#This Row],[PP]]-TableCRY[[#This Row],[AP]])</f>
        <v>7.9615215934393966</v>
      </c>
      <c r="H2" t="s">
        <v>0</v>
      </c>
      <c r="I2">
        <v>0</v>
      </c>
    </row>
    <row r="3" spans="1:9" x14ac:dyDescent="0.2">
      <c r="A3" t="s">
        <v>62</v>
      </c>
      <c r="B3">
        <v>28.835645230660511</v>
      </c>
      <c r="C3">
        <v>28.50746268656717</v>
      </c>
      <c r="D3">
        <f>TableCRY[[#This Row],[ARIMAPP]]*$I$2+TableCRY[[#This Row],[LSTMPP]]*$I$3</f>
        <v>31.949107032134332</v>
      </c>
      <c r="E3">
        <v>44</v>
      </c>
      <c r="F3">
        <f>ABS(TableCRY[[#This Row],[PP]]-TableCRY[[#This Row],[AP]])</f>
        <v>12.050892967865668</v>
      </c>
      <c r="H3" t="s">
        <v>1</v>
      </c>
      <c r="I3">
        <v>1.1207278382999999</v>
      </c>
    </row>
    <row r="4" spans="1:9" x14ac:dyDescent="0.2">
      <c r="A4" t="s">
        <v>63</v>
      </c>
      <c r="B4">
        <v>36.395348837209333</v>
      </c>
      <c r="C4">
        <v>32.813118295961807</v>
      </c>
      <c r="D4">
        <f>TableCRY[[#This Row],[ARIMAPP]]*$I$2+TableCRY[[#This Row],[LSTMPP]]*$I$3</f>
        <v>36.774575135715452</v>
      </c>
      <c r="E4">
        <v>46</v>
      </c>
      <c r="F4">
        <f>ABS(TableCRY[[#This Row],[PP]]-TableCRY[[#This Row],[AP]])</f>
        <v>9.2254248642845482</v>
      </c>
    </row>
    <row r="5" spans="1:9" x14ac:dyDescent="0.2">
      <c r="A5" t="s">
        <v>64</v>
      </c>
      <c r="B5">
        <v>38.490566037735839</v>
      </c>
      <c r="C5">
        <v>33.095238095238088</v>
      </c>
      <c r="D5">
        <f>TableCRY[[#This Row],[ARIMAPP]]*$I$2+TableCRY[[#This Row],[LSTMPP]]*$I$3</f>
        <v>37.090754648499988</v>
      </c>
      <c r="E5">
        <v>27</v>
      </c>
      <c r="F5">
        <f>ABS(TableCRY[[#This Row],[PP]]-TableCRY[[#This Row],[AP]])</f>
        <v>10.090754648499988</v>
      </c>
      <c r="H5" t="s">
        <v>2</v>
      </c>
      <c r="I5">
        <f>SUM(ABS(TableCRY[[#This Row],[PP]]-TableCRY[[#This Row],[AP]]))</f>
        <v>10.090754648499988</v>
      </c>
    </row>
    <row r="6" spans="1:9" x14ac:dyDescent="0.2">
      <c r="A6" t="s">
        <v>65</v>
      </c>
      <c r="B6">
        <v>21.17647058823529</v>
      </c>
      <c r="C6">
        <v>24.351851851851851</v>
      </c>
      <c r="D6">
        <f>TableCRY[[#This Row],[ARIMAPP]]*$I$2+TableCRY[[#This Row],[LSTMPP]]*$I$3</f>
        <v>27.291798284527776</v>
      </c>
      <c r="E6">
        <v>40</v>
      </c>
      <c r="F6">
        <f>ABS(TableCRY[[#This Row],[PP]]-TableCRY[[#This Row],[AP]])</f>
        <v>12.708201715472224</v>
      </c>
    </row>
    <row r="7" spans="1:9" x14ac:dyDescent="0.2">
      <c r="A7" t="s">
        <v>66</v>
      </c>
      <c r="B7">
        <v>29.154929577464799</v>
      </c>
      <c r="C7">
        <v>28.035714285714281</v>
      </c>
      <c r="D7">
        <f>TableCRY[[#This Row],[ARIMAPP]]*$I$2+TableCRY[[#This Row],[LSTMPP]]*$I$3</f>
        <v>31.420405466624992</v>
      </c>
      <c r="E7">
        <v>26</v>
      </c>
      <c r="F7">
        <f>ABS(TableCRY[[#This Row],[PP]]-TableCRY[[#This Row],[AP]])</f>
        <v>5.4204054666249917</v>
      </c>
      <c r="H7" t="s">
        <v>3</v>
      </c>
      <c r="I7">
        <f>AVERAGE(TableCRY[DIFF])/10</f>
        <v>0.94659485586637526</v>
      </c>
    </row>
    <row r="8" spans="1:9" x14ac:dyDescent="0.2">
      <c r="A8" t="s">
        <v>67</v>
      </c>
      <c r="B8">
        <v>27.23404255319149</v>
      </c>
      <c r="C8">
        <v>28.378378378378379</v>
      </c>
      <c r="D8">
        <f>TableCRY[[#This Row],[ARIMAPP]]*$I$2+TableCRY[[#This Row],[LSTMPP]]*$I$3</f>
        <v>31.804438654459457</v>
      </c>
      <c r="E8">
        <v>23</v>
      </c>
      <c r="F8">
        <f>ABS(TableCRY[[#This Row],[PP]]-TableCRY[[#This Row],[AP]])</f>
        <v>8.8044386544594566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68</v>
      </c>
      <c r="B2">
        <v>32.30818835650723</v>
      </c>
      <c r="C2">
        <v>30.363851682801521</v>
      </c>
      <c r="D2">
        <f>TableEVE[[#This Row],[ARIMAPP]]*$I$2+TableEVE[[#This Row],[LSTMPP]]*$I$3</f>
        <v>31.473396717211525</v>
      </c>
      <c r="E2">
        <v>44</v>
      </c>
      <c r="F2">
        <f>ABS(TableEVE[[#This Row],[PP]]-TableEVE[[#This Row],[AP]])</f>
        <v>12.526603282788475</v>
      </c>
      <c r="H2" t="s">
        <v>0</v>
      </c>
      <c r="I2">
        <v>6.7406655668000001E-6</v>
      </c>
    </row>
    <row r="3" spans="1:9" x14ac:dyDescent="0.2">
      <c r="A3" t="s">
        <v>69</v>
      </c>
      <c r="B3">
        <v>27.950576822468939</v>
      </c>
      <c r="C3">
        <v>29.440789473684209</v>
      </c>
      <c r="D3">
        <f>TableEVE[[#This Row],[ARIMAPP]]*$I$2+TableEVE[[#This Row],[LSTMPP]]*$I$3</f>
        <v>30.51658154547431</v>
      </c>
      <c r="E3">
        <v>24</v>
      </c>
      <c r="F3">
        <f>ABS(TableEVE[[#This Row],[PP]]-TableEVE[[#This Row],[AP]])</f>
        <v>6.5165815454743097</v>
      </c>
      <c r="H3" t="s">
        <v>1</v>
      </c>
      <c r="I3">
        <v>1.0365344708999999</v>
      </c>
    </row>
    <row r="4" spans="1:9" x14ac:dyDescent="0.2">
      <c r="A4" t="s">
        <v>70</v>
      </c>
      <c r="B4">
        <v>35.2659574468085</v>
      </c>
      <c r="C4">
        <v>36.037175150805993</v>
      </c>
      <c r="D4">
        <f>TableEVE[[#This Row],[ARIMAPP]]*$I$2+TableEVE[[#This Row],[LSTMPP]]*$I$3</f>
        <v>37.354011993696353</v>
      </c>
      <c r="E4">
        <v>41</v>
      </c>
      <c r="F4">
        <f>ABS(TableEVE[[#This Row],[PP]]-TableEVE[[#This Row],[AP]])</f>
        <v>3.6459880063036465</v>
      </c>
    </row>
    <row r="5" spans="1:9" x14ac:dyDescent="0.2">
      <c r="A5" t="s">
        <v>71</v>
      </c>
      <c r="B5">
        <v>34.986417120067202</v>
      </c>
      <c r="C5">
        <v>32.844827586206897</v>
      </c>
      <c r="D5">
        <f>TableEVE[[#This Row],[ARIMAPP]]*$I$2+TableEVE[[#This Row],[LSTMPP]]*$I$3</f>
        <v>34.045031815607871</v>
      </c>
      <c r="E5">
        <v>22</v>
      </c>
      <c r="F5">
        <f>ABS(TableEVE[[#This Row],[PP]]-TableEVE[[#This Row],[AP]])</f>
        <v>12.045031815607871</v>
      </c>
      <c r="H5" t="s">
        <v>2</v>
      </c>
      <c r="I5">
        <f>SUM(ABS(TableEVE[[#This Row],[PP]]-TableEVE[[#This Row],[AP]]))</f>
        <v>12.045031815607871</v>
      </c>
    </row>
    <row r="6" spans="1:9" x14ac:dyDescent="0.2">
      <c r="A6" t="s">
        <v>72</v>
      </c>
      <c r="B6">
        <v>31.68604651162795</v>
      </c>
      <c r="C6">
        <v>29.23357664233577</v>
      </c>
      <c r="D6">
        <f>TableEVE[[#This Row],[ARIMAPP]]*$I$2+TableEVE[[#This Row],[LSTMPP]]*$I$3</f>
        <v>30.301823482520774</v>
      </c>
      <c r="E6">
        <v>32</v>
      </c>
      <c r="F6">
        <f>ABS(TableEVE[[#This Row],[PP]]-TableEVE[[#This Row],[AP]])</f>
        <v>1.6981765174792258</v>
      </c>
    </row>
    <row r="7" spans="1:9" x14ac:dyDescent="0.2">
      <c r="A7" t="s">
        <v>73</v>
      </c>
      <c r="B7">
        <v>21.886109906725661</v>
      </c>
      <c r="C7">
        <v>24.42307692307693</v>
      </c>
      <c r="D7">
        <f>TableEVE[[#This Row],[ARIMAPP]]*$I$2+TableEVE[[#This Row],[LSTMPP]]*$I$3</f>
        <v>25.315508643158985</v>
      </c>
      <c r="E7">
        <v>21</v>
      </c>
      <c r="F7">
        <f>ABS(TableEVE[[#This Row],[PP]]-TableEVE[[#This Row],[AP]])</f>
        <v>4.3155086431589851</v>
      </c>
      <c r="H7" t="s">
        <v>3</v>
      </c>
      <c r="I7">
        <f>AVERAGE(TableEVE[DIFF])/10</f>
        <v>0.59662751589658092</v>
      </c>
    </row>
    <row r="8" spans="1:9" x14ac:dyDescent="0.2">
      <c r="A8" t="s">
        <v>74</v>
      </c>
      <c r="B8">
        <v>24.34782608695652</v>
      </c>
      <c r="C8">
        <v>25</v>
      </c>
      <c r="D8">
        <f>TableEVE[[#This Row],[ARIMAPP]]*$I$2+TableEVE[[#This Row],[LSTMPP]]*$I$3</f>
        <v>25.913525893052931</v>
      </c>
      <c r="E8">
        <v>38</v>
      </c>
      <c r="F8">
        <f>ABS(TableEVE[[#This Row],[PP]]-TableEVE[[#This Row],[AP]])</f>
        <v>12.086474106947069</v>
      </c>
    </row>
    <row r="9" spans="1:9" x14ac:dyDescent="0.2">
      <c r="A9" t="s">
        <v>75</v>
      </c>
      <c r="B9">
        <v>39.639639639639647</v>
      </c>
      <c r="C9">
        <v>37.997904457283511</v>
      </c>
      <c r="D9">
        <f>TableEVE[[#This Row],[ARIMAPP]]*$I$2+TableEVE[[#This Row],[LSTMPP]]*$I$3</f>
        <v>39.386404989493116</v>
      </c>
      <c r="E9">
        <v>34</v>
      </c>
      <c r="F9">
        <f>ABS(TableEVE[[#This Row],[PP]]-TableEVE[[#This Row],[AP]])</f>
        <v>5.3864049894931156</v>
      </c>
    </row>
    <row r="10" spans="1:9" x14ac:dyDescent="0.2">
      <c r="A10" t="s">
        <v>76</v>
      </c>
      <c r="B10">
        <v>30.365753965761481</v>
      </c>
      <c r="C10">
        <v>27.09302325581395</v>
      </c>
      <c r="D10">
        <f>TableEVE[[#This Row],[ARIMAPP]]*$I$2+TableEVE[[#This Row],[LSTMPP]]*$I$3</f>
        <v>28.083057210938673</v>
      </c>
      <c r="E10">
        <v>28</v>
      </c>
      <c r="F10">
        <f>ABS(TableEVE[[#This Row],[PP]]-TableEVE[[#This Row],[AP]])</f>
        <v>8.305721093867291E-2</v>
      </c>
    </row>
    <row r="11" spans="1:9" x14ac:dyDescent="0.2">
      <c r="A11" t="s">
        <v>77</v>
      </c>
      <c r="B11">
        <v>23.039940455377259</v>
      </c>
      <c r="C11">
        <v>26.666666666666671</v>
      </c>
      <c r="D11">
        <f>TableEVE[[#This Row],[ARIMAPP]]*$I$2+TableEVE[[#This Row],[LSTMPP]]*$I$3</f>
        <v>27.641074528533291</v>
      </c>
      <c r="E11">
        <v>29</v>
      </c>
      <c r="F11">
        <f>ABS(TableEVE[[#This Row],[PP]]-TableEVE[[#This Row],[AP]])</f>
        <v>1.3589254714667085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2024-03-01T14:49:22Z</dcterms:created>
  <dcterms:modified xsi:type="dcterms:W3CDTF">2024-03-01T14:54:03Z</dcterms:modified>
</cp:coreProperties>
</file>