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B647A7C5-BCF5-7542-9ACB-B5FF9A7F02AD}" xr6:coauthVersionLast="47" xr6:coauthVersionMax="47" xr10:uidLastSave="{00000000-0000-0000-0000-000000000000}"/>
  <bookViews>
    <workbookView xWindow="240" yWindow="760" windowWidth="23580" windowHeight="17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46" i="1" l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89" i="1"/>
  <c r="AH89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5" i="1"/>
  <c r="AH5" i="1"/>
  <c r="AI8" i="1"/>
  <c r="AH8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23" i="1"/>
  <c r="AH23" i="1"/>
  <c r="AI90" i="1"/>
  <c r="AH90" i="1"/>
  <c r="AI48" i="1"/>
  <c r="AH48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126" i="1"/>
  <c r="AH126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28" i="1"/>
  <c r="AH28" i="1"/>
  <c r="AI49" i="1"/>
  <c r="AH49" i="1"/>
  <c r="AI63" i="1"/>
  <c r="AH63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91" i="1"/>
  <c r="AH91" i="1"/>
  <c r="AO27" i="1"/>
  <c r="AI27" i="1"/>
  <c r="AH27" i="1"/>
  <c r="AO26" i="1"/>
  <c r="AI103" i="1"/>
  <c r="AH103" i="1"/>
  <c r="AO25" i="1"/>
  <c r="AI25" i="1"/>
  <c r="AH25" i="1"/>
  <c r="AO24" i="1"/>
  <c r="AI24" i="1"/>
  <c r="AH24" i="1"/>
  <c r="AO23" i="1"/>
  <c r="AI102" i="1"/>
  <c r="AH102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O18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O11" i="1"/>
  <c r="AO14" i="1" s="1"/>
  <c r="AI11" i="1"/>
  <c r="AH11" i="1"/>
  <c r="AI10" i="1"/>
  <c r="AH10" i="1"/>
  <c r="AO9" i="1"/>
  <c r="AI9" i="1"/>
  <c r="AH9" i="1"/>
  <c r="AO8" i="1"/>
  <c r="AI50" i="1"/>
  <c r="AH50" i="1"/>
  <c r="AO7" i="1"/>
  <c r="AI7" i="1"/>
  <c r="AH7" i="1"/>
  <c r="AO6" i="1"/>
  <c r="AI6" i="1"/>
  <c r="AH6" i="1"/>
  <c r="AI26" i="1"/>
  <c r="AH26" i="1"/>
  <c r="AO4" i="1"/>
  <c r="AI4" i="1"/>
  <c r="AH4" i="1"/>
  <c r="AI3" i="1"/>
  <c r="AH3" i="1"/>
  <c r="AO2" i="1" s="1"/>
  <c r="AI2" i="1"/>
  <c r="AH2" i="1"/>
  <c r="AO16" i="1" l="1"/>
</calcChain>
</file>

<file path=xl/sharedStrings.xml><?xml version="1.0" encoding="utf-8"?>
<sst xmlns="http://schemas.openxmlformats.org/spreadsheetml/2006/main" count="794" uniqueCount="350">
  <si>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</si>
  <si>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</si>
  <si>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</si>
  <si>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</si>
  <si>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</si>
  <si>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</si>
  <si>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</si>
  <si>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</si>
  <si>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</si>
  <si>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</si>
  <si>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</si>
  <si>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</si>
  <si>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</si>
  <si>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</si>
  <si>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</si>
  <si>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</si>
  <si>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</si>
  <si>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</si>
  <si>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</si>
  <si>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</si>
  <si>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</si>
  <si>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</si>
  <si>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</si>
  <si>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</si>
  <si>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</si>
  <si>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</si>
  <si>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</si>
  <si>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</si>
  <si>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</si>
  <si>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</si>
  <si>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</si>
  <si>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</si>
  <si>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</si>
  <si>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</si>
  <si>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</si>
  <si>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</si>
  <si>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</si>
  <si>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</si>
  <si>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</si>
  <si>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</si>
  <si>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</si>
  <si>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</si>
  <si>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</si>
  <si>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</si>
  <si>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</si>
  <si>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</si>
  <si>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</si>
  <si>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</si>
  <si>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</si>
  <si>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</si>
  <si>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Martinelli Silva</t>
  </si>
  <si>
    <t>Martinelli</t>
  </si>
  <si>
    <t>Martin</t>
  </si>
  <si>
    <t>Ødegaard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</si>
  <si>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</si>
  <si>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</si>
  <si>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</si>
  <si>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</si>
  <si>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</si>
  <si>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</si>
  <si>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</si>
  <si>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</si>
  <si>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</si>
  <si>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</si>
  <si>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</si>
  <si>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</si>
  <si>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</si>
  <si>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</si>
  <si>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</si>
  <si>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</si>
  <si>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</si>
  <si>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Lucas</t>
  </si>
  <si>
    <t>Digne</t>
  </si>
  <si>
    <t>Douglas Luiz</t>
  </si>
  <si>
    <t>Soares de Paulo</t>
  </si>
  <si>
    <t>Emiliano</t>
  </si>
  <si>
    <t>Martínez Romero</t>
  </si>
  <si>
    <t>Martinez</t>
  </si>
  <si>
    <t>John</t>
  </si>
  <si>
    <t>McGinn</t>
  </si>
  <si>
    <t>Youri</t>
  </si>
  <si>
    <t>Tielemans</t>
  </si>
  <si>
    <t>Ollie</t>
  </si>
  <si>
    <t>Watkins</t>
  </si>
  <si>
    <t>Pau</t>
  </si>
  <si>
    <t>Torres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</si>
  <si>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</si>
  <si>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</si>
  <si>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</si>
  <si>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</si>
  <si>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</si>
  <si>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</si>
  <si>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</si>
  <si>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</si>
  <si>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</si>
  <si>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Dominic</t>
  </si>
  <si>
    <t>Solanke</t>
  </si>
  <si>
    <t>Nathan</t>
  </si>
  <si>
    <t>Collins</t>
  </si>
  <si>
    <t>Mark</t>
  </si>
  <si>
    <t>Flekken</t>
  </si>
  <si>
    <t>Vitaly</t>
  </si>
  <si>
    <t>Janelt</t>
  </si>
  <si>
    <t>Keane</t>
  </si>
  <si>
    <t>Lewis-Potter</t>
  </si>
  <si>
    <t>Christian</t>
  </si>
  <si>
    <t>Nørgaard</t>
  </si>
  <si>
    <t>Ethan</t>
  </si>
  <si>
    <t>Pinnock</t>
  </si>
  <si>
    <t>Yoane</t>
  </si>
  <si>
    <t>Wissa</t>
  </si>
  <si>
    <t>Neal</t>
  </si>
  <si>
    <t>Maupay</t>
  </si>
  <si>
    <t>Simon</t>
  </si>
  <si>
    <t>Adingra</t>
  </si>
  <si>
    <t>Facundo</t>
  </si>
  <si>
    <t>Buonanotte</t>
  </si>
  <si>
    <t>Lewis</t>
  </si>
  <si>
    <t>Dunk</t>
  </si>
  <si>
    <t>Pascal</t>
  </si>
  <si>
    <t>Groß</t>
  </si>
  <si>
    <t>Gross</t>
  </si>
  <si>
    <t>João Pedro</t>
  </si>
  <si>
    <t>Junqueira de Jesus</t>
  </si>
  <si>
    <t>Kaoru</t>
  </si>
  <si>
    <t>Mitoma</t>
  </si>
  <si>
    <t>Jason</t>
  </si>
  <si>
    <t>Steele</t>
  </si>
  <si>
    <t>Danny</t>
  </si>
  <si>
    <t>Welbeck</t>
  </si>
  <si>
    <t>Levi</t>
  </si>
  <si>
    <t>Colwill</t>
  </si>
  <si>
    <t>Enzo</t>
  </si>
  <si>
    <t>Fernández</t>
  </si>
  <si>
    <t>Conor</t>
  </si>
  <si>
    <t>Gallagher</t>
  </si>
  <si>
    <t>Mykhailo</t>
  </si>
  <si>
    <t>Mudryk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</si>
  <si>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</si>
  <si>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</si>
  <si>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</si>
  <si>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</si>
  <si>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</si>
  <si>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</si>
  <si>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</si>
  <si>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</si>
  <si>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Cole</t>
  </si>
  <si>
    <t>Palmer</t>
  </si>
  <si>
    <t>Joachim</t>
  </si>
  <si>
    <t>Andersen</t>
  </si>
  <si>
    <t>Jordan</t>
  </si>
  <si>
    <t>Ayew</t>
  </si>
  <si>
    <t>J.Ayew</t>
  </si>
  <si>
    <t>Eberechi</t>
  </si>
  <si>
    <t>Eze</t>
  </si>
  <si>
    <t>Sam</t>
  </si>
  <si>
    <t>Johnstone</t>
  </si>
  <si>
    <t>Jefferson</t>
  </si>
  <si>
    <t>Lerma Solís</t>
  </si>
  <si>
    <t>Lerma</t>
  </si>
  <si>
    <t>Jean-Philippe</t>
  </si>
  <si>
    <t>Mateta</t>
  </si>
  <si>
    <t>Joel</t>
  </si>
  <si>
    <t>Ward</t>
  </si>
  <si>
    <t>Jarrad</t>
  </si>
  <si>
    <t>Branthwaite</t>
  </si>
  <si>
    <t>Calvert-Lewin</t>
  </si>
  <si>
    <t>Abdoulaye</t>
  </si>
  <si>
    <t>Doucouré</t>
  </si>
  <si>
    <t>A.Doucoure</t>
  </si>
  <si>
    <t>James</t>
  </si>
  <si>
    <t>Garner</t>
  </si>
  <si>
    <t>Dwight</t>
  </si>
  <si>
    <t>McNeil</t>
  </si>
  <si>
    <t>Vitalii</t>
  </si>
  <si>
    <t>Mykolenko</t>
  </si>
  <si>
    <t>Amadou</t>
  </si>
  <si>
    <t>Onana</t>
  </si>
  <si>
    <t>Pickford</t>
  </si>
  <si>
    <t>Tarkowski</t>
  </si>
  <si>
    <t>Jack</t>
  </si>
  <si>
    <t>Harrison</t>
  </si>
  <si>
    <t>Alex</t>
  </si>
  <si>
    <t>Iwobi</t>
  </si>
  <si>
    <t>Andreas</t>
  </si>
  <si>
    <t>Hoelgebaum Pereira</t>
  </si>
  <si>
    <t>Bobby</t>
  </si>
  <si>
    <t>De Cordova-Reid</t>
  </si>
  <si>
    <t>Bernd</t>
  </si>
  <si>
    <t>Leno</t>
  </si>
  <si>
    <t>João</t>
  </si>
  <si>
    <t>Palhinha Gonçalves</t>
  </si>
  <si>
    <t>J.Palhinha</t>
  </si>
  <si>
    <t>Antonee</t>
  </si>
  <si>
    <t>Robinson</t>
  </si>
  <si>
    <t>Raúl</t>
  </si>
  <si>
    <t>Jiménez</t>
  </si>
  <si>
    <t>Willian</t>
  </si>
  <si>
    <t>Borges da Silva</t>
  </si>
  <si>
    <t>Timothy</t>
  </si>
  <si>
    <t>Castagne</t>
  </si>
  <si>
    <t>Trent</t>
  </si>
  <si>
    <t>Alexander-Arnold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</si>
  <si>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</si>
  <si>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</si>
  <si>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</si>
  <si>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</si>
  <si>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</si>
  <si>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</si>
  <si>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</si>
  <si>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</si>
  <si>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Harvey</t>
  </si>
  <si>
    <t>Elliott</t>
  </si>
  <si>
    <t>Cody</t>
  </si>
  <si>
    <t>Gakpo</t>
  </si>
  <si>
    <t>Joe</t>
  </si>
  <si>
    <t>Gomez</t>
  </si>
  <si>
    <t>Curtis</t>
  </si>
  <si>
    <t>Jones</t>
  </si>
  <si>
    <t>Luis</t>
  </si>
  <si>
    <t>Díaz</t>
  </si>
  <si>
    <t>Luis Díaz</t>
  </si>
  <si>
    <t>Alexis</t>
  </si>
  <si>
    <t>Mac Allister</t>
  </si>
  <si>
    <t>Mohamed</t>
  </si>
  <si>
    <t>Salah</t>
  </si>
  <si>
    <t>Dominik</t>
  </si>
  <si>
    <t>Szoboszlai</t>
  </si>
  <si>
    <t>Virgil</t>
  </si>
  <si>
    <t>van Dijk</t>
  </si>
  <si>
    <t>Elijah</t>
  </si>
  <si>
    <t>Adebayo</t>
  </si>
  <si>
    <t>Alfie</t>
  </si>
  <si>
    <t>Doughty</t>
  </si>
  <si>
    <t>Carlton</t>
  </si>
  <si>
    <t>Morris</t>
  </si>
  <si>
    <t>Chiedozie</t>
  </si>
  <si>
    <t>Ogbene</t>
  </si>
  <si>
    <t>Thomas</t>
  </si>
  <si>
    <t>Kaminski</t>
  </si>
  <si>
    <t>Ross</t>
  </si>
  <si>
    <t>Barkley</t>
  </si>
  <si>
    <t>Manuel</t>
  </si>
  <si>
    <t>Akanji</t>
  </si>
  <si>
    <t>Aké</t>
  </si>
  <si>
    <t>Julián</t>
  </si>
  <si>
    <t>Álvarez</t>
  </si>
  <si>
    <t>J.Alvarez</t>
  </si>
  <si>
    <t>Bernardo</t>
  </si>
  <si>
    <t>Veiga de Carvalho e Silva</t>
  </si>
  <si>
    <t>Rúben</t>
  </si>
  <si>
    <t>Gato Alves Dias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</si>
  <si>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</si>
  <si>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</si>
  <si>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</si>
  <si>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</si>
  <si>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</si>
  <si>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</si>
  <si>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</si>
  <si>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</si>
  <si>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</si>
  <si>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</si>
  <si>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</si>
  <si>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Bruno</t>
  </si>
  <si>
    <t>Borges Fernandes</t>
  </si>
  <si>
    <t>B.Fernandes</t>
  </si>
  <si>
    <t>Dalot Teixeira</t>
  </si>
  <si>
    <t>Dalot</t>
  </si>
  <si>
    <t>Alejandro</t>
  </si>
  <si>
    <t>Garnacho</t>
  </si>
  <si>
    <t>Scott</t>
  </si>
  <si>
    <t>McTominay</t>
  </si>
  <si>
    <t>Marcus</t>
  </si>
  <si>
    <t>Rashford</t>
  </si>
  <si>
    <t>André</t>
  </si>
  <si>
    <t>Guimarães Rodriguez Moura</t>
  </si>
  <si>
    <t>Bruno G.</t>
  </si>
  <si>
    <t>Anthony</t>
  </si>
  <si>
    <t>Gordon</t>
  </si>
  <si>
    <t>Alexander</t>
  </si>
  <si>
    <t>Isak</t>
  </si>
  <si>
    <t>Sean</t>
  </si>
  <si>
    <t>Longstaff</t>
  </si>
  <si>
    <t>Fabian</t>
  </si>
  <si>
    <t>Schär</t>
  </si>
  <si>
    <t>Kieran</t>
  </si>
  <si>
    <t>Trippier</t>
  </si>
  <si>
    <t>Elanga</t>
  </si>
  <si>
    <t>Morgan</t>
  </si>
  <si>
    <t>Gibbs-White</t>
  </si>
  <si>
    <t>Chris</t>
  </si>
  <si>
    <t>Wood</t>
  </si>
  <si>
    <t>Cameron</t>
  </si>
  <si>
    <t>Archer</t>
  </si>
  <si>
    <t>McAtee</t>
  </si>
  <si>
    <t>Vini</t>
  </si>
  <si>
    <t>de Souza Costa</t>
  </si>
  <si>
    <t>Vini Souza</t>
  </si>
  <si>
    <t>Gustavo</t>
  </si>
  <si>
    <t>Hamer</t>
  </si>
  <si>
    <t>Brennan</t>
  </si>
  <si>
    <t>Johnson</t>
  </si>
  <si>
    <t>Dejan</t>
  </si>
  <si>
    <t>Kulusevski</t>
  </si>
  <si>
    <t>Pedro</t>
  </si>
  <si>
    <t>Porro</t>
  </si>
  <si>
    <t>Pedro Porro</t>
  </si>
  <si>
    <t>Richarlison</t>
  </si>
  <si>
    <t>de Andrade</t>
  </si>
  <si>
    <t>Pape Matar</t>
  </si>
  <si>
    <t>Sarr</t>
  </si>
  <si>
    <t>Son</t>
  </si>
  <si>
    <t>Heung-min</t>
  </si>
  <si>
    <t>Destiny</t>
  </si>
  <si>
    <t>Udogie</t>
  </si>
  <si>
    <t>Jarrod</t>
  </si>
  <si>
    <t>Bowen</t>
  </si>
  <si>
    <t>Emerson</t>
  </si>
  <si>
    <t>Palmieri dos Santos</t>
  </si>
  <si>
    <t>Tolentino Coelho de Lima</t>
  </si>
  <si>
    <t>L.Paquetá</t>
  </si>
  <si>
    <t>Ward-Prowse</t>
  </si>
  <si>
    <t>Mohammed</t>
  </si>
  <si>
    <t>Kudus</t>
  </si>
  <si>
    <t>Rayan</t>
  </si>
  <si>
    <t>Aït-Nouri</t>
  </si>
  <si>
    <t>Craig</t>
  </si>
  <si>
    <t>Dawson</t>
  </si>
  <si>
    <t>Hwang</t>
  </si>
  <si>
    <t>Hee-chan</t>
  </si>
  <si>
    <t>Hee Chan</t>
  </si>
  <si>
    <t>João Victor</t>
  </si>
  <si>
    <t>Gomes da Silva</t>
  </si>
  <si>
    <t>João Gomes</t>
  </si>
  <si>
    <t>Max</t>
  </si>
  <si>
    <t>Kilman</t>
  </si>
  <si>
    <t>Mario</t>
  </si>
  <si>
    <t>Lemina</t>
  </si>
  <si>
    <t>Mario Jr.</t>
  </si>
  <si>
    <t>José</t>
  </si>
  <si>
    <t>Malheiro de Sá</t>
  </si>
  <si>
    <t>José Sá</t>
  </si>
  <si>
    <t>Pablo</t>
  </si>
  <si>
    <t>Sarabia</t>
  </si>
  <si>
    <t>Toti António</t>
  </si>
  <si>
    <t>Gomes</t>
  </si>
  <si>
    <t>Toti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</si>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</sst>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46" totalsRowShown="0">
  <autoFilter ref="A1:AL146" xr:uid="{00000000-0009-0000-0100-000001000000}">
    <filterColumn colId="37">
      <filters>
        <filter val="1"/>
      </filters>
    </filterColumn>
  </autoFilter>
  <sortState xmlns:xlrd2="http://schemas.microsoft.com/office/spreadsheetml/2017/richdata2" ref="A5:AL126">
    <sortCondition descending="1" ref="AI1:AI146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6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2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</row>
    <row r="2" spans="1:42" hidden="1" x14ac:dyDescent="0.2">
      <c r="A2" t="s">
        <v>44</v>
      </c>
      <c r="B2" t="s">
        <v>45</v>
      </c>
      <c r="C2" t="s">
        <v>44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5.3</v>
      </c>
      <c r="AE2">
        <v>4</v>
      </c>
      <c r="AF2">
        <v>17.402404650400971</v>
      </c>
      <c r="AG2">
        <v>13.46707595730347</v>
      </c>
      <c r="AH2">
        <f>19.4585081990029*1</f>
        <v>19.4585081990029</v>
      </c>
      <c r="AI2">
        <f>6.02137914731978*1</f>
        <v>6.02137914731978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343.42160947647949</v>
      </c>
      <c r="AP2" t="s">
        <v>1</v>
      </c>
    </row>
    <row r="3" spans="1:42" hidden="1" x14ac:dyDescent="0.2">
      <c r="A3" t="s">
        <v>46</v>
      </c>
      <c r="B3" t="s">
        <v>47</v>
      </c>
      <c r="C3" t="s">
        <v>47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7.1</v>
      </c>
      <c r="AE3">
        <v>5</v>
      </c>
      <c r="AF3">
        <v>13.405405405405411</v>
      </c>
      <c r="AG3">
        <v>12.02272727272727</v>
      </c>
      <c r="AH3">
        <f>15.2245724205664*1</f>
        <v>15.2245724205664</v>
      </c>
      <c r="AI3">
        <f>3.80614310514161*1</f>
        <v>3.8061431051416101</v>
      </c>
      <c r="AJ3">
        <v>1</v>
      </c>
      <c r="AK3">
        <v>0</v>
      </c>
      <c r="AL3">
        <v>0</v>
      </c>
    </row>
    <row r="4" spans="1:42" hidden="1" x14ac:dyDescent="0.2">
      <c r="A4" t="s">
        <v>44</v>
      </c>
      <c r="B4" t="s">
        <v>48</v>
      </c>
      <c r="C4" t="s">
        <v>49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7.8</v>
      </c>
      <c r="AE4">
        <v>6</v>
      </c>
      <c r="AF4">
        <v>16.280254777070049</v>
      </c>
      <c r="AG4">
        <v>16.3704738286837</v>
      </c>
      <c r="AH4">
        <f>18.7420786390544*1</f>
        <v>18.742078639054402</v>
      </c>
      <c r="AI4">
        <f>4.68551990540193*1</f>
        <v>4.6855199054019296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97.799999999999983</v>
      </c>
      <c r="AP4">
        <v>101.4</v>
      </c>
    </row>
    <row r="5" spans="1:42" x14ac:dyDescent="0.2">
      <c r="A5" t="s">
        <v>257</v>
      </c>
      <c r="B5" t="s">
        <v>258</v>
      </c>
      <c r="C5" t="s">
        <v>258</v>
      </c>
      <c r="D5" t="s">
        <v>6</v>
      </c>
      <c r="E5">
        <v>0</v>
      </c>
      <c r="F5">
        <v>0</v>
      </c>
      <c r="G5">
        <v>0</v>
      </c>
      <c r="H5">
        <v>1</v>
      </c>
      <c r="I5" t="s">
        <v>23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14.5</v>
      </c>
      <c r="AE5">
        <v>507</v>
      </c>
      <c r="AF5">
        <v>31.45098039215685</v>
      </c>
      <c r="AG5">
        <v>29.11865425553551</v>
      </c>
      <c r="AH5">
        <f>32.8664988886375*1</f>
        <v>32.866498888637501</v>
      </c>
      <c r="AI5">
        <f>8.21662473662895*1</f>
        <v>8.2166247366289493</v>
      </c>
      <c r="AJ5">
        <v>1</v>
      </c>
      <c r="AK5">
        <v>1</v>
      </c>
      <c r="AL5">
        <v>1</v>
      </c>
    </row>
    <row r="6" spans="1:42" hidden="1" x14ac:dyDescent="0.2">
      <c r="A6" t="s">
        <v>52</v>
      </c>
      <c r="B6" t="s">
        <v>53</v>
      </c>
      <c r="C6" t="s">
        <v>53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8.5</v>
      </c>
      <c r="AE6">
        <v>12</v>
      </c>
      <c r="AF6">
        <v>20.74804920149235</v>
      </c>
      <c r="AG6">
        <v>18.45214854463666</v>
      </c>
      <c r="AH6">
        <f>23.5413956799122*1</f>
        <v>23.541395679912199</v>
      </c>
      <c r="AI6">
        <f>5.88534891997805*1</f>
        <v>5.8853489199780498</v>
      </c>
      <c r="AJ6">
        <v>1</v>
      </c>
      <c r="AK6">
        <v>0</v>
      </c>
      <c r="AL6">
        <v>0</v>
      </c>
      <c r="AN6" t="s">
        <v>3</v>
      </c>
      <c r="AO6">
        <f>SUMPRODUCT(Table1[Selected],Table1[GKP])</f>
        <v>2</v>
      </c>
      <c r="AP6">
        <v>2</v>
      </c>
    </row>
    <row r="7" spans="1:42" hidden="1" x14ac:dyDescent="0.2">
      <c r="A7" t="s">
        <v>54</v>
      </c>
      <c r="B7" t="s">
        <v>55</v>
      </c>
      <c r="C7" t="s">
        <v>55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9.1999999999999993</v>
      </c>
      <c r="AE7">
        <v>17</v>
      </c>
      <c r="AF7">
        <v>27.20863213228327</v>
      </c>
      <c r="AG7">
        <v>17.095143859605422</v>
      </c>
      <c r="AH7">
        <f>29.8580957873548*1</f>
        <v>29.858095787354799</v>
      </c>
      <c r="AI7">
        <f>7.90157677924181*1</f>
        <v>7.9015767792418101</v>
      </c>
      <c r="AJ7">
        <v>1</v>
      </c>
      <c r="AK7">
        <v>0</v>
      </c>
      <c r="AL7">
        <v>0</v>
      </c>
      <c r="AN7" t="s">
        <v>4</v>
      </c>
      <c r="AO7">
        <f>SUMPRODUCT(Table1[Selected],Table1[DEF])</f>
        <v>5</v>
      </c>
      <c r="AP7">
        <v>5</v>
      </c>
    </row>
    <row r="8" spans="1:42" x14ac:dyDescent="0.2">
      <c r="A8" t="s">
        <v>255</v>
      </c>
      <c r="B8" t="s">
        <v>256</v>
      </c>
      <c r="C8" t="s">
        <v>256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23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8.1</v>
      </c>
      <c r="AE8">
        <v>505</v>
      </c>
      <c r="AF8">
        <v>25.152387679114678</v>
      </c>
      <c r="AG8">
        <v>16.23791586992834</v>
      </c>
      <c r="AH8">
        <f>26.2844229138056*1</f>
        <v>26.284422913805599</v>
      </c>
      <c r="AI8">
        <f>7.27872823102875*1</f>
        <v>7.27872823102875</v>
      </c>
      <c r="AJ8">
        <v>1</v>
      </c>
      <c r="AK8">
        <v>1</v>
      </c>
      <c r="AL8">
        <v>1</v>
      </c>
      <c r="AN8" t="s">
        <v>5</v>
      </c>
      <c r="AO8">
        <f>SUMPRODUCT(Table1[Selected],Table1[MID])</f>
        <v>5</v>
      </c>
      <c r="AP8">
        <v>5</v>
      </c>
    </row>
    <row r="9" spans="1:42" hidden="1" x14ac:dyDescent="0.2">
      <c r="A9" t="s">
        <v>58</v>
      </c>
      <c r="B9" t="s">
        <v>59</v>
      </c>
      <c r="C9" t="s">
        <v>59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6.5</v>
      </c>
      <c r="AE9">
        <v>22</v>
      </c>
      <c r="AF9">
        <v>14.98126140437267</v>
      </c>
      <c r="AG9">
        <v>15.87895051299288</v>
      </c>
      <c r="AH9">
        <f>17.362925635654*1</f>
        <v>17.362925635654001</v>
      </c>
      <c r="AI9">
        <f>3.90602739982673*1</f>
        <v>3.9060273998267299</v>
      </c>
      <c r="AJ9">
        <v>1</v>
      </c>
      <c r="AK9">
        <v>0</v>
      </c>
      <c r="AL9">
        <v>0</v>
      </c>
      <c r="AN9" t="s">
        <v>6</v>
      </c>
      <c r="AO9">
        <f>SUMPRODUCT(Table1[Selected],Table1[FWD])</f>
        <v>3</v>
      </c>
      <c r="AP9">
        <v>3</v>
      </c>
    </row>
    <row r="10" spans="1:42" hidden="1" x14ac:dyDescent="0.2">
      <c r="A10" t="s">
        <v>60</v>
      </c>
      <c r="B10" t="s">
        <v>61</v>
      </c>
      <c r="C10" t="s">
        <v>61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5.6</v>
      </c>
      <c r="AE10">
        <v>23</v>
      </c>
      <c r="AF10">
        <v>15.8688524590164</v>
      </c>
      <c r="AG10">
        <v>14.04325803623799</v>
      </c>
      <c r="AH10">
        <f>17.9953698494679*1</f>
        <v>17.995369849467899</v>
      </c>
      <c r="AI10">
        <f>4.51014414739478*1</f>
        <v>4.5101441473947803</v>
      </c>
      <c r="AJ10">
        <v>1</v>
      </c>
      <c r="AK10">
        <v>0</v>
      </c>
      <c r="AL10">
        <v>0</v>
      </c>
    </row>
    <row r="11" spans="1:42" hidden="1" x14ac:dyDescent="0.2">
      <c r="A11" t="s">
        <v>62</v>
      </c>
      <c r="B11" t="s">
        <v>63</v>
      </c>
      <c r="C11" t="s">
        <v>63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5.0999999999999996</v>
      </c>
      <c r="AE11">
        <v>25</v>
      </c>
      <c r="AF11">
        <v>13.65137614678898</v>
      </c>
      <c r="AG11">
        <v>12.186046511627911</v>
      </c>
      <c r="AH11">
        <f>15.4957472927885*1</f>
        <v>15.495747292788501</v>
      </c>
      <c r="AI11">
        <f>3.87393682319714*1</f>
        <v>3.8739368231971398</v>
      </c>
      <c r="AJ11">
        <v>1</v>
      </c>
      <c r="AK11">
        <v>0</v>
      </c>
      <c r="AL11">
        <v>0</v>
      </c>
      <c r="AN11" t="s">
        <v>7</v>
      </c>
      <c r="AO11">
        <f>SUMPRODUCT(Table1[Selected], -- (Table1[PREV] = 0))</f>
        <v>1</v>
      </c>
    </row>
    <row r="12" spans="1:42" hidden="1" x14ac:dyDescent="0.2">
      <c r="A12" t="s">
        <v>64</v>
      </c>
      <c r="B12" t="s">
        <v>65</v>
      </c>
      <c r="C12" t="s">
        <v>66</v>
      </c>
      <c r="D12" t="s">
        <v>3</v>
      </c>
      <c r="E12">
        <v>1</v>
      </c>
      <c r="F12">
        <v>0</v>
      </c>
      <c r="G12">
        <v>0</v>
      </c>
      <c r="H12">
        <v>0</v>
      </c>
      <c r="I12" t="s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</v>
      </c>
      <c r="AE12">
        <v>26</v>
      </c>
      <c r="AF12">
        <v>16.44444444444445</v>
      </c>
      <c r="AG12">
        <v>14.970178938510131</v>
      </c>
      <c r="AH12">
        <f>18.7076859704925*1</f>
        <v>18.707685970492498</v>
      </c>
      <c r="AI12">
        <f>4.67422919193803*1</f>
        <v>4.6742291919380303</v>
      </c>
      <c r="AJ12">
        <v>1</v>
      </c>
      <c r="AK12">
        <v>0</v>
      </c>
      <c r="AL12">
        <v>0</v>
      </c>
      <c r="AN12" t="s">
        <v>8</v>
      </c>
      <c r="AO12">
        <v>1</v>
      </c>
    </row>
    <row r="13" spans="1:42" hidden="1" x14ac:dyDescent="0.2">
      <c r="A13" t="s">
        <v>67</v>
      </c>
      <c r="B13" t="s">
        <v>68</v>
      </c>
      <c r="C13" t="s">
        <v>68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5.4</v>
      </c>
      <c r="AE13">
        <v>27</v>
      </c>
      <c r="AF13">
        <v>12.666954791384221</v>
      </c>
      <c r="AG13">
        <v>11.22784810126582</v>
      </c>
      <c r="AH13">
        <f>14.3669874137544*1</f>
        <v>14.3669874137544</v>
      </c>
      <c r="AI13">
        <f>3.09099581866019*1</f>
        <v>3.0909958186601898</v>
      </c>
      <c r="AJ13">
        <v>1</v>
      </c>
      <c r="AK13">
        <v>0</v>
      </c>
      <c r="AL13">
        <v>0</v>
      </c>
    </row>
    <row r="14" spans="1:42" hidden="1" x14ac:dyDescent="0.2">
      <c r="A14" t="s">
        <v>69</v>
      </c>
      <c r="B14" t="s">
        <v>70</v>
      </c>
      <c r="C14" t="s">
        <v>70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5.6</v>
      </c>
      <c r="AE14">
        <v>39</v>
      </c>
      <c r="AF14">
        <v>25.024539687961632</v>
      </c>
      <c r="AG14">
        <v>14.396551724137931</v>
      </c>
      <c r="AH14">
        <f>24.5121653707446*1</f>
        <v>24.512165370744601</v>
      </c>
      <c r="AI14">
        <f>3.31317136802612*1</f>
        <v>3.3131713680261199</v>
      </c>
      <c r="AJ14">
        <v>1</v>
      </c>
      <c r="AK14">
        <v>0</v>
      </c>
      <c r="AL14">
        <v>0</v>
      </c>
      <c r="AN14" t="s">
        <v>9</v>
      </c>
      <c r="AO14">
        <f>((AO11-AO12)+ABS((AO11-AO12)))/2*4</f>
        <v>0</v>
      </c>
    </row>
    <row r="15" spans="1:42" hidden="1" x14ac:dyDescent="0.2">
      <c r="A15" t="s">
        <v>71</v>
      </c>
      <c r="B15" t="s">
        <v>72</v>
      </c>
      <c r="C15" t="s">
        <v>72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4.5999999999999996</v>
      </c>
      <c r="AE15">
        <v>47</v>
      </c>
      <c r="AF15">
        <v>12.35508450839284</v>
      </c>
      <c r="AG15">
        <v>16.976841453190719</v>
      </c>
      <c r="AH15">
        <f>14.2613632011468*1</f>
        <v>14.2613632011468</v>
      </c>
      <c r="AI15">
        <f>2.89287928175457*1</f>
        <v>2.8928792817545701</v>
      </c>
      <c r="AJ15">
        <v>1</v>
      </c>
      <c r="AK15">
        <v>0</v>
      </c>
      <c r="AL15">
        <v>0</v>
      </c>
    </row>
    <row r="16" spans="1:42" hidden="1" x14ac:dyDescent="0.2">
      <c r="A16" t="s">
        <v>73</v>
      </c>
      <c r="B16" t="s">
        <v>74</v>
      </c>
      <c r="C16" t="s">
        <v>73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5.6</v>
      </c>
      <c r="AE16">
        <v>48</v>
      </c>
      <c r="AF16">
        <v>25.745338188503968</v>
      </c>
      <c r="AG16">
        <v>13.84</v>
      </c>
      <c r="AH16">
        <f>25.0057102341732*1</f>
        <v>25.0057102341732</v>
      </c>
      <c r="AI16">
        <f>3.89925926361442*1</f>
        <v>3.8992592636144199</v>
      </c>
      <c r="AJ16">
        <v>1</v>
      </c>
      <c r="AK16">
        <v>0</v>
      </c>
      <c r="AL16">
        <v>0</v>
      </c>
      <c r="AN16" t="s">
        <v>10</v>
      </c>
      <c r="AO16">
        <f>AO2-AO14*5</f>
        <v>343.42160947647949</v>
      </c>
    </row>
    <row r="17" spans="1:42" hidden="1" x14ac:dyDescent="0.2">
      <c r="A17" t="s">
        <v>75</v>
      </c>
      <c r="B17" t="s">
        <v>76</v>
      </c>
      <c r="C17" t="s">
        <v>77</v>
      </c>
      <c r="D17" t="s">
        <v>3</v>
      </c>
      <c r="E17">
        <v>1</v>
      </c>
      <c r="F17">
        <v>0</v>
      </c>
      <c r="G17">
        <v>0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5.3</v>
      </c>
      <c r="AE17">
        <v>54</v>
      </c>
      <c r="AF17">
        <v>17.416666666666671</v>
      </c>
      <c r="AG17">
        <v>15.26595744680851</v>
      </c>
      <c r="AH17">
        <f>18.2078830944441*1</f>
        <v>18.207883094444099</v>
      </c>
      <c r="AI17">
        <f>3.64157661888883*1</f>
        <v>3.6415766188888301</v>
      </c>
      <c r="AJ17">
        <v>1</v>
      </c>
      <c r="AK17">
        <v>0</v>
      </c>
      <c r="AL17">
        <v>0</v>
      </c>
    </row>
    <row r="18" spans="1:42" hidden="1" x14ac:dyDescent="0.2">
      <c r="A18" t="s">
        <v>78</v>
      </c>
      <c r="B18" t="s">
        <v>79</v>
      </c>
      <c r="C18" t="s">
        <v>79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5.5</v>
      </c>
      <c r="AE18">
        <v>55</v>
      </c>
      <c r="AF18">
        <v>15.39215686274509</v>
      </c>
      <c r="AG18">
        <v>14.834710743801651</v>
      </c>
      <c r="AH18">
        <f>16.3852968293184*1</f>
        <v>16.385296829318399</v>
      </c>
      <c r="AI18">
        <f>3.27705936586368*1</f>
        <v>3.2770593658636802</v>
      </c>
      <c r="AJ18">
        <v>1</v>
      </c>
      <c r="AK18">
        <v>0</v>
      </c>
      <c r="AL18">
        <v>0</v>
      </c>
      <c r="AN18" t="s">
        <v>11</v>
      </c>
      <c r="AO18">
        <f>SUMPRODUCT(Table1[Selected],Table1[ARS])</f>
        <v>2</v>
      </c>
      <c r="AP18">
        <v>3</v>
      </c>
    </row>
    <row r="19" spans="1:42" hidden="1" x14ac:dyDescent="0.2">
      <c r="A19" t="s">
        <v>80</v>
      </c>
      <c r="B19" t="s">
        <v>81</v>
      </c>
      <c r="C19" t="s">
        <v>81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5.6</v>
      </c>
      <c r="AE19">
        <v>62</v>
      </c>
      <c r="AF19">
        <v>12.73320110824371</v>
      </c>
      <c r="AG19">
        <v>16.01503759398496</v>
      </c>
      <c r="AH19">
        <f>14.3737103350272*1</f>
        <v>14.3737103350272</v>
      </c>
      <c r="AI19">
        <f>2.87474206700545*1</f>
        <v>2.87474206700545</v>
      </c>
      <c r="AJ19">
        <v>1</v>
      </c>
      <c r="AK19">
        <v>0</v>
      </c>
      <c r="AL19">
        <v>0</v>
      </c>
      <c r="AN19" t="s">
        <v>12</v>
      </c>
      <c r="AO19">
        <f>SUMPRODUCT(Table1[Selected],Table1[AVL])</f>
        <v>0</v>
      </c>
      <c r="AP19">
        <v>3</v>
      </c>
    </row>
    <row r="20" spans="1:42" hidden="1" x14ac:dyDescent="0.2">
      <c r="A20" t="s">
        <v>82</v>
      </c>
      <c r="B20" t="s">
        <v>83</v>
      </c>
      <c r="C20" t="s">
        <v>83</v>
      </c>
      <c r="D20" t="s">
        <v>6</v>
      </c>
      <c r="E20">
        <v>0</v>
      </c>
      <c r="F20">
        <v>0</v>
      </c>
      <c r="G20">
        <v>0</v>
      </c>
      <c r="H20">
        <v>1</v>
      </c>
      <c r="I20" t="s">
        <v>12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8.9</v>
      </c>
      <c r="AE20">
        <v>64</v>
      </c>
      <c r="AF20">
        <v>30.526583768363949</v>
      </c>
      <c r="AG20">
        <v>17.916666666666671</v>
      </c>
      <c r="AH20">
        <f>29.9791836131426*1</f>
        <v>29.979183613142599</v>
      </c>
      <c r="AI20">
        <f>5.99583672262852*1</f>
        <v>5.9958367226285203</v>
      </c>
      <c r="AJ20">
        <v>1</v>
      </c>
      <c r="AK20">
        <v>0</v>
      </c>
      <c r="AL20">
        <v>0</v>
      </c>
      <c r="AN20" t="s">
        <v>13</v>
      </c>
      <c r="AO20">
        <f>SUMPRODUCT(Table1[Selected],Table1[BOU])</f>
        <v>2</v>
      </c>
      <c r="AP20">
        <v>3</v>
      </c>
    </row>
    <row r="21" spans="1:42" hidden="1" x14ac:dyDescent="0.2">
      <c r="A21" t="s">
        <v>84</v>
      </c>
      <c r="B21" t="s">
        <v>85</v>
      </c>
      <c r="C21" t="s">
        <v>84</v>
      </c>
      <c r="D21" t="s">
        <v>4</v>
      </c>
      <c r="E21">
        <v>0</v>
      </c>
      <c r="F21">
        <v>1</v>
      </c>
      <c r="G21">
        <v>0</v>
      </c>
      <c r="H21">
        <v>0</v>
      </c>
      <c r="I21" t="s">
        <v>12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4.5999999999999996</v>
      </c>
      <c r="AE21">
        <v>66</v>
      </c>
      <c r="AF21">
        <v>16</v>
      </c>
      <c r="AG21">
        <v>16.048592430834411</v>
      </c>
      <c r="AH21">
        <f>17.169771736464*1</f>
        <v>17.169771736464</v>
      </c>
      <c r="AI21">
        <f>3.41991065035575*1</f>
        <v>3.4199106503557499</v>
      </c>
      <c r="AJ21">
        <v>1</v>
      </c>
      <c r="AK21">
        <v>0</v>
      </c>
      <c r="AL21">
        <v>0</v>
      </c>
      <c r="AN21" t="s">
        <v>14</v>
      </c>
      <c r="AO21">
        <f>SUMPRODUCT(Table1[Selected],Table1[BRE])</f>
        <v>1</v>
      </c>
      <c r="AP21">
        <v>3</v>
      </c>
    </row>
    <row r="22" spans="1:42" hidden="1" x14ac:dyDescent="0.2">
      <c r="A22" t="s">
        <v>86</v>
      </c>
      <c r="B22" t="s">
        <v>87</v>
      </c>
      <c r="C22" t="s">
        <v>87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13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4.5999999999999996</v>
      </c>
      <c r="AE22">
        <v>89</v>
      </c>
      <c r="AF22">
        <v>12.079637519930619</v>
      </c>
      <c r="AG22">
        <v>14.66666666666667</v>
      </c>
      <c r="AH22">
        <f>14.7210661726885*1</f>
        <v>14.7210661726885</v>
      </c>
      <c r="AI22">
        <f>3.02911015577456*1</f>
        <v>3.0291101557745601</v>
      </c>
      <c r="AJ22">
        <v>1</v>
      </c>
      <c r="AK22">
        <v>0</v>
      </c>
      <c r="AL22">
        <v>0</v>
      </c>
      <c r="AN22" t="s">
        <v>15</v>
      </c>
      <c r="AO22">
        <f>SUMPRODUCT(Table1[Selected],Table1[BHA])</f>
        <v>0</v>
      </c>
      <c r="AP22">
        <v>3</v>
      </c>
    </row>
    <row r="23" spans="1:42" x14ac:dyDescent="0.2">
      <c r="A23" t="s">
        <v>232</v>
      </c>
      <c r="B23" t="s">
        <v>233</v>
      </c>
      <c r="C23" t="s">
        <v>233</v>
      </c>
      <c r="D23" t="s">
        <v>4</v>
      </c>
      <c r="E23">
        <v>0</v>
      </c>
      <c r="F23">
        <v>1</v>
      </c>
      <c r="G23">
        <v>0</v>
      </c>
      <c r="H23">
        <v>0</v>
      </c>
      <c r="I23" t="s">
        <v>22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4.5999999999999996</v>
      </c>
      <c r="AE23">
        <v>458</v>
      </c>
      <c r="AF23">
        <v>-2.4537084627450199</v>
      </c>
      <c r="AG23">
        <v>17.8542267330307</v>
      </c>
      <c r="AH23">
        <f>28.0232964370005*1</f>
        <v>28.0232964370005</v>
      </c>
      <c r="AI23">
        <f>6.00639005343955*1</f>
        <v>6.0063900534395502</v>
      </c>
      <c r="AJ23">
        <v>1</v>
      </c>
      <c r="AK23">
        <v>1</v>
      </c>
      <c r="AL23">
        <v>1</v>
      </c>
      <c r="AN23" t="s">
        <v>16</v>
      </c>
      <c r="AO23">
        <f>SUMPRODUCT(Table1[Selected],Table1[BUR])</f>
        <v>0</v>
      </c>
      <c r="AP23">
        <v>3</v>
      </c>
    </row>
    <row r="24" spans="1:42" hidden="1" x14ac:dyDescent="0.2">
      <c r="A24" t="s">
        <v>91</v>
      </c>
      <c r="B24" t="s">
        <v>92</v>
      </c>
      <c r="C24" t="s">
        <v>92</v>
      </c>
      <c r="D24" t="s">
        <v>6</v>
      </c>
      <c r="E24">
        <v>0</v>
      </c>
      <c r="F24">
        <v>0</v>
      </c>
      <c r="G24">
        <v>0</v>
      </c>
      <c r="H24">
        <v>1</v>
      </c>
      <c r="I24" t="s">
        <v>13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4.5</v>
      </c>
      <c r="AE24">
        <v>99</v>
      </c>
      <c r="AF24">
        <v>12.58064516129032</v>
      </c>
      <c r="AG24">
        <v>13.4375</v>
      </c>
      <c r="AH24">
        <f>15.3316280897419*1</f>
        <v>15.3316280897419</v>
      </c>
      <c r="AI24">
        <f>3.06632561794838*1</f>
        <v>3.06632561794838</v>
      </c>
      <c r="AJ24">
        <v>1</v>
      </c>
      <c r="AK24">
        <v>0</v>
      </c>
      <c r="AL24">
        <v>0</v>
      </c>
      <c r="AN24" t="s">
        <v>17</v>
      </c>
      <c r="AO24">
        <f>SUMPRODUCT(Table1[Selected],Table1[CHE])</f>
        <v>2</v>
      </c>
      <c r="AP24">
        <v>3</v>
      </c>
    </row>
    <row r="25" spans="1:42" hidden="1" x14ac:dyDescent="0.2">
      <c r="A25" t="s">
        <v>93</v>
      </c>
      <c r="B25" t="s">
        <v>94</v>
      </c>
      <c r="C25" t="s">
        <v>94</v>
      </c>
      <c r="D25" t="s">
        <v>4</v>
      </c>
      <c r="E25">
        <v>0</v>
      </c>
      <c r="F25">
        <v>1</v>
      </c>
      <c r="G25">
        <v>0</v>
      </c>
      <c r="H25">
        <v>0</v>
      </c>
      <c r="I25" t="s">
        <v>13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4.5</v>
      </c>
      <c r="AE25">
        <v>100</v>
      </c>
      <c r="AF25">
        <v>12.966780209033089</v>
      </c>
      <c r="AG25">
        <v>12.625</v>
      </c>
      <c r="AH25">
        <f>15.8021984673742*1</f>
        <v>15.8021984673742</v>
      </c>
      <c r="AI25">
        <f>3.181658329325*1</f>
        <v>3.1816583293249998</v>
      </c>
      <c r="AJ25">
        <v>1</v>
      </c>
      <c r="AK25">
        <v>0</v>
      </c>
      <c r="AL25">
        <v>0</v>
      </c>
      <c r="AN25" t="s">
        <v>18</v>
      </c>
      <c r="AO25">
        <f>SUMPRODUCT(Table1[Selected],Table1[CRY])</f>
        <v>0</v>
      </c>
      <c r="AP25">
        <v>3</v>
      </c>
    </row>
    <row r="26" spans="1:42" x14ac:dyDescent="0.2">
      <c r="A26" t="s">
        <v>44</v>
      </c>
      <c r="B26" t="s">
        <v>50</v>
      </c>
      <c r="C26" t="s">
        <v>51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11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7.7</v>
      </c>
      <c r="AE26">
        <v>10</v>
      </c>
      <c r="AF26">
        <v>19.379310344827591</v>
      </c>
      <c r="AG26">
        <v>18.880335969490758</v>
      </c>
      <c r="AH26">
        <f>22.2232192126046*1</f>
        <v>22.223219212604601</v>
      </c>
      <c r="AI26">
        <f>5.55580480314586*1</f>
        <v>5.5558048031458602</v>
      </c>
      <c r="AJ26">
        <v>1</v>
      </c>
      <c r="AK26">
        <v>1</v>
      </c>
      <c r="AL26">
        <v>1</v>
      </c>
      <c r="AN26" t="s">
        <v>19</v>
      </c>
      <c r="AO26">
        <f>SUMPRODUCT(Table1[Selected],Table1[EVE])</f>
        <v>1</v>
      </c>
      <c r="AP26">
        <v>3</v>
      </c>
    </row>
    <row r="27" spans="1:42" hidden="1" x14ac:dyDescent="0.2">
      <c r="A27" t="s">
        <v>97</v>
      </c>
      <c r="B27" t="s">
        <v>98</v>
      </c>
      <c r="C27" t="s">
        <v>98</v>
      </c>
      <c r="D27" t="s">
        <v>4</v>
      </c>
      <c r="E27">
        <v>0</v>
      </c>
      <c r="F27">
        <v>1</v>
      </c>
      <c r="G27">
        <v>0</v>
      </c>
      <c r="H27">
        <v>0</v>
      </c>
      <c r="I27" t="s">
        <v>14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4.5</v>
      </c>
      <c r="AE27">
        <v>124</v>
      </c>
      <c r="AF27">
        <v>11.875</v>
      </c>
      <c r="AG27">
        <v>12.65</v>
      </c>
      <c r="AH27">
        <f>12.2066624606299*1</f>
        <v>12.2066624606299</v>
      </c>
      <c r="AI27">
        <f>2.44133249212599*1</f>
        <v>2.4413324921259898</v>
      </c>
      <c r="AJ27">
        <v>1</v>
      </c>
      <c r="AK27">
        <v>0</v>
      </c>
      <c r="AL27">
        <v>0</v>
      </c>
      <c r="AN27" t="s">
        <v>20</v>
      </c>
      <c r="AO27">
        <f>SUMPRODUCT(Table1[Selected],Table1[FUL])</f>
        <v>0</v>
      </c>
      <c r="AP27">
        <v>3</v>
      </c>
    </row>
    <row r="28" spans="1:42" x14ac:dyDescent="0.2">
      <c r="A28" t="s">
        <v>146</v>
      </c>
      <c r="B28" t="s">
        <v>147</v>
      </c>
      <c r="C28" t="s">
        <v>147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5.7</v>
      </c>
      <c r="AE28">
        <v>279</v>
      </c>
      <c r="AF28">
        <v>25.019328319931152</v>
      </c>
      <c r="AG28">
        <v>10.8</v>
      </c>
      <c r="AH28">
        <f>20.1091710469458*1</f>
        <v>20.1091710469458</v>
      </c>
      <c r="AI28">
        <f>5.39599215457712*1</f>
        <v>5.3959921545771197</v>
      </c>
      <c r="AJ28">
        <v>1</v>
      </c>
      <c r="AK28">
        <v>1</v>
      </c>
      <c r="AL28">
        <v>1</v>
      </c>
      <c r="AN28" t="s">
        <v>21</v>
      </c>
      <c r="AO28">
        <f>SUMPRODUCT(Table1[Selected],Table1[LIV])</f>
        <v>1</v>
      </c>
      <c r="AP28">
        <v>3</v>
      </c>
    </row>
    <row r="29" spans="1:42" hidden="1" x14ac:dyDescent="0.2">
      <c r="A29" t="s">
        <v>101</v>
      </c>
      <c r="B29" t="s">
        <v>102</v>
      </c>
      <c r="C29" t="s">
        <v>102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14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5.3</v>
      </c>
      <c r="AE29">
        <v>133</v>
      </c>
      <c r="AF29">
        <v>11.98470559673788</v>
      </c>
      <c r="AG29">
        <v>13.47826086956522</v>
      </c>
      <c r="AH29">
        <f>13.0058957305217*1</f>
        <v>13.005895730521701</v>
      </c>
      <c r="AI29">
        <f>2.60117914610434*1</f>
        <v>2.6011791461043399</v>
      </c>
      <c r="AJ29">
        <v>1</v>
      </c>
      <c r="AK29">
        <v>0</v>
      </c>
      <c r="AL29">
        <v>0</v>
      </c>
      <c r="AN29" t="s">
        <v>22</v>
      </c>
      <c r="AO29">
        <f>SUMPRODUCT(Table1[Selected],Table1[LUT])</f>
        <v>2</v>
      </c>
      <c r="AP29">
        <v>3</v>
      </c>
    </row>
    <row r="30" spans="1:42" hidden="1" x14ac:dyDescent="0.2">
      <c r="A30" t="s">
        <v>103</v>
      </c>
      <c r="B30" t="s">
        <v>104</v>
      </c>
      <c r="C30" t="s">
        <v>104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14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4.7</v>
      </c>
      <c r="AE30">
        <v>135</v>
      </c>
      <c r="AF30">
        <v>10.34482758620689</v>
      </c>
      <c r="AG30">
        <v>10.56818181818182</v>
      </c>
      <c r="AH30">
        <f>10.1978046068863*1</f>
        <v>10.197804606886301</v>
      </c>
      <c r="AI30">
        <f>2.03956092137727*1</f>
        <v>2.0395609213772699</v>
      </c>
      <c r="AJ30">
        <v>1</v>
      </c>
      <c r="AK30">
        <v>0</v>
      </c>
      <c r="AL30">
        <v>0</v>
      </c>
      <c r="AN30" t="s">
        <v>23</v>
      </c>
      <c r="AO30">
        <f>SUMPRODUCT(Table1[Selected],Table1[MCI])</f>
        <v>3</v>
      </c>
      <c r="AP30">
        <v>3</v>
      </c>
    </row>
    <row r="31" spans="1:42" hidden="1" x14ac:dyDescent="0.2">
      <c r="A31" t="s">
        <v>105</v>
      </c>
      <c r="B31" t="s">
        <v>106</v>
      </c>
      <c r="C31" t="s">
        <v>106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14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5.3</v>
      </c>
      <c r="AE31">
        <v>138</v>
      </c>
      <c r="AF31">
        <v>14.67105263157895</v>
      </c>
      <c r="AG31">
        <v>14.66666666666667</v>
      </c>
      <c r="AH31">
        <f>14.1526521282666*1</f>
        <v>14.152652128266601</v>
      </c>
      <c r="AI31">
        <f>2.83053042565333*1</f>
        <v>2.8305304256533299</v>
      </c>
      <c r="AJ31">
        <v>1</v>
      </c>
      <c r="AK31">
        <v>0</v>
      </c>
      <c r="AL31">
        <v>0</v>
      </c>
      <c r="AN31" t="s">
        <v>24</v>
      </c>
      <c r="AO31">
        <f>SUMPRODUCT(Table1[Selected],Table1[MUN])</f>
        <v>0</v>
      </c>
      <c r="AP31">
        <v>3</v>
      </c>
    </row>
    <row r="32" spans="1:42" hidden="1" x14ac:dyDescent="0.2">
      <c r="A32" t="s">
        <v>107</v>
      </c>
      <c r="B32" t="s">
        <v>108</v>
      </c>
      <c r="C32" t="s">
        <v>108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14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4.5999999999999996</v>
      </c>
      <c r="AE32">
        <v>140</v>
      </c>
      <c r="AF32">
        <v>15.370370370370379</v>
      </c>
      <c r="AG32">
        <v>15.0390625</v>
      </c>
      <c r="AH32">
        <f>14.5119968112109*1</f>
        <v>14.511996811210899</v>
      </c>
      <c r="AI32">
        <f>2.90239936224218*1</f>
        <v>2.9023993622421802</v>
      </c>
      <c r="AJ32">
        <v>1</v>
      </c>
      <c r="AK32">
        <v>0</v>
      </c>
      <c r="AL32">
        <v>0</v>
      </c>
      <c r="AN32" t="s">
        <v>25</v>
      </c>
      <c r="AO32">
        <f>SUMPRODUCT(Table1[Selected],Table1[NEW])</f>
        <v>0</v>
      </c>
      <c r="AP32">
        <v>3</v>
      </c>
    </row>
    <row r="33" spans="1:42" hidden="1" x14ac:dyDescent="0.2">
      <c r="A33" t="s">
        <v>109</v>
      </c>
      <c r="B33" t="s">
        <v>110</v>
      </c>
      <c r="C33" t="s">
        <v>110</v>
      </c>
      <c r="D33" t="s">
        <v>6</v>
      </c>
      <c r="E33">
        <v>0</v>
      </c>
      <c r="F33">
        <v>0</v>
      </c>
      <c r="G33">
        <v>0</v>
      </c>
      <c r="H33">
        <v>1</v>
      </c>
      <c r="I33" t="s">
        <v>14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5.6</v>
      </c>
      <c r="AE33">
        <v>146</v>
      </c>
      <c r="AF33">
        <v>16.000661619477619</v>
      </c>
      <c r="AG33">
        <v>15</v>
      </c>
      <c r="AH33">
        <f>14.474303313*1</f>
        <v>14.474303313</v>
      </c>
      <c r="AI33">
        <f>2.89486066259999*1</f>
        <v>2.89486066259999</v>
      </c>
      <c r="AJ33">
        <v>1</v>
      </c>
      <c r="AK33">
        <v>0</v>
      </c>
      <c r="AL33">
        <v>0</v>
      </c>
      <c r="AN33" t="s">
        <v>26</v>
      </c>
      <c r="AO33">
        <f>SUMPRODUCT(Table1[Selected],Table1[NFO])</f>
        <v>0</v>
      </c>
      <c r="AP33">
        <v>3</v>
      </c>
    </row>
    <row r="34" spans="1:42" hidden="1" x14ac:dyDescent="0.2">
      <c r="A34" t="s">
        <v>111</v>
      </c>
      <c r="B34" t="s">
        <v>112</v>
      </c>
      <c r="C34" t="s">
        <v>112</v>
      </c>
      <c r="D34" t="s">
        <v>6</v>
      </c>
      <c r="E34">
        <v>0</v>
      </c>
      <c r="F34">
        <v>0</v>
      </c>
      <c r="G34">
        <v>0</v>
      </c>
      <c r="H34">
        <v>1</v>
      </c>
      <c r="I34" t="s">
        <v>14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4.9000000000000004</v>
      </c>
      <c r="AE34">
        <v>149</v>
      </c>
      <c r="AF34">
        <v>13.860494151009179</v>
      </c>
      <c r="AG34">
        <v>14.870689655172409</v>
      </c>
      <c r="AH34">
        <f>14.3495248361637*1</f>
        <v>14.349524836163701</v>
      </c>
      <c r="AI34">
        <f>2.86990496723275*1</f>
        <v>2.8699049672327499</v>
      </c>
      <c r="AJ34">
        <v>1</v>
      </c>
      <c r="AK34">
        <v>0</v>
      </c>
      <c r="AL34">
        <v>0</v>
      </c>
      <c r="AN34" t="s">
        <v>27</v>
      </c>
      <c r="AO34">
        <f>SUMPRODUCT(Table1[Selected],Table1[SHU])</f>
        <v>0</v>
      </c>
      <c r="AP34">
        <v>3</v>
      </c>
    </row>
    <row r="35" spans="1:42" hidden="1" x14ac:dyDescent="0.2">
      <c r="A35" t="s">
        <v>113</v>
      </c>
      <c r="B35" t="s">
        <v>114</v>
      </c>
      <c r="C35" t="s">
        <v>114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15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</v>
      </c>
      <c r="AE35">
        <v>160</v>
      </c>
      <c r="AF35">
        <v>14.86485778744899</v>
      </c>
      <c r="AG35">
        <v>12.44020060225535</v>
      </c>
      <c r="AH35">
        <f>20.3629191199585*1</f>
        <v>20.362919119958502</v>
      </c>
      <c r="AI35">
        <f>1.19232052270739*1</f>
        <v>1.1923205227073901</v>
      </c>
      <c r="AJ35">
        <v>1</v>
      </c>
      <c r="AK35">
        <v>0</v>
      </c>
      <c r="AL35">
        <v>0</v>
      </c>
      <c r="AN35" t="s">
        <v>28</v>
      </c>
      <c r="AO35">
        <f>SUMPRODUCT(Table1[Selected],Table1[TOT])</f>
        <v>1</v>
      </c>
      <c r="AP35">
        <v>3</v>
      </c>
    </row>
    <row r="36" spans="1:42" hidden="1" x14ac:dyDescent="0.2">
      <c r="A36" t="s">
        <v>115</v>
      </c>
      <c r="B36" t="s">
        <v>116</v>
      </c>
      <c r="C36" t="s">
        <v>116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15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4.7</v>
      </c>
      <c r="AE36">
        <v>163</v>
      </c>
      <c r="AF36">
        <v>9.428571428571427</v>
      </c>
      <c r="AG36">
        <v>9.1428571428571423</v>
      </c>
      <c r="AH36">
        <f>13.3209757102399*1</f>
        <v>13.3209757102399</v>
      </c>
      <c r="AI36">
        <f>3.33024392755999*1</f>
        <v>3.33024392755999</v>
      </c>
      <c r="AJ36">
        <v>1</v>
      </c>
      <c r="AK36">
        <v>0</v>
      </c>
      <c r="AL36">
        <v>0</v>
      </c>
      <c r="AN36" t="s">
        <v>29</v>
      </c>
      <c r="AO36">
        <f>SUMPRODUCT(Table1[Selected],Table1[WHU])</f>
        <v>0</v>
      </c>
      <c r="AP36">
        <v>3</v>
      </c>
    </row>
    <row r="37" spans="1:42" hidden="1" x14ac:dyDescent="0.2">
      <c r="A37" t="s">
        <v>117</v>
      </c>
      <c r="B37" t="s">
        <v>118</v>
      </c>
      <c r="C37" t="s">
        <v>118</v>
      </c>
      <c r="D37" t="s">
        <v>4</v>
      </c>
      <c r="E37">
        <v>0</v>
      </c>
      <c r="F37">
        <v>1</v>
      </c>
      <c r="G37">
        <v>0</v>
      </c>
      <c r="H37">
        <v>0</v>
      </c>
      <c r="I37" t="s">
        <v>15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5.0999999999999996</v>
      </c>
      <c r="AE37">
        <v>166</v>
      </c>
      <c r="AF37">
        <v>12.747252747252739</v>
      </c>
      <c r="AG37">
        <v>12.33333333333333</v>
      </c>
      <c r="AH37">
        <f>18.0007701799972*1</f>
        <v>18.0007701799972</v>
      </c>
      <c r="AI37">
        <f>4.5001925449993*1</f>
        <v>4.5001925449993001</v>
      </c>
      <c r="AJ37">
        <v>1</v>
      </c>
      <c r="AK37">
        <v>0</v>
      </c>
      <c r="AL37">
        <v>0</v>
      </c>
      <c r="AN37" t="s">
        <v>30</v>
      </c>
      <c r="AO37">
        <f>SUMPRODUCT(Table1[Selected],Table1[WOL])</f>
        <v>0</v>
      </c>
      <c r="AP37">
        <v>3</v>
      </c>
    </row>
    <row r="38" spans="1:42" hidden="1" x14ac:dyDescent="0.2">
      <c r="A38" t="s">
        <v>119</v>
      </c>
      <c r="B38" t="s">
        <v>120</v>
      </c>
      <c r="C38" t="s">
        <v>121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15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6.5</v>
      </c>
      <c r="AE38">
        <v>171</v>
      </c>
      <c r="AF38">
        <v>19.11797858256698</v>
      </c>
      <c r="AG38">
        <v>12.611940298507459</v>
      </c>
      <c r="AH38">
        <f>25.0933193471349*1</f>
        <v>25.093319347134901</v>
      </c>
      <c r="AI38">
        <f>6.27332983678374*1</f>
        <v>6.2733298367837396</v>
      </c>
      <c r="AJ38">
        <v>1</v>
      </c>
      <c r="AK38">
        <v>0</v>
      </c>
      <c r="AL38">
        <v>0</v>
      </c>
    </row>
    <row r="39" spans="1:42" hidden="1" x14ac:dyDescent="0.2">
      <c r="A39" t="s">
        <v>122</v>
      </c>
      <c r="B39" t="s">
        <v>123</v>
      </c>
      <c r="C39" t="s">
        <v>122</v>
      </c>
      <c r="D39" t="s">
        <v>6</v>
      </c>
      <c r="E39">
        <v>0</v>
      </c>
      <c r="F39">
        <v>0</v>
      </c>
      <c r="G39">
        <v>0</v>
      </c>
      <c r="H39">
        <v>1</v>
      </c>
      <c r="I39" t="s">
        <v>15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5.3</v>
      </c>
      <c r="AE39">
        <v>172</v>
      </c>
      <c r="AF39">
        <v>20.639969709864619</v>
      </c>
      <c r="AG39">
        <v>10.195121951219511</v>
      </c>
      <c r="AH39">
        <f>25.9844427340215*1</f>
        <v>25.984442734021499</v>
      </c>
      <c r="AI39">
        <f>3.24302561180881*1</f>
        <v>3.2430256118088101</v>
      </c>
      <c r="AJ39">
        <v>1</v>
      </c>
      <c r="AK39">
        <v>0</v>
      </c>
      <c r="AL39">
        <v>0</v>
      </c>
    </row>
    <row r="40" spans="1:42" hidden="1" x14ac:dyDescent="0.2">
      <c r="A40" t="s">
        <v>124</v>
      </c>
      <c r="B40" t="s">
        <v>125</v>
      </c>
      <c r="C40" t="s">
        <v>125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15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6.4</v>
      </c>
      <c r="AE40">
        <v>180</v>
      </c>
      <c r="AF40">
        <v>9.9203024090473733</v>
      </c>
      <c r="AG40">
        <v>17.756716675879609</v>
      </c>
      <c r="AH40">
        <f>16.6478445705463*1</f>
        <v>16.647844570546301</v>
      </c>
      <c r="AI40">
        <f>2.47491748178539*1</f>
        <v>2.4749174817853898</v>
      </c>
      <c r="AJ40">
        <v>1</v>
      </c>
      <c r="AK40">
        <v>0</v>
      </c>
      <c r="AL40">
        <v>0</v>
      </c>
    </row>
    <row r="41" spans="1:42" hidden="1" x14ac:dyDescent="0.2">
      <c r="A41" t="s">
        <v>126</v>
      </c>
      <c r="B41" t="s">
        <v>127</v>
      </c>
      <c r="C41" t="s">
        <v>127</v>
      </c>
      <c r="D41" t="s">
        <v>3</v>
      </c>
      <c r="E41">
        <v>1</v>
      </c>
      <c r="F41">
        <v>0</v>
      </c>
      <c r="G41">
        <v>0</v>
      </c>
      <c r="H41">
        <v>0</v>
      </c>
      <c r="I41" t="s">
        <v>15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4.2</v>
      </c>
      <c r="AE41">
        <v>184</v>
      </c>
      <c r="AF41">
        <v>14.464017658743179</v>
      </c>
      <c r="AG41">
        <v>12.52631578947368</v>
      </c>
      <c r="AH41">
        <f>19.9501892020492*1</f>
        <v>19.950189202049199</v>
      </c>
      <c r="AI41">
        <f>5.46730576506198*1</f>
        <v>5.4673057650619796</v>
      </c>
      <c r="AJ41">
        <v>1</v>
      </c>
      <c r="AK41">
        <v>1</v>
      </c>
      <c r="AL41">
        <v>0</v>
      </c>
    </row>
    <row r="42" spans="1:42" hidden="1" x14ac:dyDescent="0.2">
      <c r="A42" t="s">
        <v>128</v>
      </c>
      <c r="B42" t="s">
        <v>129</v>
      </c>
      <c r="C42" t="s">
        <v>129</v>
      </c>
      <c r="D42" t="s">
        <v>6</v>
      </c>
      <c r="E42">
        <v>0</v>
      </c>
      <c r="F42">
        <v>0</v>
      </c>
      <c r="G42">
        <v>0</v>
      </c>
      <c r="H42">
        <v>1</v>
      </c>
      <c r="I42" t="s">
        <v>15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5.7</v>
      </c>
      <c r="AE42">
        <v>190</v>
      </c>
      <c r="AF42">
        <v>11.988450357957189</v>
      </c>
      <c r="AG42">
        <v>13.095004510618949</v>
      </c>
      <c r="AH42">
        <f>17.413109974087*1</f>
        <v>17.413109974087</v>
      </c>
      <c r="AI42">
        <f>4.20843372804115*1</f>
        <v>4.2084337280411503</v>
      </c>
      <c r="AJ42">
        <v>1</v>
      </c>
      <c r="AK42">
        <v>0</v>
      </c>
      <c r="AL42">
        <v>0</v>
      </c>
    </row>
    <row r="43" spans="1:42" hidden="1" x14ac:dyDescent="0.2">
      <c r="A43" t="s">
        <v>130</v>
      </c>
      <c r="B43" t="s">
        <v>131</v>
      </c>
      <c r="C43" t="s">
        <v>131</v>
      </c>
      <c r="D43" t="s">
        <v>4</v>
      </c>
      <c r="E43">
        <v>0</v>
      </c>
      <c r="F43">
        <v>1</v>
      </c>
      <c r="G43">
        <v>0</v>
      </c>
      <c r="H43">
        <v>0</v>
      </c>
      <c r="I43" t="s">
        <v>17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4.7</v>
      </c>
      <c r="AE43">
        <v>261</v>
      </c>
      <c r="AF43">
        <v>10.947368421052641</v>
      </c>
      <c r="AG43">
        <v>11.491662049675771</v>
      </c>
      <c r="AH43">
        <f>11.3813730918802*1</f>
        <v>11.381373091880199</v>
      </c>
      <c r="AI43">
        <f>2.84867182452441*1</f>
        <v>2.84867182452441</v>
      </c>
      <c r="AJ43">
        <v>1</v>
      </c>
      <c r="AK43">
        <v>0</v>
      </c>
      <c r="AL43">
        <v>0</v>
      </c>
    </row>
    <row r="44" spans="1:42" hidden="1" x14ac:dyDescent="0.2">
      <c r="A44" t="s">
        <v>132</v>
      </c>
      <c r="B44" t="s">
        <v>133</v>
      </c>
      <c r="C44" t="s">
        <v>132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17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4.8</v>
      </c>
      <c r="AE44">
        <v>263</v>
      </c>
      <c r="AF44">
        <v>10.52631578947369</v>
      </c>
      <c r="AG44">
        <v>11.379310344827591</v>
      </c>
      <c r="AH44">
        <f>11.0694435998442*1</f>
        <v>11.069443599844201</v>
      </c>
      <c r="AI44">
        <f>2.76736089996107*1</f>
        <v>2.7673608999610702</v>
      </c>
      <c r="AJ44">
        <v>1</v>
      </c>
      <c r="AK44">
        <v>0</v>
      </c>
      <c r="AL44">
        <v>0</v>
      </c>
    </row>
    <row r="45" spans="1:42" hidden="1" x14ac:dyDescent="0.2">
      <c r="A45" t="s">
        <v>134</v>
      </c>
      <c r="B45" t="s">
        <v>135</v>
      </c>
      <c r="C45" t="s">
        <v>135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17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5.4</v>
      </c>
      <c r="AE45">
        <v>265</v>
      </c>
      <c r="AF45">
        <v>10.57092960917957</v>
      </c>
      <c r="AG45">
        <v>11.29032258064516</v>
      </c>
      <c r="AH45">
        <f>11.0639862633812*1</f>
        <v>11.063986263381199</v>
      </c>
      <c r="AI45">
        <f>1.55676994326443*1</f>
        <v>1.55676994326443</v>
      </c>
      <c r="AJ45">
        <v>1</v>
      </c>
      <c r="AK45">
        <v>0</v>
      </c>
      <c r="AL45">
        <v>0</v>
      </c>
    </row>
    <row r="46" spans="1:42" hidden="1" x14ac:dyDescent="0.2">
      <c r="A46" t="s">
        <v>136</v>
      </c>
      <c r="B46" t="s">
        <v>137</v>
      </c>
      <c r="C46" t="s">
        <v>137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6.3</v>
      </c>
      <c r="AE46">
        <v>270</v>
      </c>
      <c r="AF46">
        <v>10.25</v>
      </c>
      <c r="AG46">
        <v>10.58333333333333</v>
      </c>
      <c r="AH46">
        <f>10.5890720041808*1</f>
        <v>10.5890720041808</v>
      </c>
      <c r="AI46">
        <f>2.6472680010452*1</f>
        <v>2.6472680010451999</v>
      </c>
      <c r="AJ46">
        <v>1</v>
      </c>
      <c r="AK46">
        <v>0</v>
      </c>
      <c r="AL46">
        <v>0</v>
      </c>
    </row>
    <row r="47" spans="1:42" hidden="1" x14ac:dyDescent="0.2">
      <c r="A47" t="s">
        <v>138</v>
      </c>
      <c r="B47" t="s">
        <v>139</v>
      </c>
      <c r="C47" t="s">
        <v>140</v>
      </c>
      <c r="D47" t="s">
        <v>6</v>
      </c>
      <c r="E47">
        <v>0</v>
      </c>
      <c r="F47">
        <v>0</v>
      </c>
      <c r="G47">
        <v>0</v>
      </c>
      <c r="H47">
        <v>1</v>
      </c>
      <c r="I47" t="s">
        <v>17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6.8</v>
      </c>
      <c r="AE47">
        <v>271</v>
      </c>
      <c r="AF47">
        <v>13.27272727272727</v>
      </c>
      <c r="AG47">
        <v>14.48266982522591</v>
      </c>
      <c r="AH47">
        <f>14.0088577281744*1</f>
        <v>14.0088577281744</v>
      </c>
      <c r="AI47">
        <f>3.50046159042847*1</f>
        <v>3.5004615904284702</v>
      </c>
      <c r="AJ47">
        <v>1</v>
      </c>
      <c r="AK47">
        <v>0</v>
      </c>
      <c r="AL47">
        <v>0</v>
      </c>
    </row>
    <row r="48" spans="1:42" x14ac:dyDescent="0.2">
      <c r="A48" t="s">
        <v>228</v>
      </c>
      <c r="B48" t="s">
        <v>229</v>
      </c>
      <c r="C48" t="s">
        <v>228</v>
      </c>
      <c r="D48" t="s">
        <v>4</v>
      </c>
      <c r="E48">
        <v>0</v>
      </c>
      <c r="F48">
        <v>1</v>
      </c>
      <c r="G48">
        <v>0</v>
      </c>
      <c r="H48">
        <v>0</v>
      </c>
      <c r="I48" t="s">
        <v>21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6.4</v>
      </c>
      <c r="AE48">
        <v>432</v>
      </c>
      <c r="AF48">
        <v>19</v>
      </c>
      <c r="AG48">
        <v>16.61816454392218</v>
      </c>
      <c r="AH48">
        <f>18.7839358950085*1</f>
        <v>18.783935895008501</v>
      </c>
      <c r="AI48">
        <f>5.27440827228718*1</f>
        <v>5.2744082722871797</v>
      </c>
      <c r="AJ48">
        <v>1</v>
      </c>
      <c r="AK48">
        <v>1</v>
      </c>
      <c r="AL48">
        <v>1</v>
      </c>
    </row>
    <row r="49" spans="1:38" hidden="1" x14ac:dyDescent="0.2">
      <c r="A49" t="s">
        <v>143</v>
      </c>
      <c r="B49" t="s">
        <v>144</v>
      </c>
      <c r="C49" t="s">
        <v>145</v>
      </c>
      <c r="D49" t="s">
        <v>4</v>
      </c>
      <c r="E49">
        <v>0</v>
      </c>
      <c r="F49">
        <v>1</v>
      </c>
      <c r="G49">
        <v>0</v>
      </c>
      <c r="H49">
        <v>0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</v>
      </c>
      <c r="AE49">
        <v>277</v>
      </c>
      <c r="AF49">
        <v>13.28205128205127</v>
      </c>
      <c r="AG49">
        <v>12.661550886567481</v>
      </c>
      <c r="AH49">
        <f>9.98979645779794*0.75</f>
        <v>7.4923473433484551</v>
      </c>
      <c r="AI49">
        <f>3.32710838929162*0.75</f>
        <v>2.4953312919687147</v>
      </c>
      <c r="AJ49">
        <v>0.75</v>
      </c>
      <c r="AK49">
        <v>0</v>
      </c>
      <c r="AL49">
        <v>0</v>
      </c>
    </row>
    <row r="50" spans="1:38" x14ac:dyDescent="0.2">
      <c r="A50" t="s">
        <v>56</v>
      </c>
      <c r="B50" t="s">
        <v>57</v>
      </c>
      <c r="C50" t="s">
        <v>57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11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5.7</v>
      </c>
      <c r="AE50">
        <v>18</v>
      </c>
      <c r="AF50">
        <v>16.919834259217321</v>
      </c>
      <c r="AG50">
        <v>15.481734123787611</v>
      </c>
      <c r="AH50">
        <f>19.2597474824341*1</f>
        <v>19.259747482434101</v>
      </c>
      <c r="AI50">
        <f>5.11130057630568*1</f>
        <v>5.1113005763056796</v>
      </c>
      <c r="AJ50">
        <v>1</v>
      </c>
      <c r="AK50">
        <v>1</v>
      </c>
      <c r="AL50">
        <v>1</v>
      </c>
    </row>
    <row r="51" spans="1:38" hidden="1" x14ac:dyDescent="0.2">
      <c r="A51" t="s">
        <v>148</v>
      </c>
      <c r="B51" t="s">
        <v>149</v>
      </c>
      <c r="C51" t="s">
        <v>149</v>
      </c>
      <c r="D51" t="s">
        <v>4</v>
      </c>
      <c r="E51">
        <v>0</v>
      </c>
      <c r="F51">
        <v>1</v>
      </c>
      <c r="G51">
        <v>0</v>
      </c>
      <c r="H51">
        <v>0</v>
      </c>
      <c r="I51" t="s">
        <v>18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4.7</v>
      </c>
      <c r="AE51">
        <v>302</v>
      </c>
      <c r="AF51">
        <v>11.552471385066649</v>
      </c>
      <c r="AG51">
        <v>12.086956521739131</v>
      </c>
      <c r="AH51">
        <f>13.5461886542347*1</f>
        <v>13.546188654234699</v>
      </c>
      <c r="AI51">
        <f>3.38654716355869*1</f>
        <v>3.3865471635586899</v>
      </c>
      <c r="AJ51">
        <v>1</v>
      </c>
      <c r="AK51">
        <v>0</v>
      </c>
      <c r="AL51">
        <v>0</v>
      </c>
    </row>
    <row r="52" spans="1:38" hidden="1" x14ac:dyDescent="0.2">
      <c r="A52" t="s">
        <v>150</v>
      </c>
      <c r="B52" t="s">
        <v>151</v>
      </c>
      <c r="C52" t="s">
        <v>152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5.4</v>
      </c>
      <c r="AE52">
        <v>303</v>
      </c>
      <c r="AF52">
        <v>11.34831460674158</v>
      </c>
      <c r="AG52">
        <v>11.347517730496451</v>
      </c>
      <c r="AH52">
        <f>12.7174790161702*1</f>
        <v>12.7174790161702</v>
      </c>
      <c r="AI52">
        <f>3.17936975404255*1</f>
        <v>3.1793697540425501</v>
      </c>
      <c r="AJ52">
        <v>1</v>
      </c>
      <c r="AK52">
        <v>0</v>
      </c>
      <c r="AL52">
        <v>0</v>
      </c>
    </row>
    <row r="53" spans="1:38" hidden="1" x14ac:dyDescent="0.2">
      <c r="A53" t="s">
        <v>153</v>
      </c>
      <c r="B53" t="s">
        <v>154</v>
      </c>
      <c r="C53" t="s">
        <v>154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</v>
      </c>
      <c r="AE53">
        <v>308</v>
      </c>
      <c r="AF53">
        <v>14.958333333333339</v>
      </c>
      <c r="AG53">
        <v>14.16588796460065</v>
      </c>
      <c r="AH53">
        <f>15.8761049961668*1</f>
        <v>15.8761049961668</v>
      </c>
      <c r="AI53">
        <f>3.96902624904624*1</f>
        <v>3.96902624904624</v>
      </c>
      <c r="AJ53">
        <v>1</v>
      </c>
      <c r="AK53">
        <v>0</v>
      </c>
      <c r="AL53">
        <v>0</v>
      </c>
    </row>
    <row r="54" spans="1:38" hidden="1" x14ac:dyDescent="0.2">
      <c r="A54" t="s">
        <v>155</v>
      </c>
      <c r="B54" t="s">
        <v>156</v>
      </c>
      <c r="C54" t="s">
        <v>156</v>
      </c>
      <c r="D54" t="s">
        <v>3</v>
      </c>
      <c r="E54">
        <v>1</v>
      </c>
      <c r="F54">
        <v>0</v>
      </c>
      <c r="G54">
        <v>0</v>
      </c>
      <c r="H54">
        <v>0</v>
      </c>
      <c r="I54" t="s">
        <v>18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4.4000000000000004</v>
      </c>
      <c r="AE54">
        <v>312</v>
      </c>
      <c r="AF54">
        <v>14.666666666666661</v>
      </c>
      <c r="AG54">
        <v>12.97959183673469</v>
      </c>
      <c r="AH54">
        <f>14.5465899011999*1</f>
        <v>14.5465899011999</v>
      </c>
      <c r="AI54">
        <f>3.63664747529999*1</f>
        <v>3.63664747529999</v>
      </c>
      <c r="AJ54">
        <v>1</v>
      </c>
      <c r="AK54">
        <v>0</v>
      </c>
      <c r="AL54">
        <v>0</v>
      </c>
    </row>
    <row r="55" spans="1:38" hidden="1" x14ac:dyDescent="0.2">
      <c r="A55" t="s">
        <v>157</v>
      </c>
      <c r="B55" t="s">
        <v>158</v>
      </c>
      <c r="C55" t="s">
        <v>159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18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4.7</v>
      </c>
      <c r="AE55">
        <v>313</v>
      </c>
      <c r="AF55">
        <v>10.42074435099183</v>
      </c>
      <c r="AG55">
        <v>11.27272727272727</v>
      </c>
      <c r="AH55">
        <f>12.633659268109*1</f>
        <v>12.633659268109</v>
      </c>
      <c r="AI55">
        <f>3.15841481702727*1</f>
        <v>3.1584148170272699</v>
      </c>
      <c r="AJ55">
        <v>1</v>
      </c>
      <c r="AK55">
        <v>0</v>
      </c>
      <c r="AL55">
        <v>0</v>
      </c>
    </row>
    <row r="56" spans="1:38" hidden="1" x14ac:dyDescent="0.2">
      <c r="A56" t="s">
        <v>160</v>
      </c>
      <c r="B56" t="s">
        <v>161</v>
      </c>
      <c r="C56" t="s">
        <v>161</v>
      </c>
      <c r="D56" t="s">
        <v>6</v>
      </c>
      <c r="E56">
        <v>0</v>
      </c>
      <c r="F56">
        <v>0</v>
      </c>
      <c r="G56">
        <v>0</v>
      </c>
      <c r="H56">
        <v>1</v>
      </c>
      <c r="I56" t="s">
        <v>18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4.9000000000000004</v>
      </c>
      <c r="AE56">
        <v>314</v>
      </c>
      <c r="AF56">
        <v>9.4358974358974308</v>
      </c>
      <c r="AG56">
        <v>9.9344262295081975</v>
      </c>
      <c r="AH56">
        <f>11.1337880329475*1</f>
        <v>11.1337880329475</v>
      </c>
      <c r="AI56">
        <f>2.78344700823688*1</f>
        <v>2.7834470082368798</v>
      </c>
      <c r="AJ56">
        <v>1</v>
      </c>
      <c r="AK56">
        <v>0</v>
      </c>
      <c r="AL56">
        <v>0</v>
      </c>
    </row>
    <row r="57" spans="1:38" hidden="1" x14ac:dyDescent="0.2">
      <c r="A57" t="s">
        <v>162</v>
      </c>
      <c r="B57" t="s">
        <v>163</v>
      </c>
      <c r="C57" t="s">
        <v>163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4.5</v>
      </c>
      <c r="AE57">
        <v>324</v>
      </c>
      <c r="AF57">
        <v>9.9501926880084106</v>
      </c>
      <c r="AG57">
        <v>10.981132075471701</v>
      </c>
      <c r="AH57">
        <f>12.3068604130301*1</f>
        <v>12.306860413030099</v>
      </c>
      <c r="AI57">
        <f>3.07671510325754*1</f>
        <v>3.0767151032575399</v>
      </c>
      <c r="AJ57">
        <v>1</v>
      </c>
      <c r="AK57">
        <v>0</v>
      </c>
      <c r="AL57">
        <v>0</v>
      </c>
    </row>
    <row r="58" spans="1:38" hidden="1" x14ac:dyDescent="0.2">
      <c r="A58" t="s">
        <v>164</v>
      </c>
      <c r="B58" t="s">
        <v>165</v>
      </c>
      <c r="C58" t="s">
        <v>165</v>
      </c>
      <c r="D58" t="s">
        <v>4</v>
      </c>
      <c r="E58">
        <v>0</v>
      </c>
      <c r="F58">
        <v>1</v>
      </c>
      <c r="G58">
        <v>0</v>
      </c>
      <c r="H58">
        <v>0</v>
      </c>
      <c r="I58" t="s">
        <v>19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4.2</v>
      </c>
      <c r="AE58">
        <v>339</v>
      </c>
      <c r="AF58">
        <v>11.393939393939389</v>
      </c>
      <c r="AG58">
        <v>10.8</v>
      </c>
      <c r="AH58">
        <f>11.1946490884549*1</f>
        <v>11.1946490884549</v>
      </c>
      <c r="AI58">
        <f>2.79866227211373*1</f>
        <v>2.79866227211373</v>
      </c>
      <c r="AJ58">
        <v>1</v>
      </c>
      <c r="AK58">
        <v>0</v>
      </c>
      <c r="AL58">
        <v>0</v>
      </c>
    </row>
    <row r="59" spans="1:38" hidden="1" x14ac:dyDescent="0.2">
      <c r="A59" t="s">
        <v>95</v>
      </c>
      <c r="B59" t="s">
        <v>166</v>
      </c>
      <c r="C59" t="s">
        <v>166</v>
      </c>
      <c r="D59" t="s">
        <v>6</v>
      </c>
      <c r="E59">
        <v>0</v>
      </c>
      <c r="F59">
        <v>0</v>
      </c>
      <c r="G59">
        <v>0</v>
      </c>
      <c r="H59">
        <v>1</v>
      </c>
      <c r="I59" t="s">
        <v>19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5.8</v>
      </c>
      <c r="AE59">
        <v>340</v>
      </c>
      <c r="AF59">
        <v>13.342490915285641</v>
      </c>
      <c r="AG59">
        <v>13.040650406504071</v>
      </c>
      <c r="AH59">
        <f>13.5171736065666*1</f>
        <v>13.517173606566599</v>
      </c>
      <c r="AI59">
        <f>3.37929242588406*1</f>
        <v>3.37929242588406</v>
      </c>
      <c r="AJ59">
        <v>1</v>
      </c>
      <c r="AK59">
        <v>0</v>
      </c>
      <c r="AL59">
        <v>0</v>
      </c>
    </row>
    <row r="60" spans="1:38" hidden="1" x14ac:dyDescent="0.2">
      <c r="A60" t="s">
        <v>167</v>
      </c>
      <c r="B60" t="s">
        <v>168</v>
      </c>
      <c r="C60" t="s">
        <v>169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5.5</v>
      </c>
      <c r="AE60">
        <v>343</v>
      </c>
      <c r="AF60">
        <v>11.97961775854802</v>
      </c>
      <c r="AG60">
        <v>11.75757575757576</v>
      </c>
      <c r="AH60">
        <f>12.1872133175423*1</f>
        <v>12.1872133175423</v>
      </c>
      <c r="AI60">
        <f>3.04680119175371*1</f>
        <v>3.0468011917537101</v>
      </c>
      <c r="AJ60">
        <v>1</v>
      </c>
      <c r="AK60">
        <v>0</v>
      </c>
      <c r="AL60">
        <v>0</v>
      </c>
    </row>
    <row r="61" spans="1:38" hidden="1" x14ac:dyDescent="0.2">
      <c r="A61" t="s">
        <v>170</v>
      </c>
      <c r="B61" t="s">
        <v>171</v>
      </c>
      <c r="C61" t="s">
        <v>171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4.9000000000000004</v>
      </c>
      <c r="AE61">
        <v>344</v>
      </c>
      <c r="AF61">
        <v>8.279069767441861</v>
      </c>
      <c r="AG61">
        <v>9.7575757575757578</v>
      </c>
      <c r="AH61">
        <f>10.1141194315859*1</f>
        <v>10.1141194315859</v>
      </c>
      <c r="AI61">
        <f>2.52852985789649*1</f>
        <v>2.5285298578964901</v>
      </c>
      <c r="AJ61">
        <v>1</v>
      </c>
      <c r="AK61">
        <v>0</v>
      </c>
      <c r="AL61">
        <v>0</v>
      </c>
    </row>
    <row r="62" spans="1:38" hidden="1" x14ac:dyDescent="0.2">
      <c r="A62" t="s">
        <v>172</v>
      </c>
      <c r="B62" t="s">
        <v>173</v>
      </c>
      <c r="C62" t="s">
        <v>173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5.4</v>
      </c>
      <c r="AE62">
        <v>350</v>
      </c>
      <c r="AF62">
        <v>12.681318681318659</v>
      </c>
      <c r="AG62">
        <v>11.66666666666667</v>
      </c>
      <c r="AH62">
        <f>12.0929876410281*1</f>
        <v>12.092987641028101</v>
      </c>
      <c r="AI62">
        <f>3.02324691025704*1</f>
        <v>3.0232469102570398</v>
      </c>
      <c r="AJ62">
        <v>1</v>
      </c>
      <c r="AK62">
        <v>0</v>
      </c>
      <c r="AL62">
        <v>0</v>
      </c>
    </row>
    <row r="63" spans="1:38" x14ac:dyDescent="0.2">
      <c r="A63" t="s">
        <v>141</v>
      </c>
      <c r="B63" t="s">
        <v>142</v>
      </c>
      <c r="C63" t="s">
        <v>142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6.9</v>
      </c>
      <c r="AE63">
        <v>276</v>
      </c>
      <c r="AF63">
        <v>17.083293163556259</v>
      </c>
      <c r="AG63">
        <v>22.203207039900651</v>
      </c>
      <c r="AH63">
        <f>19.3905425325615*1</f>
        <v>19.390542532561501</v>
      </c>
      <c r="AI63">
        <f>5.06224847284811*1</f>
        <v>5.0622484728481103</v>
      </c>
      <c r="AJ63">
        <v>1</v>
      </c>
      <c r="AK63">
        <v>1</v>
      </c>
      <c r="AL63">
        <v>1</v>
      </c>
    </row>
    <row r="64" spans="1:38" hidden="1" x14ac:dyDescent="0.2">
      <c r="A64" t="s">
        <v>176</v>
      </c>
      <c r="B64" t="s">
        <v>177</v>
      </c>
      <c r="C64" t="s">
        <v>177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4.7</v>
      </c>
      <c r="AE64">
        <v>352</v>
      </c>
      <c r="AF64">
        <v>9.8890604154248294</v>
      </c>
      <c r="AG64">
        <v>10.55</v>
      </c>
      <c r="AH64">
        <f>10.935505326844*1</f>
        <v>10.935505326844</v>
      </c>
      <c r="AI64">
        <f>2.73387698560236*1</f>
        <v>2.7338769856023601</v>
      </c>
      <c r="AJ64">
        <v>1</v>
      </c>
      <c r="AK64">
        <v>0</v>
      </c>
      <c r="AL64">
        <v>0</v>
      </c>
    </row>
    <row r="65" spans="1:38" hidden="1" x14ac:dyDescent="0.2">
      <c r="A65" t="s">
        <v>150</v>
      </c>
      <c r="B65" t="s">
        <v>178</v>
      </c>
      <c r="C65" t="s">
        <v>178</v>
      </c>
      <c r="D65" t="s">
        <v>3</v>
      </c>
      <c r="E65">
        <v>1</v>
      </c>
      <c r="F65">
        <v>0</v>
      </c>
      <c r="G65">
        <v>0</v>
      </c>
      <c r="H65">
        <v>0</v>
      </c>
      <c r="I65" t="s">
        <v>19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4.5999999999999996</v>
      </c>
      <c r="AE65">
        <v>354</v>
      </c>
      <c r="AF65">
        <v>14.22222222222222</v>
      </c>
      <c r="AG65">
        <v>14.059525081207029</v>
      </c>
      <c r="AH65">
        <f>14.5732782583978*1</f>
        <v>14.573278258397799</v>
      </c>
      <c r="AI65">
        <f>3.53352955292324*1</f>
        <v>3.5335295529232398</v>
      </c>
      <c r="AJ65">
        <v>1</v>
      </c>
      <c r="AK65">
        <v>0</v>
      </c>
      <c r="AL65">
        <v>0</v>
      </c>
    </row>
    <row r="66" spans="1:38" hidden="1" x14ac:dyDescent="0.2">
      <c r="A66" t="s">
        <v>170</v>
      </c>
      <c r="B66" t="s">
        <v>179</v>
      </c>
      <c r="C66" t="s">
        <v>179</v>
      </c>
      <c r="D66" t="s">
        <v>4</v>
      </c>
      <c r="E66">
        <v>0</v>
      </c>
      <c r="F66">
        <v>1</v>
      </c>
      <c r="G66">
        <v>0</v>
      </c>
      <c r="H66">
        <v>0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4.5999999999999996</v>
      </c>
      <c r="AE66">
        <v>356</v>
      </c>
      <c r="AF66">
        <v>13.003678893642929</v>
      </c>
      <c r="AG66">
        <v>11.811320754716981</v>
      </c>
      <c r="AH66">
        <f>12.2429287625713*1</f>
        <v>12.242928762571299</v>
      </c>
      <c r="AI66">
        <f>3.06073391960423*1</f>
        <v>3.06073391960423</v>
      </c>
      <c r="AJ66">
        <v>1</v>
      </c>
      <c r="AK66">
        <v>0</v>
      </c>
      <c r="AL66">
        <v>0</v>
      </c>
    </row>
    <row r="67" spans="1:38" hidden="1" x14ac:dyDescent="0.2">
      <c r="A67" t="s">
        <v>180</v>
      </c>
      <c r="B67" t="s">
        <v>181</v>
      </c>
      <c r="C67" t="s">
        <v>181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5.5</v>
      </c>
      <c r="AE67">
        <v>365</v>
      </c>
      <c r="AF67">
        <v>15.669421487603289</v>
      </c>
      <c r="AG67">
        <v>15.76462465869457</v>
      </c>
      <c r="AH67">
        <f>16.3406825018669*1</f>
        <v>16.340682501866901</v>
      </c>
      <c r="AI67">
        <f>4.08517062546673*1</f>
        <v>4.0851706254667297</v>
      </c>
      <c r="AJ67">
        <v>1</v>
      </c>
      <c r="AK67">
        <v>0</v>
      </c>
      <c r="AL67">
        <v>0</v>
      </c>
    </row>
    <row r="68" spans="1:38" hidden="1" x14ac:dyDescent="0.2">
      <c r="A68" t="s">
        <v>182</v>
      </c>
      <c r="B68" t="s">
        <v>183</v>
      </c>
      <c r="C68" t="s">
        <v>183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20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5.3</v>
      </c>
      <c r="AE68">
        <v>371</v>
      </c>
      <c r="AF68">
        <v>13.852941176470569</v>
      </c>
      <c r="AG68">
        <v>13.925925925925929</v>
      </c>
      <c r="AH68">
        <f>13.6492841657303*1</f>
        <v>13.6492841657303</v>
      </c>
      <c r="AI68">
        <f>2.72985683314607*1</f>
        <v>2.7298568331460702</v>
      </c>
      <c r="AJ68">
        <v>1</v>
      </c>
      <c r="AK68">
        <v>0</v>
      </c>
      <c r="AL68">
        <v>0</v>
      </c>
    </row>
    <row r="69" spans="1:38" hidden="1" x14ac:dyDescent="0.2">
      <c r="A69" t="s">
        <v>184</v>
      </c>
      <c r="B69" t="s">
        <v>185</v>
      </c>
      <c r="C69" t="s">
        <v>184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20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5.3</v>
      </c>
      <c r="AE69">
        <v>372</v>
      </c>
      <c r="AF69">
        <v>17.41379310344827</v>
      </c>
      <c r="AG69">
        <v>16</v>
      </c>
      <c r="AH69">
        <f>15.68215627552*1</f>
        <v>15.682156275520001</v>
      </c>
      <c r="AI69">
        <f>3.136431255104*1</f>
        <v>3.1364312551040001</v>
      </c>
      <c r="AJ69">
        <v>1</v>
      </c>
      <c r="AK69">
        <v>0</v>
      </c>
      <c r="AL69">
        <v>0</v>
      </c>
    </row>
    <row r="70" spans="1:38" hidden="1" x14ac:dyDescent="0.2">
      <c r="A70" t="s">
        <v>186</v>
      </c>
      <c r="B70" t="s">
        <v>187</v>
      </c>
      <c r="C70" t="s">
        <v>187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20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5.3</v>
      </c>
      <c r="AE70">
        <v>375</v>
      </c>
      <c r="AF70">
        <v>14.026112215917269</v>
      </c>
      <c r="AG70">
        <v>13.46590909090909</v>
      </c>
      <c r="AH70">
        <f>13.1984056722238*1</f>
        <v>13.198405672223799</v>
      </c>
      <c r="AI70">
        <f>2.63968113444477*1</f>
        <v>2.6396811344447699</v>
      </c>
      <c r="AJ70">
        <v>1</v>
      </c>
      <c r="AK70">
        <v>0</v>
      </c>
      <c r="AL70">
        <v>0</v>
      </c>
    </row>
    <row r="71" spans="1:38" hidden="1" x14ac:dyDescent="0.2">
      <c r="A71" t="s">
        <v>188</v>
      </c>
      <c r="B71" t="s">
        <v>189</v>
      </c>
      <c r="C71" t="s">
        <v>189</v>
      </c>
      <c r="D71" t="s">
        <v>3</v>
      </c>
      <c r="E71">
        <v>1</v>
      </c>
      <c r="F71">
        <v>0</v>
      </c>
      <c r="G71">
        <v>0</v>
      </c>
      <c r="H71">
        <v>0</v>
      </c>
      <c r="I71" t="s">
        <v>20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4.8</v>
      </c>
      <c r="AE71">
        <v>380</v>
      </c>
      <c r="AF71">
        <v>18.108692293905271</v>
      </c>
      <c r="AG71">
        <v>16.399999999999999</v>
      </c>
      <c r="AH71">
        <f>16.074210182408*1</f>
        <v>16.074210182407999</v>
      </c>
      <c r="AI71">
        <f>3.2148420364816*1</f>
        <v>3.2148420364815999</v>
      </c>
      <c r="AJ71">
        <v>1</v>
      </c>
      <c r="AK71">
        <v>0</v>
      </c>
      <c r="AL71">
        <v>0</v>
      </c>
    </row>
    <row r="72" spans="1:38" hidden="1" x14ac:dyDescent="0.2">
      <c r="A72" t="s">
        <v>190</v>
      </c>
      <c r="B72" t="s">
        <v>191</v>
      </c>
      <c r="C72" t="s">
        <v>192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20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</v>
      </c>
      <c r="AE72">
        <v>385</v>
      </c>
      <c r="AF72">
        <v>12.90831409635571</v>
      </c>
      <c r="AG72">
        <v>13.48837209302325</v>
      </c>
      <c r="AH72">
        <f>13.220422441572*1</f>
        <v>13.220422441572</v>
      </c>
      <c r="AI72">
        <f>2.64408448831441*1</f>
        <v>2.6440844883144101</v>
      </c>
      <c r="AJ72">
        <v>1</v>
      </c>
      <c r="AK72">
        <v>0</v>
      </c>
      <c r="AL72">
        <v>0</v>
      </c>
    </row>
    <row r="73" spans="1:38" hidden="1" x14ac:dyDescent="0.2">
      <c r="A73" t="s">
        <v>193</v>
      </c>
      <c r="B73" t="s">
        <v>194</v>
      </c>
      <c r="C73" t="s">
        <v>194</v>
      </c>
      <c r="D73" t="s">
        <v>4</v>
      </c>
      <c r="E73">
        <v>0</v>
      </c>
      <c r="F73">
        <v>1</v>
      </c>
      <c r="G73">
        <v>0</v>
      </c>
      <c r="H73">
        <v>0</v>
      </c>
      <c r="I73" t="s">
        <v>20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4.5</v>
      </c>
      <c r="AE73">
        <v>388</v>
      </c>
      <c r="AF73">
        <v>12.294117647058821</v>
      </c>
      <c r="AG73">
        <v>13.208955223880601</v>
      </c>
      <c r="AH73">
        <f>12.9465562535776*1</f>
        <v>12.946556253577601</v>
      </c>
      <c r="AI73">
        <f>2.58931125071552*1</f>
        <v>2.5893112507155198</v>
      </c>
      <c r="AJ73">
        <v>1</v>
      </c>
      <c r="AK73">
        <v>0</v>
      </c>
      <c r="AL73">
        <v>0</v>
      </c>
    </row>
    <row r="74" spans="1:38" hidden="1" x14ac:dyDescent="0.2">
      <c r="A74" t="s">
        <v>195</v>
      </c>
      <c r="B74" t="s">
        <v>196</v>
      </c>
      <c r="C74" t="s">
        <v>195</v>
      </c>
      <c r="D74" t="s">
        <v>6</v>
      </c>
      <c r="E74">
        <v>0</v>
      </c>
      <c r="F74">
        <v>0</v>
      </c>
      <c r="G74">
        <v>0</v>
      </c>
      <c r="H74">
        <v>1</v>
      </c>
      <c r="I74" t="s">
        <v>20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</v>
      </c>
      <c r="AE74">
        <v>394</v>
      </c>
      <c r="AF74">
        <v>16.116230335025499</v>
      </c>
      <c r="AG74">
        <v>20.12027212550219</v>
      </c>
      <c r="AH74">
        <f>19.7205782361321*1</f>
        <v>19.720578236132098</v>
      </c>
      <c r="AI74">
        <f>3.93829328725904*1</f>
        <v>3.9382932872590399</v>
      </c>
      <c r="AJ74">
        <v>1</v>
      </c>
      <c r="AK74">
        <v>0</v>
      </c>
      <c r="AL74">
        <v>0</v>
      </c>
    </row>
    <row r="75" spans="1:38" hidden="1" x14ac:dyDescent="0.2">
      <c r="A75" t="s">
        <v>197</v>
      </c>
      <c r="B75" t="s">
        <v>198</v>
      </c>
      <c r="C75" t="s">
        <v>197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20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5.3</v>
      </c>
      <c r="AE75">
        <v>395</v>
      </c>
      <c r="AF75">
        <v>20.625287569918321</v>
      </c>
      <c r="AG75">
        <v>19.430336592863519</v>
      </c>
      <c r="AH75">
        <f>19.0443484334525*1</f>
        <v>19.044348433452502</v>
      </c>
      <c r="AI75">
        <f>3.80886977178814*1</f>
        <v>3.8088697717881401</v>
      </c>
      <c r="AJ75">
        <v>1</v>
      </c>
      <c r="AK75">
        <v>0</v>
      </c>
      <c r="AL75">
        <v>0</v>
      </c>
    </row>
    <row r="76" spans="1:38" hidden="1" x14ac:dyDescent="0.2">
      <c r="A76" t="s">
        <v>199</v>
      </c>
      <c r="B76" t="s">
        <v>200</v>
      </c>
      <c r="C76" t="s">
        <v>200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20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4.5</v>
      </c>
      <c r="AE76">
        <v>402</v>
      </c>
      <c r="AF76">
        <v>16.45141053689516</v>
      </c>
      <c r="AG76">
        <v>15.17647058823529</v>
      </c>
      <c r="AH76">
        <f>14.8749864672211*1</f>
        <v>14.874986467221101</v>
      </c>
      <c r="AI76">
        <f>2.97499729344423*1</f>
        <v>2.9749972934442299</v>
      </c>
      <c r="AJ76">
        <v>1</v>
      </c>
      <c r="AK76">
        <v>0</v>
      </c>
      <c r="AL76">
        <v>0</v>
      </c>
    </row>
    <row r="77" spans="1:38" hidden="1" x14ac:dyDescent="0.2">
      <c r="A77" t="s">
        <v>201</v>
      </c>
      <c r="B77" t="s">
        <v>202</v>
      </c>
      <c r="C77" t="s">
        <v>202</v>
      </c>
      <c r="D77" t="s">
        <v>4</v>
      </c>
      <c r="E77">
        <v>0</v>
      </c>
      <c r="F77">
        <v>1</v>
      </c>
      <c r="G77">
        <v>0</v>
      </c>
      <c r="H77">
        <v>0</v>
      </c>
      <c r="I77" t="s">
        <v>21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8.5</v>
      </c>
      <c r="AE77">
        <v>409</v>
      </c>
      <c r="AF77">
        <v>21.01464875192222</v>
      </c>
      <c r="AG77">
        <v>16.930593633153379</v>
      </c>
      <c r="AH77">
        <f>0*0</f>
        <v>0</v>
      </c>
      <c r="AI77">
        <f>4.63188487932372*0</f>
        <v>0</v>
      </c>
      <c r="AJ77">
        <v>0</v>
      </c>
      <c r="AK77">
        <v>0</v>
      </c>
      <c r="AL77">
        <v>0</v>
      </c>
    </row>
    <row r="78" spans="1:38" hidden="1" x14ac:dyDescent="0.2">
      <c r="A78" t="s">
        <v>203</v>
      </c>
      <c r="B78" t="s">
        <v>204</v>
      </c>
      <c r="C78" t="s">
        <v>205</v>
      </c>
      <c r="D78" t="s">
        <v>3</v>
      </c>
      <c r="E78">
        <v>1</v>
      </c>
      <c r="F78">
        <v>0</v>
      </c>
      <c r="G78">
        <v>0</v>
      </c>
      <c r="H78">
        <v>0</v>
      </c>
      <c r="I78" t="s">
        <v>21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5.8</v>
      </c>
      <c r="AE78">
        <v>410</v>
      </c>
      <c r="AF78">
        <v>17.312030058864149</v>
      </c>
      <c r="AG78">
        <v>17.256135777358729</v>
      </c>
      <c r="AH78">
        <f>19.505051077137*1</f>
        <v>19.505051077137001</v>
      </c>
      <c r="AI78">
        <f>4.28789800289632*1</f>
        <v>4.2878980028963198</v>
      </c>
      <c r="AJ78">
        <v>1</v>
      </c>
      <c r="AK78">
        <v>0</v>
      </c>
      <c r="AL78">
        <v>0</v>
      </c>
    </row>
    <row r="79" spans="1:38" hidden="1" x14ac:dyDescent="0.2">
      <c r="A79" t="s">
        <v>206</v>
      </c>
      <c r="B79" t="s">
        <v>207</v>
      </c>
      <c r="C79" t="s">
        <v>206</v>
      </c>
      <c r="D79" t="s">
        <v>6</v>
      </c>
      <c r="E79">
        <v>0</v>
      </c>
      <c r="F79">
        <v>0</v>
      </c>
      <c r="G79">
        <v>0</v>
      </c>
      <c r="H79">
        <v>1</v>
      </c>
      <c r="I79" t="s">
        <v>21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7.6</v>
      </c>
      <c r="AE79">
        <v>412</v>
      </c>
      <c r="AF79">
        <v>15.6078431372549</v>
      </c>
      <c r="AG79">
        <v>13.847134808080581</v>
      </c>
      <c r="AH79">
        <f>15.6517701986321*1</f>
        <v>15.6517701986321</v>
      </c>
      <c r="AI79">
        <f>3.91435256691871*1</f>
        <v>3.9143525669187098</v>
      </c>
      <c r="AJ79">
        <v>1</v>
      </c>
      <c r="AK79">
        <v>0</v>
      </c>
      <c r="AL79">
        <v>0</v>
      </c>
    </row>
    <row r="80" spans="1:38" hidden="1" x14ac:dyDescent="0.2">
      <c r="A80" t="s">
        <v>208</v>
      </c>
      <c r="B80" t="s">
        <v>209</v>
      </c>
      <c r="C80" t="s">
        <v>210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8.1</v>
      </c>
      <c r="AE80">
        <v>413</v>
      </c>
      <c r="AF80">
        <v>17.473684210526319</v>
      </c>
      <c r="AG80">
        <v>15.29539393403785</v>
      </c>
      <c r="AH80">
        <f>17.288774484481*1</f>
        <v>17.288774484480999</v>
      </c>
      <c r="AI80">
        <f>4.32219366396365*1</f>
        <v>4.3221936639636498</v>
      </c>
      <c r="AJ80">
        <v>1</v>
      </c>
      <c r="AK80">
        <v>0</v>
      </c>
      <c r="AL80">
        <v>0</v>
      </c>
    </row>
    <row r="81" spans="1:38" hidden="1" x14ac:dyDescent="0.2">
      <c r="A81" t="s">
        <v>211</v>
      </c>
      <c r="B81" t="s">
        <v>212</v>
      </c>
      <c r="C81" t="s">
        <v>212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21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4.8</v>
      </c>
      <c r="AE81">
        <v>414</v>
      </c>
      <c r="AF81">
        <v>11.67254767548472</v>
      </c>
      <c r="AG81">
        <v>8.875</v>
      </c>
      <c r="AH81">
        <f>10.031639211875*1</f>
        <v>10.031639211875</v>
      </c>
      <c r="AI81">
        <f>2.50790980296875*1</f>
        <v>2.5079098029687499</v>
      </c>
      <c r="AJ81">
        <v>1</v>
      </c>
      <c r="AK81">
        <v>0</v>
      </c>
      <c r="AL81">
        <v>0</v>
      </c>
    </row>
    <row r="82" spans="1:38" hidden="1" x14ac:dyDescent="0.2">
      <c r="A82" t="s">
        <v>213</v>
      </c>
      <c r="B82" t="s">
        <v>214</v>
      </c>
      <c r="C82" t="s">
        <v>214</v>
      </c>
      <c r="D82" t="s">
        <v>6</v>
      </c>
      <c r="E82">
        <v>0</v>
      </c>
      <c r="F82">
        <v>0</v>
      </c>
      <c r="G82">
        <v>0</v>
      </c>
      <c r="H82">
        <v>1</v>
      </c>
      <c r="I82" t="s">
        <v>21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7.2</v>
      </c>
      <c r="AE82">
        <v>416</v>
      </c>
      <c r="AF82">
        <v>12.878048780487809</v>
      </c>
      <c r="AG82">
        <v>11.9375</v>
      </c>
      <c r="AH82">
        <f>13.4932611934375*1</f>
        <v>13.493261193437499</v>
      </c>
      <c r="AI82">
        <f>3.37331529835937*1</f>
        <v>3.3733152983593699</v>
      </c>
      <c r="AJ82">
        <v>1</v>
      </c>
      <c r="AK82">
        <v>0</v>
      </c>
      <c r="AL82">
        <v>0</v>
      </c>
    </row>
    <row r="83" spans="1:38" hidden="1" x14ac:dyDescent="0.2">
      <c r="A83" t="s">
        <v>215</v>
      </c>
      <c r="B83" t="s">
        <v>216</v>
      </c>
      <c r="C83" t="s">
        <v>216</v>
      </c>
      <c r="D83" t="s">
        <v>4</v>
      </c>
      <c r="E83">
        <v>0</v>
      </c>
      <c r="F83">
        <v>1</v>
      </c>
      <c r="G83">
        <v>0</v>
      </c>
      <c r="H83">
        <v>0</v>
      </c>
      <c r="I83" t="s">
        <v>21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4.5999999999999996</v>
      </c>
      <c r="AE83">
        <v>417</v>
      </c>
      <c r="AF83">
        <v>10.666666666666661</v>
      </c>
      <c r="AG83">
        <v>9.875</v>
      </c>
      <c r="AH83">
        <f>11.161964756875*1</f>
        <v>11.161964756874999</v>
      </c>
      <c r="AI83">
        <f>2.79049118921875*1</f>
        <v>2.7904911892187498</v>
      </c>
      <c r="AJ83">
        <v>1</v>
      </c>
      <c r="AK83">
        <v>0</v>
      </c>
      <c r="AL83">
        <v>0</v>
      </c>
    </row>
    <row r="84" spans="1:38" hidden="1" x14ac:dyDescent="0.2">
      <c r="A84" t="s">
        <v>217</v>
      </c>
      <c r="B84" t="s">
        <v>218</v>
      </c>
      <c r="C84" t="s">
        <v>218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21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4.9000000000000004</v>
      </c>
      <c r="AE84">
        <v>419</v>
      </c>
      <c r="AF84">
        <v>8.9350649350649363</v>
      </c>
      <c r="AG84">
        <v>10.366666666666671</v>
      </c>
      <c r="AH84">
        <f>11.7177081498333*1</f>
        <v>11.7177081498333</v>
      </c>
      <c r="AI84">
        <f>2.92942703745833*1</f>
        <v>2.9294270374583302</v>
      </c>
      <c r="AJ84">
        <v>1</v>
      </c>
      <c r="AK84">
        <v>0</v>
      </c>
      <c r="AL84">
        <v>0</v>
      </c>
    </row>
    <row r="85" spans="1:38" hidden="1" x14ac:dyDescent="0.2">
      <c r="A85" t="s">
        <v>219</v>
      </c>
      <c r="B85" t="s">
        <v>220</v>
      </c>
      <c r="C85" t="s">
        <v>221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7.5</v>
      </c>
      <c r="AE85">
        <v>422</v>
      </c>
      <c r="AF85">
        <v>14.48</v>
      </c>
      <c r="AG85">
        <v>12.15384615384615</v>
      </c>
      <c r="AH85">
        <f>13.7378027776923*1</f>
        <v>13.7378027776923</v>
      </c>
      <c r="AI85">
        <f>3.43445069442307*1</f>
        <v>3.4344506944230702</v>
      </c>
      <c r="AJ85">
        <v>1</v>
      </c>
      <c r="AK85">
        <v>0</v>
      </c>
      <c r="AL85">
        <v>0</v>
      </c>
    </row>
    <row r="86" spans="1:38" hidden="1" x14ac:dyDescent="0.2">
      <c r="A86" t="s">
        <v>222</v>
      </c>
      <c r="B86" t="s">
        <v>223</v>
      </c>
      <c r="C86" t="s">
        <v>223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21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5.8</v>
      </c>
      <c r="AE86">
        <v>423</v>
      </c>
      <c r="AF86">
        <v>11.486238532110081</v>
      </c>
      <c r="AG86">
        <v>11.88372093023256</v>
      </c>
      <c r="AH86">
        <f>13.432473337093*1</f>
        <v>13.432473337093001</v>
      </c>
      <c r="AI86">
        <f>3.35811833427325*1</f>
        <v>3.3581183342732501</v>
      </c>
      <c r="AJ86">
        <v>1</v>
      </c>
      <c r="AK86">
        <v>0</v>
      </c>
      <c r="AL86">
        <v>0</v>
      </c>
    </row>
    <row r="87" spans="1:38" hidden="1" x14ac:dyDescent="0.2">
      <c r="A87" t="s">
        <v>224</v>
      </c>
      <c r="B87" t="s">
        <v>225</v>
      </c>
      <c r="C87" t="s">
        <v>225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13</v>
      </c>
      <c r="AE87">
        <v>427</v>
      </c>
      <c r="AF87">
        <v>27.834196891191741</v>
      </c>
      <c r="AG87">
        <v>26.97706901706125</v>
      </c>
      <c r="AH87">
        <f>30.4928702392123*1</f>
        <v>30.492870239212301</v>
      </c>
      <c r="AI87">
        <f>7.62321755983857*1</f>
        <v>7.6232175598385696</v>
      </c>
      <c r="AJ87">
        <v>1</v>
      </c>
      <c r="AK87">
        <v>0</v>
      </c>
      <c r="AL87">
        <v>0</v>
      </c>
    </row>
    <row r="88" spans="1:38" hidden="1" x14ac:dyDescent="0.2">
      <c r="A88" t="s">
        <v>226</v>
      </c>
      <c r="B88" t="s">
        <v>227</v>
      </c>
      <c r="C88" t="s">
        <v>227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7.1</v>
      </c>
      <c r="AE88">
        <v>428</v>
      </c>
      <c r="AF88">
        <v>13.91799383538797</v>
      </c>
      <c r="AG88">
        <v>16.473895369171888</v>
      </c>
      <c r="AH88">
        <f>18.6208647614321*1</f>
        <v>18.620864761432099</v>
      </c>
      <c r="AI88">
        <f>4.65522873657305*1</f>
        <v>4.6552287365730498</v>
      </c>
      <c r="AJ88">
        <v>1</v>
      </c>
      <c r="AK88">
        <v>0</v>
      </c>
      <c r="AL88">
        <v>0</v>
      </c>
    </row>
    <row r="89" spans="1:38" x14ac:dyDescent="0.2">
      <c r="A89" t="s">
        <v>302</v>
      </c>
      <c r="B89" t="s">
        <v>303</v>
      </c>
      <c r="C89" t="s">
        <v>303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28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6.8</v>
      </c>
      <c r="AE89">
        <v>722</v>
      </c>
      <c r="AF89">
        <v>19.92537313432836</v>
      </c>
      <c r="AG89">
        <v>20.12079503428696</v>
      </c>
      <c r="AH89">
        <f>25.1462109551301*1</f>
        <v>25.146210955130101</v>
      </c>
      <c r="AI89">
        <f>5.02924219102607*1</f>
        <v>5.0292421910260696</v>
      </c>
      <c r="AJ89">
        <v>1</v>
      </c>
      <c r="AK89">
        <v>1</v>
      </c>
      <c r="AL89">
        <v>1</v>
      </c>
    </row>
    <row r="90" spans="1:38" hidden="1" x14ac:dyDescent="0.2">
      <c r="A90" t="s">
        <v>230</v>
      </c>
      <c r="B90" t="s">
        <v>231</v>
      </c>
      <c r="C90" t="s">
        <v>231</v>
      </c>
      <c r="D90" t="s">
        <v>6</v>
      </c>
      <c r="E90">
        <v>0</v>
      </c>
      <c r="F90">
        <v>0</v>
      </c>
      <c r="G90">
        <v>0</v>
      </c>
      <c r="H90">
        <v>1</v>
      </c>
      <c r="I90" t="s">
        <v>22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4.9000000000000004</v>
      </c>
      <c r="AE90">
        <v>451</v>
      </c>
      <c r="AF90">
        <v>21.54545454545454</v>
      </c>
      <c r="AG90">
        <v>16.5</v>
      </c>
      <c r="AH90">
        <f>25.8977550876*1</f>
        <v>25.8977550876</v>
      </c>
      <c r="AI90">
        <f>4.3162925146*1</f>
        <v>4.3162925145999997</v>
      </c>
      <c r="AJ90">
        <v>1</v>
      </c>
      <c r="AK90">
        <v>0</v>
      </c>
      <c r="AL90">
        <v>0</v>
      </c>
    </row>
    <row r="91" spans="1:38" x14ac:dyDescent="0.2">
      <c r="A91" t="s">
        <v>99</v>
      </c>
      <c r="B91" t="s">
        <v>100</v>
      </c>
      <c r="C91" t="s">
        <v>100</v>
      </c>
      <c r="D91" t="s">
        <v>3</v>
      </c>
      <c r="E91">
        <v>1</v>
      </c>
      <c r="F91">
        <v>0</v>
      </c>
      <c r="G91">
        <v>0</v>
      </c>
      <c r="H91">
        <v>0</v>
      </c>
      <c r="I91" t="s">
        <v>14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4.5</v>
      </c>
      <c r="AE91">
        <v>129</v>
      </c>
      <c r="AF91">
        <v>15</v>
      </c>
      <c r="AG91">
        <v>38.642833040255908</v>
      </c>
      <c r="AH91">
        <f>37.2885390865521*1</f>
        <v>37.288539086552099</v>
      </c>
      <c r="AI91">
        <f>4.89667250612601*1</f>
        <v>4.8966725061260101</v>
      </c>
      <c r="AJ91">
        <v>1</v>
      </c>
      <c r="AK91">
        <v>0</v>
      </c>
      <c r="AL91">
        <v>1</v>
      </c>
    </row>
    <row r="92" spans="1:38" x14ac:dyDescent="0.2">
      <c r="A92" t="s">
        <v>234</v>
      </c>
      <c r="B92" t="s">
        <v>235</v>
      </c>
      <c r="C92" t="s">
        <v>235</v>
      </c>
      <c r="D92" t="s">
        <v>6</v>
      </c>
      <c r="E92">
        <v>0</v>
      </c>
      <c r="F92">
        <v>0</v>
      </c>
      <c r="G92">
        <v>0</v>
      </c>
      <c r="H92">
        <v>1</v>
      </c>
      <c r="I92" t="s">
        <v>22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5.0999999999999996</v>
      </c>
      <c r="AE92">
        <v>463</v>
      </c>
      <c r="AF92">
        <v>22.173913043478262</v>
      </c>
      <c r="AG92">
        <v>18.352941176470591</v>
      </c>
      <c r="AH92">
        <f>28.8060591348705*1</f>
        <v>28.806059134870502</v>
      </c>
      <c r="AI92">
        <f>4.80100985581176*1</f>
        <v>4.8010098558117598</v>
      </c>
      <c r="AJ92">
        <v>1</v>
      </c>
      <c r="AK92">
        <v>1</v>
      </c>
      <c r="AL92">
        <v>1</v>
      </c>
    </row>
    <row r="93" spans="1:38" hidden="1" x14ac:dyDescent="0.2">
      <c r="A93" t="s">
        <v>236</v>
      </c>
      <c r="B93" t="s">
        <v>237</v>
      </c>
      <c r="C93" t="s">
        <v>237</v>
      </c>
      <c r="D93" t="s">
        <v>6</v>
      </c>
      <c r="E93">
        <v>0</v>
      </c>
      <c r="F93">
        <v>0</v>
      </c>
      <c r="G93">
        <v>0</v>
      </c>
      <c r="H93">
        <v>1</v>
      </c>
      <c r="I93" t="s">
        <v>22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4.9000000000000004</v>
      </c>
      <c r="AE93">
        <v>465</v>
      </c>
      <c r="AF93">
        <v>16.36363636363636</v>
      </c>
      <c r="AG93">
        <v>14.625</v>
      </c>
      <c r="AH93">
        <f>22.9548283731*1</f>
        <v>22.9548283731</v>
      </c>
      <c r="AI93">
        <f>3.82580472885*1</f>
        <v>3.8258047288500001</v>
      </c>
      <c r="AJ93">
        <v>1</v>
      </c>
      <c r="AK93">
        <v>0</v>
      </c>
      <c r="AL93">
        <v>0</v>
      </c>
    </row>
    <row r="94" spans="1:38" hidden="1" x14ac:dyDescent="0.2">
      <c r="A94" t="s">
        <v>238</v>
      </c>
      <c r="B94" t="s">
        <v>239</v>
      </c>
      <c r="C94" t="s">
        <v>239</v>
      </c>
      <c r="D94" t="s">
        <v>3</v>
      </c>
      <c r="E94">
        <v>1</v>
      </c>
      <c r="F94">
        <v>0</v>
      </c>
      <c r="G94">
        <v>0</v>
      </c>
      <c r="H94">
        <v>0</v>
      </c>
      <c r="I94" t="s">
        <v>22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4.5</v>
      </c>
      <c r="AE94">
        <v>484</v>
      </c>
      <c r="AF94">
        <v>14.34782608695653</v>
      </c>
      <c r="AG94">
        <v>15.52941176470588</v>
      </c>
      <c r="AH94">
        <f>24.3743577295058*1</f>
        <v>24.3743577295058</v>
      </c>
      <c r="AI94">
        <f>4.06239295491764*1</f>
        <v>4.0623929549176401</v>
      </c>
      <c r="AJ94">
        <v>1</v>
      </c>
      <c r="AK94">
        <v>0</v>
      </c>
      <c r="AL94">
        <v>0</v>
      </c>
    </row>
    <row r="95" spans="1:38" hidden="1" x14ac:dyDescent="0.2">
      <c r="A95" t="s">
        <v>240</v>
      </c>
      <c r="B95" t="s">
        <v>241</v>
      </c>
      <c r="C95" t="s">
        <v>241</v>
      </c>
      <c r="D95" t="s">
        <v>5</v>
      </c>
      <c r="E95">
        <v>0</v>
      </c>
      <c r="F95">
        <v>0</v>
      </c>
      <c r="G95">
        <v>1</v>
      </c>
      <c r="H95">
        <v>0</v>
      </c>
      <c r="I95" t="s">
        <v>22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</v>
      </c>
      <c r="AE95">
        <v>485</v>
      </c>
      <c r="AF95">
        <v>17.243016220322598</v>
      </c>
      <c r="AG95">
        <v>17.09210526315789</v>
      </c>
      <c r="AH95">
        <f>26.8271003658631*1</f>
        <v>26.8271003658631</v>
      </c>
      <c r="AI95">
        <f>4.47118339431052*1</f>
        <v>4.4711833943105201</v>
      </c>
      <c r="AJ95">
        <v>1</v>
      </c>
      <c r="AK95">
        <v>0</v>
      </c>
      <c r="AL95">
        <v>0</v>
      </c>
    </row>
    <row r="96" spans="1:38" hidden="1" x14ac:dyDescent="0.2">
      <c r="A96" t="s">
        <v>242</v>
      </c>
      <c r="B96" t="s">
        <v>243</v>
      </c>
      <c r="C96" t="s">
        <v>243</v>
      </c>
      <c r="D96" t="s">
        <v>4</v>
      </c>
      <c r="E96">
        <v>0</v>
      </c>
      <c r="F96">
        <v>1</v>
      </c>
      <c r="G96">
        <v>0</v>
      </c>
      <c r="H96">
        <v>0</v>
      </c>
      <c r="I96" t="s">
        <v>23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4.9000000000000004</v>
      </c>
      <c r="AE96">
        <v>494</v>
      </c>
      <c r="AF96">
        <v>13.18181818181818</v>
      </c>
      <c r="AG96">
        <v>12.065398404811591</v>
      </c>
      <c r="AH96">
        <f>13.7750940096619*1</f>
        <v>13.775094009661901</v>
      </c>
      <c r="AI96">
        <f>3.44377350277479*1</f>
        <v>3.44377350277479</v>
      </c>
      <c r="AJ96">
        <v>1</v>
      </c>
      <c r="AK96">
        <v>0</v>
      </c>
      <c r="AL96">
        <v>0</v>
      </c>
    </row>
    <row r="97" spans="1:38" hidden="1" x14ac:dyDescent="0.2">
      <c r="A97" t="s">
        <v>97</v>
      </c>
      <c r="B97" t="s">
        <v>244</v>
      </c>
      <c r="C97" t="s">
        <v>244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23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5.0999999999999996</v>
      </c>
      <c r="AE97">
        <v>495</v>
      </c>
      <c r="AF97">
        <v>13.235294117647051</v>
      </c>
      <c r="AG97">
        <v>11.888888888888889</v>
      </c>
      <c r="AH97">
        <f>13.8309766910799*1</f>
        <v>13.830976691079901</v>
      </c>
      <c r="AI97">
        <f>3.45774417276999*1</f>
        <v>3.4577441727699898</v>
      </c>
      <c r="AJ97">
        <v>1</v>
      </c>
      <c r="AK97">
        <v>0</v>
      </c>
      <c r="AL97">
        <v>0</v>
      </c>
    </row>
    <row r="98" spans="1:38" hidden="1" x14ac:dyDescent="0.2">
      <c r="A98" t="s">
        <v>245</v>
      </c>
      <c r="B98" t="s">
        <v>246</v>
      </c>
      <c r="C98" t="s">
        <v>247</v>
      </c>
      <c r="D98" t="s">
        <v>6</v>
      </c>
      <c r="E98">
        <v>0</v>
      </c>
      <c r="F98">
        <v>0</v>
      </c>
      <c r="G98">
        <v>0</v>
      </c>
      <c r="H98">
        <v>1</v>
      </c>
      <c r="I98" t="s">
        <v>23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6.6</v>
      </c>
      <c r="AE98">
        <v>496</v>
      </c>
      <c r="AF98">
        <v>15.18518518518518</v>
      </c>
      <c r="AG98">
        <v>14.964741778284971</v>
      </c>
      <c r="AH98">
        <f>15.868627065772*1</f>
        <v>15.868627065771999</v>
      </c>
      <c r="AI98">
        <f>3.96715677155028*1</f>
        <v>3.9671567715502798</v>
      </c>
      <c r="AJ98">
        <v>1</v>
      </c>
      <c r="AK98">
        <v>0</v>
      </c>
      <c r="AL98">
        <v>0</v>
      </c>
    </row>
    <row r="99" spans="1:38" hidden="1" x14ac:dyDescent="0.2">
      <c r="A99" t="s">
        <v>248</v>
      </c>
      <c r="B99" t="s">
        <v>249</v>
      </c>
      <c r="C99" t="s">
        <v>248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6.3</v>
      </c>
      <c r="AE99">
        <v>497</v>
      </c>
      <c r="AF99">
        <v>15.23076923076923</v>
      </c>
      <c r="AG99">
        <v>13.05</v>
      </c>
      <c r="AH99">
        <f>15.9162622594371*1</f>
        <v>15.916262259437101</v>
      </c>
      <c r="AI99">
        <f>3.97906556485929*1</f>
        <v>3.9790655648592899</v>
      </c>
      <c r="AJ99">
        <v>1</v>
      </c>
      <c r="AK99">
        <v>0</v>
      </c>
      <c r="AL99">
        <v>0</v>
      </c>
    </row>
    <row r="100" spans="1:38" hidden="1" x14ac:dyDescent="0.2">
      <c r="A100" t="s">
        <v>250</v>
      </c>
      <c r="B100" t="s">
        <v>251</v>
      </c>
      <c r="C100" t="s">
        <v>250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23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5.5</v>
      </c>
      <c r="AE100">
        <v>503</v>
      </c>
      <c r="AF100">
        <v>12</v>
      </c>
      <c r="AG100">
        <v>11.6</v>
      </c>
      <c r="AH100">
        <f>12.5400857258244*1</f>
        <v>12.540085725824399</v>
      </c>
      <c r="AI100">
        <f>3.13502143145612*1</f>
        <v>3.1350214314561198</v>
      </c>
      <c r="AJ100">
        <v>1</v>
      </c>
      <c r="AK100">
        <v>0</v>
      </c>
      <c r="AL100">
        <v>0</v>
      </c>
    </row>
    <row r="101" spans="1:38" hidden="1" x14ac:dyDescent="0.2">
      <c r="A101" t="s">
        <v>252</v>
      </c>
      <c r="B101" t="s">
        <v>253</v>
      </c>
      <c r="C101" t="s">
        <v>254</v>
      </c>
      <c r="D101" t="s">
        <v>3</v>
      </c>
      <c r="E101">
        <v>1</v>
      </c>
      <c r="F101">
        <v>0</v>
      </c>
      <c r="G101">
        <v>0</v>
      </c>
      <c r="H101">
        <v>0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5.5</v>
      </c>
      <c r="AE101">
        <v>504</v>
      </c>
      <c r="AF101">
        <v>15.731958762886579</v>
      </c>
      <c r="AG101">
        <v>13.81818181818182</v>
      </c>
      <c r="AH101">
        <f>16.440008967474*1</f>
        <v>16.440008967474</v>
      </c>
      <c r="AI101">
        <f>4.1100022418685*1</f>
        <v>4.1100022418685001</v>
      </c>
      <c r="AJ101">
        <v>1</v>
      </c>
      <c r="AK101">
        <v>0</v>
      </c>
      <c r="AL101">
        <v>0</v>
      </c>
    </row>
    <row r="102" spans="1:38" x14ac:dyDescent="0.2">
      <c r="A102" t="s">
        <v>88</v>
      </c>
      <c r="B102" t="s">
        <v>89</v>
      </c>
      <c r="C102" t="s">
        <v>90</v>
      </c>
      <c r="D102" t="s">
        <v>3</v>
      </c>
      <c r="E102">
        <v>1</v>
      </c>
      <c r="F102">
        <v>0</v>
      </c>
      <c r="G102">
        <v>0</v>
      </c>
      <c r="H102">
        <v>0</v>
      </c>
      <c r="I102" t="s">
        <v>13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4.5999999999999996</v>
      </c>
      <c r="AE102">
        <v>94</v>
      </c>
      <c r="AF102">
        <v>17.86838347007744</v>
      </c>
      <c r="AG102">
        <v>21.17069921061157</v>
      </c>
      <c r="AH102">
        <f>21.7756248917223*1</f>
        <v>21.775624891722298</v>
      </c>
      <c r="AI102">
        <f>4.50472816544502*1</f>
        <v>4.5047281654450204</v>
      </c>
      <c r="AJ102">
        <v>1</v>
      </c>
      <c r="AK102">
        <v>1</v>
      </c>
      <c r="AL102">
        <v>1</v>
      </c>
    </row>
    <row r="103" spans="1:38" x14ac:dyDescent="0.2">
      <c r="A103" t="s">
        <v>95</v>
      </c>
      <c r="B103" t="s">
        <v>96</v>
      </c>
      <c r="C103" t="s">
        <v>96</v>
      </c>
      <c r="D103" t="s">
        <v>6</v>
      </c>
      <c r="E103">
        <v>0</v>
      </c>
      <c r="F103">
        <v>0</v>
      </c>
      <c r="G103">
        <v>0</v>
      </c>
      <c r="H103">
        <v>1</v>
      </c>
      <c r="I103" t="s">
        <v>13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7.1</v>
      </c>
      <c r="AE103">
        <v>102</v>
      </c>
      <c r="AF103">
        <v>26.154685909475688</v>
      </c>
      <c r="AG103">
        <v>14.391025641025641</v>
      </c>
      <c r="AH103">
        <f>23.9054066004056*0.75</f>
        <v>17.929054950304199</v>
      </c>
      <c r="AI103">
        <f>5.09739196815476*0.75</f>
        <v>3.8230439761160699</v>
      </c>
      <c r="AJ103">
        <v>0.75</v>
      </c>
      <c r="AK103">
        <v>1</v>
      </c>
      <c r="AL103">
        <v>1</v>
      </c>
    </row>
    <row r="104" spans="1:38" hidden="1" x14ac:dyDescent="0.2">
      <c r="A104" t="s">
        <v>259</v>
      </c>
      <c r="B104" t="s">
        <v>260</v>
      </c>
      <c r="C104" t="s">
        <v>259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5.6</v>
      </c>
      <c r="AE104">
        <v>514</v>
      </c>
      <c r="AF104">
        <v>12.44736842105263</v>
      </c>
      <c r="AG104">
        <v>11.633333333333329</v>
      </c>
      <c r="AH104">
        <f>13.0075888280931*1</f>
        <v>13.0075888280931</v>
      </c>
      <c r="AI104">
        <f>3.25189720702329*1</f>
        <v>3.2518972070232901</v>
      </c>
      <c r="AJ104">
        <v>1</v>
      </c>
      <c r="AK104">
        <v>0</v>
      </c>
      <c r="AL104">
        <v>0</v>
      </c>
    </row>
    <row r="105" spans="1:38" x14ac:dyDescent="0.2">
      <c r="A105" t="s">
        <v>261</v>
      </c>
      <c r="B105" t="s">
        <v>262</v>
      </c>
      <c r="C105" t="s">
        <v>262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23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5.5</v>
      </c>
      <c r="AE105">
        <v>518</v>
      </c>
      <c r="AF105">
        <v>13.088191374564079</v>
      </c>
      <c r="AG105">
        <v>13.84864313542978</v>
      </c>
      <c r="AH105">
        <f>13.6772537668854*1</f>
        <v>13.6772537668854</v>
      </c>
      <c r="AI105">
        <f>3.41931345627133*1</f>
        <v>3.4193134562713299</v>
      </c>
      <c r="AJ105">
        <v>1</v>
      </c>
      <c r="AK105">
        <v>1</v>
      </c>
      <c r="AL105">
        <v>1</v>
      </c>
    </row>
    <row r="106" spans="1:38" hidden="1" x14ac:dyDescent="0.2">
      <c r="A106" t="s">
        <v>263</v>
      </c>
      <c r="B106" t="s">
        <v>264</v>
      </c>
      <c r="C106" t="s">
        <v>265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8.1999999999999993</v>
      </c>
      <c r="AE106">
        <v>529</v>
      </c>
      <c r="AF106">
        <v>16.14035087719299</v>
      </c>
      <c r="AG106">
        <v>17.396083670264488</v>
      </c>
      <c r="AH106">
        <f>15.6792528909639*1</f>
        <v>15.6792528909639</v>
      </c>
      <c r="AI106">
        <f>3.91944043949353*1</f>
        <v>3.9194404394935298</v>
      </c>
      <c r="AJ106">
        <v>1</v>
      </c>
      <c r="AK106">
        <v>0</v>
      </c>
      <c r="AL106">
        <v>0</v>
      </c>
    </row>
    <row r="107" spans="1:38" hidden="1" x14ac:dyDescent="0.2">
      <c r="A107" t="s">
        <v>208</v>
      </c>
      <c r="B107" t="s">
        <v>266</v>
      </c>
      <c r="C107" t="s">
        <v>267</v>
      </c>
      <c r="D107" t="s">
        <v>4</v>
      </c>
      <c r="E107">
        <v>0</v>
      </c>
      <c r="F107">
        <v>1</v>
      </c>
      <c r="G107">
        <v>0</v>
      </c>
      <c r="H107">
        <v>0</v>
      </c>
      <c r="I107" t="s">
        <v>24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5.2</v>
      </c>
      <c r="AE107">
        <v>533</v>
      </c>
      <c r="AF107">
        <v>14.000000000000011</v>
      </c>
      <c r="AG107">
        <v>13.601252096546069</v>
      </c>
      <c r="AH107">
        <f>12.2589357063179*1</f>
        <v>12.258935706317899</v>
      </c>
      <c r="AI107">
        <f>3.04904983482371*1</f>
        <v>3.0490498348237098</v>
      </c>
      <c r="AJ107">
        <v>1</v>
      </c>
      <c r="AK107">
        <v>0</v>
      </c>
      <c r="AL107">
        <v>0</v>
      </c>
    </row>
    <row r="108" spans="1:38" hidden="1" x14ac:dyDescent="0.2">
      <c r="A108" t="s">
        <v>268</v>
      </c>
      <c r="B108" t="s">
        <v>269</v>
      </c>
      <c r="C108" t="s">
        <v>269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5</v>
      </c>
      <c r="AE108">
        <v>537</v>
      </c>
      <c r="AF108">
        <v>24.576678773328581</v>
      </c>
      <c r="AG108">
        <v>9.741935483870968</v>
      </c>
      <c r="AH108">
        <f>8.78049755303032*1</f>
        <v>8.7804975530303206</v>
      </c>
      <c r="AI108">
        <f>2.19512438825758*1</f>
        <v>2.1951243882575802</v>
      </c>
      <c r="AJ108">
        <v>1</v>
      </c>
      <c r="AK108">
        <v>0</v>
      </c>
      <c r="AL108">
        <v>0</v>
      </c>
    </row>
    <row r="109" spans="1:38" hidden="1" x14ac:dyDescent="0.2">
      <c r="A109" t="s">
        <v>270</v>
      </c>
      <c r="B109" t="s">
        <v>271</v>
      </c>
      <c r="C109" t="s">
        <v>271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4.5999999999999996</v>
      </c>
      <c r="AE109">
        <v>546</v>
      </c>
      <c r="AF109">
        <v>10.416666666666661</v>
      </c>
      <c r="AG109">
        <v>10.57894736842105</v>
      </c>
      <c r="AH109">
        <f>9.53490419186684*1</f>
        <v>9.5349041918668398</v>
      </c>
      <c r="AI109">
        <f>2.38372604796671*1</f>
        <v>2.3837260479667099</v>
      </c>
      <c r="AJ109">
        <v>1</v>
      </c>
      <c r="AK109">
        <v>0</v>
      </c>
      <c r="AL109">
        <v>0</v>
      </c>
    </row>
    <row r="110" spans="1:38" hidden="1" x14ac:dyDescent="0.2">
      <c r="A110" t="s">
        <v>272</v>
      </c>
      <c r="B110" t="s">
        <v>273</v>
      </c>
      <c r="C110" t="s">
        <v>273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8.4</v>
      </c>
      <c r="AE110">
        <v>549</v>
      </c>
      <c r="AF110">
        <v>17.954022988505759</v>
      </c>
      <c r="AG110">
        <v>18.540874028410951</v>
      </c>
      <c r="AH110">
        <f>16.711063146234*1</f>
        <v>16.711063146234</v>
      </c>
      <c r="AI110">
        <f>4.17776578655848*1</f>
        <v>4.1777657865584796</v>
      </c>
      <c r="AJ110">
        <v>1</v>
      </c>
      <c r="AK110">
        <v>0</v>
      </c>
      <c r="AL110">
        <v>0</v>
      </c>
    </row>
    <row r="111" spans="1:38" hidden="1" x14ac:dyDescent="0.2">
      <c r="A111" t="s">
        <v>274</v>
      </c>
      <c r="B111" t="s">
        <v>177</v>
      </c>
      <c r="C111" t="s">
        <v>177</v>
      </c>
      <c r="D111" t="s">
        <v>3</v>
      </c>
      <c r="E111">
        <v>1</v>
      </c>
      <c r="F111">
        <v>0</v>
      </c>
      <c r="G111">
        <v>0</v>
      </c>
      <c r="H111">
        <v>0</v>
      </c>
      <c r="I111" t="s">
        <v>24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4.8</v>
      </c>
      <c r="AE111">
        <v>555</v>
      </c>
      <c r="AF111">
        <v>14.15384615384615</v>
      </c>
      <c r="AG111">
        <v>12.9</v>
      </c>
      <c r="AH111">
        <f>11.626890633963*1</f>
        <v>11.626890633963001</v>
      </c>
      <c r="AI111">
        <f>2.90672265849075*1</f>
        <v>2.9067226584907502</v>
      </c>
      <c r="AJ111">
        <v>1</v>
      </c>
      <c r="AK111">
        <v>0</v>
      </c>
      <c r="AL111">
        <v>0</v>
      </c>
    </row>
    <row r="112" spans="1:38" hidden="1" x14ac:dyDescent="0.2">
      <c r="A112" t="s">
        <v>263</v>
      </c>
      <c r="B112" t="s">
        <v>275</v>
      </c>
      <c r="C112" t="s">
        <v>276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5.8</v>
      </c>
      <c r="AE112">
        <v>572</v>
      </c>
      <c r="AF112">
        <v>13.68115942028985</v>
      </c>
      <c r="AG112">
        <v>13.7277553104182</v>
      </c>
      <c r="AH112">
        <f>11.7677769692938*1</f>
        <v>11.7677769692938</v>
      </c>
      <c r="AI112">
        <f>2.94194424232347*1</f>
        <v>2.9419442423234701</v>
      </c>
      <c r="AJ112">
        <v>1</v>
      </c>
      <c r="AK112">
        <v>0</v>
      </c>
      <c r="AL112">
        <v>0</v>
      </c>
    </row>
    <row r="113" spans="1:38" hidden="1" x14ac:dyDescent="0.2">
      <c r="A113" t="s">
        <v>277</v>
      </c>
      <c r="B113" t="s">
        <v>278</v>
      </c>
      <c r="C113" t="s">
        <v>278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25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6.1</v>
      </c>
      <c r="AE113">
        <v>578</v>
      </c>
      <c r="AF113">
        <v>16.485694837979899</v>
      </c>
      <c r="AG113">
        <v>10.708860759493669</v>
      </c>
      <c r="AH113">
        <f>11.4765275767764*1</f>
        <v>11.4765275767764</v>
      </c>
      <c r="AI113">
        <f>2.86913189419412*1</f>
        <v>2.86913189419412</v>
      </c>
      <c r="AJ113">
        <v>1</v>
      </c>
      <c r="AK113">
        <v>0</v>
      </c>
      <c r="AL113">
        <v>0</v>
      </c>
    </row>
    <row r="114" spans="1:38" hidden="1" x14ac:dyDescent="0.2">
      <c r="A114" t="s">
        <v>279</v>
      </c>
      <c r="B114" t="s">
        <v>280</v>
      </c>
      <c r="C114" t="s">
        <v>280</v>
      </c>
      <c r="D114" t="s">
        <v>6</v>
      </c>
      <c r="E114">
        <v>0</v>
      </c>
      <c r="F114">
        <v>0</v>
      </c>
      <c r="G114">
        <v>0</v>
      </c>
      <c r="H114">
        <v>1</v>
      </c>
      <c r="I114" t="s">
        <v>25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7.5</v>
      </c>
      <c r="AE114">
        <v>581</v>
      </c>
      <c r="AF114">
        <v>18.315789473684209</v>
      </c>
      <c r="AG114">
        <v>16.831682553851561</v>
      </c>
      <c r="AH114">
        <f>15.0374408065451*1</f>
        <v>15.037440806545099</v>
      </c>
      <c r="AI114">
        <f>3.75799769639927*1</f>
        <v>3.7579976963992698</v>
      </c>
      <c r="AJ114">
        <v>1</v>
      </c>
      <c r="AK114">
        <v>0</v>
      </c>
      <c r="AL114">
        <v>0</v>
      </c>
    </row>
    <row r="115" spans="1:38" hidden="1" x14ac:dyDescent="0.2">
      <c r="A115" t="s">
        <v>281</v>
      </c>
      <c r="B115" t="s">
        <v>282</v>
      </c>
      <c r="C115" t="s">
        <v>282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4.8</v>
      </c>
      <c r="AE115">
        <v>587</v>
      </c>
      <c r="AF115">
        <v>11.86758621957329</v>
      </c>
      <c r="AG115">
        <v>10.38461538461539</v>
      </c>
      <c r="AH115">
        <f>9.50175849674873*1</f>
        <v>9.5017584967487299</v>
      </c>
      <c r="AI115">
        <f>2.37543962418718*1</f>
        <v>2.3754396241871798</v>
      </c>
      <c r="AJ115">
        <v>1</v>
      </c>
      <c r="AK115">
        <v>0</v>
      </c>
      <c r="AL115">
        <v>0</v>
      </c>
    </row>
    <row r="116" spans="1:38" hidden="1" x14ac:dyDescent="0.2">
      <c r="A116" t="s">
        <v>283</v>
      </c>
      <c r="B116" t="s">
        <v>284</v>
      </c>
      <c r="C116" t="s">
        <v>284</v>
      </c>
      <c r="D116" t="s">
        <v>4</v>
      </c>
      <c r="E116">
        <v>0</v>
      </c>
      <c r="F116">
        <v>1</v>
      </c>
      <c r="G116">
        <v>0</v>
      </c>
      <c r="H116">
        <v>0</v>
      </c>
      <c r="I116" t="s">
        <v>25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5.4</v>
      </c>
      <c r="AE116">
        <v>593</v>
      </c>
      <c r="AF116">
        <v>11.304753623212431</v>
      </c>
      <c r="AG116">
        <v>12.18965517241379</v>
      </c>
      <c r="AH116">
        <f>10.1160256216827*1</f>
        <v>10.1160256216827</v>
      </c>
      <c r="AI116">
        <f>3.28189076243311*1</f>
        <v>3.2818907624331102</v>
      </c>
      <c r="AJ116">
        <v>1</v>
      </c>
      <c r="AK116">
        <v>0</v>
      </c>
      <c r="AL116">
        <v>0</v>
      </c>
    </row>
    <row r="117" spans="1:38" hidden="1" x14ac:dyDescent="0.2">
      <c r="A117" t="s">
        <v>285</v>
      </c>
      <c r="B117" t="s">
        <v>286</v>
      </c>
      <c r="C117" t="s">
        <v>286</v>
      </c>
      <c r="D117" t="s">
        <v>4</v>
      </c>
      <c r="E117">
        <v>0</v>
      </c>
      <c r="F117">
        <v>1</v>
      </c>
      <c r="G117">
        <v>0</v>
      </c>
      <c r="H117">
        <v>0</v>
      </c>
      <c r="I117" t="s">
        <v>25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6.9</v>
      </c>
      <c r="AE117">
        <v>596</v>
      </c>
      <c r="AF117">
        <v>17.68336833590698</v>
      </c>
      <c r="AG117">
        <v>14.97222222222222</v>
      </c>
      <c r="AH117">
        <f>13.9257393683976*1</f>
        <v>13.925739368397601</v>
      </c>
      <c r="AI117">
        <f>3.09137430409757*1</f>
        <v>3.0913743040975699</v>
      </c>
      <c r="AJ117">
        <v>1</v>
      </c>
      <c r="AK117">
        <v>0</v>
      </c>
      <c r="AL117">
        <v>0</v>
      </c>
    </row>
    <row r="118" spans="1:38" hidden="1" x14ac:dyDescent="0.2">
      <c r="A118" t="s">
        <v>277</v>
      </c>
      <c r="B118" t="s">
        <v>287</v>
      </c>
      <c r="C118" t="s">
        <v>287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5.0999999999999996</v>
      </c>
      <c r="AE118">
        <v>614</v>
      </c>
      <c r="AF118">
        <v>14.333333333333339</v>
      </c>
      <c r="AG118">
        <v>13.24468085106383</v>
      </c>
      <c r="AH118">
        <f>18.449544632066*1</f>
        <v>18.449544632066001</v>
      </c>
      <c r="AI118">
        <f>3.68990892641321*1</f>
        <v>3.6899089264132101</v>
      </c>
      <c r="AJ118">
        <v>1</v>
      </c>
      <c r="AK118">
        <v>0</v>
      </c>
      <c r="AL118">
        <v>0</v>
      </c>
    </row>
    <row r="119" spans="1:38" hidden="1" x14ac:dyDescent="0.2">
      <c r="A119" t="s">
        <v>288</v>
      </c>
      <c r="B119" t="s">
        <v>289</v>
      </c>
      <c r="C119" t="s">
        <v>289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5.7</v>
      </c>
      <c r="AE119">
        <v>628</v>
      </c>
      <c r="AF119">
        <v>18.31339142513017</v>
      </c>
      <c r="AG119">
        <v>14.047619047619049</v>
      </c>
      <c r="AH119">
        <f>20.7999519722578*1</f>
        <v>20.799951972257801</v>
      </c>
      <c r="AI119">
        <f>4.15999039445157*1</f>
        <v>4.1599903944515697</v>
      </c>
      <c r="AJ119">
        <v>1</v>
      </c>
      <c r="AK119">
        <v>0</v>
      </c>
      <c r="AL119">
        <v>0</v>
      </c>
    </row>
    <row r="120" spans="1:38" hidden="1" x14ac:dyDescent="0.2">
      <c r="A120" t="s">
        <v>290</v>
      </c>
      <c r="B120" t="s">
        <v>291</v>
      </c>
      <c r="C120" t="s">
        <v>291</v>
      </c>
      <c r="D120" t="s">
        <v>6</v>
      </c>
      <c r="E120">
        <v>0</v>
      </c>
      <c r="F120">
        <v>0</v>
      </c>
      <c r="G120">
        <v>0</v>
      </c>
      <c r="H120">
        <v>1</v>
      </c>
      <c r="I120" t="s">
        <v>26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4.8</v>
      </c>
      <c r="AE120">
        <v>648</v>
      </c>
      <c r="AF120">
        <v>16.793067035552799</v>
      </c>
      <c r="AG120">
        <v>16.267857142857139</v>
      </c>
      <c r="AH120">
        <f>22.3392546371942*1</f>
        <v>22.339254637194198</v>
      </c>
      <c r="AI120">
        <f>4.33238031747136*1</f>
        <v>4.33238031747136</v>
      </c>
      <c r="AJ120">
        <v>1</v>
      </c>
      <c r="AK120">
        <v>0</v>
      </c>
      <c r="AL120">
        <v>0</v>
      </c>
    </row>
    <row r="121" spans="1:38" hidden="1" x14ac:dyDescent="0.2">
      <c r="A121" t="s">
        <v>292</v>
      </c>
      <c r="B121" t="s">
        <v>293</v>
      </c>
      <c r="C121" t="s">
        <v>293</v>
      </c>
      <c r="D121" t="s">
        <v>6</v>
      </c>
      <c r="E121">
        <v>0</v>
      </c>
      <c r="F121">
        <v>0</v>
      </c>
      <c r="G121">
        <v>0</v>
      </c>
      <c r="H121">
        <v>1</v>
      </c>
      <c r="I121" t="s">
        <v>27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4.3</v>
      </c>
      <c r="AE121">
        <v>668</v>
      </c>
      <c r="AF121">
        <v>9.8686087104946143</v>
      </c>
      <c r="AG121">
        <v>9.8275281434845532</v>
      </c>
      <c r="AH121">
        <f>11.5239729903943*1</f>
        <v>11.5239729903943</v>
      </c>
      <c r="AI121">
        <f>2.88100567523691*1</f>
        <v>2.88100567523691</v>
      </c>
      <c r="AJ121">
        <v>1</v>
      </c>
      <c r="AK121">
        <v>0</v>
      </c>
      <c r="AL121">
        <v>0</v>
      </c>
    </row>
    <row r="122" spans="1:38" hidden="1" x14ac:dyDescent="0.2">
      <c r="A122" t="s">
        <v>170</v>
      </c>
      <c r="B122" t="s">
        <v>294</v>
      </c>
      <c r="C122" t="s">
        <v>294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4.4000000000000004</v>
      </c>
      <c r="AE122">
        <v>670</v>
      </c>
      <c r="AF122">
        <v>10.833333333333339</v>
      </c>
      <c r="AG122">
        <v>10.22222222222222</v>
      </c>
      <c r="AH122">
        <f>11.9867998962637*1</f>
        <v>11.986799896263699</v>
      </c>
      <c r="AI122">
        <f>2.99669997406593*1</f>
        <v>2.9966999740659301</v>
      </c>
      <c r="AJ122">
        <v>1</v>
      </c>
      <c r="AK122">
        <v>0</v>
      </c>
      <c r="AL122">
        <v>0</v>
      </c>
    </row>
    <row r="123" spans="1:38" hidden="1" x14ac:dyDescent="0.2">
      <c r="A123" t="s">
        <v>295</v>
      </c>
      <c r="B123" t="s">
        <v>296</v>
      </c>
      <c r="C123" t="s">
        <v>297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5</v>
      </c>
      <c r="AE123">
        <v>694</v>
      </c>
      <c r="AF123">
        <v>9.1199999999999992</v>
      </c>
      <c r="AG123">
        <v>9.5789473684210531</v>
      </c>
      <c r="AH123">
        <f>11.2324817252313*1</f>
        <v>11.232481725231301</v>
      </c>
      <c r="AI123">
        <f>2.80812043130784*1</f>
        <v>2.8081204313078398</v>
      </c>
      <c r="AJ123">
        <v>1</v>
      </c>
      <c r="AK123">
        <v>0</v>
      </c>
      <c r="AL123">
        <v>0</v>
      </c>
    </row>
    <row r="124" spans="1:38" hidden="1" x14ac:dyDescent="0.2">
      <c r="A124" t="s">
        <v>298</v>
      </c>
      <c r="B124" t="s">
        <v>299</v>
      </c>
      <c r="C124" t="s">
        <v>299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4.9000000000000004</v>
      </c>
      <c r="AE124">
        <v>699</v>
      </c>
      <c r="AF124">
        <v>9.1949122188347587</v>
      </c>
      <c r="AG124">
        <v>11.444444444444439</v>
      </c>
      <c r="AH124">
        <f>13.420003947993*1</f>
        <v>13.420003947992999</v>
      </c>
      <c r="AI124">
        <f>3.35500094836518*1</f>
        <v>3.3550009483651801</v>
      </c>
      <c r="AJ124">
        <v>1</v>
      </c>
      <c r="AK124">
        <v>0</v>
      </c>
      <c r="AL124">
        <v>0</v>
      </c>
    </row>
    <row r="125" spans="1:38" hidden="1" x14ac:dyDescent="0.2">
      <c r="A125" t="s">
        <v>300</v>
      </c>
      <c r="B125" t="s">
        <v>301</v>
      </c>
      <c r="C125" t="s">
        <v>301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28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5.8</v>
      </c>
      <c r="AE125">
        <v>711</v>
      </c>
      <c r="AF125">
        <v>17.32255866804778</v>
      </c>
      <c r="AG125">
        <v>15.025669557228291</v>
      </c>
      <c r="AH125">
        <f>18.7785152517224*1</f>
        <v>18.7785152517224</v>
      </c>
      <c r="AI125">
        <f>3.75570297861444*1</f>
        <v>3.75570297861444</v>
      </c>
      <c r="AJ125">
        <v>1</v>
      </c>
      <c r="AK125">
        <v>0</v>
      </c>
      <c r="AL125">
        <v>0</v>
      </c>
    </row>
    <row r="126" spans="1:38" x14ac:dyDescent="0.2">
      <c r="A126" t="s">
        <v>174</v>
      </c>
      <c r="B126" t="s">
        <v>175</v>
      </c>
      <c r="C126" t="s">
        <v>175</v>
      </c>
      <c r="D126" t="s">
        <v>4</v>
      </c>
      <c r="E126">
        <v>0</v>
      </c>
      <c r="F126">
        <v>1</v>
      </c>
      <c r="G126">
        <v>0</v>
      </c>
      <c r="H126">
        <v>0</v>
      </c>
      <c r="I126" t="s">
        <v>19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4.5999999999999996</v>
      </c>
      <c r="AE126">
        <v>351</v>
      </c>
      <c r="AF126">
        <v>11.561902914853381</v>
      </c>
      <c r="AG126">
        <v>11.44</v>
      </c>
      <c r="AH126">
        <f>11.8580322820168*1</f>
        <v>11.858032282016801</v>
      </c>
      <c r="AI126">
        <f>2.96450700310763*1</f>
        <v>2.9645070031076299</v>
      </c>
      <c r="AJ126">
        <v>1</v>
      </c>
      <c r="AK126">
        <v>1</v>
      </c>
      <c r="AL126">
        <v>1</v>
      </c>
    </row>
    <row r="127" spans="1:38" hidden="1" x14ac:dyDescent="0.2">
      <c r="A127" t="s">
        <v>304</v>
      </c>
      <c r="B127" t="s">
        <v>305</v>
      </c>
      <c r="C127" t="s">
        <v>306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28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5.7</v>
      </c>
      <c r="AE127">
        <v>727</v>
      </c>
      <c r="AF127">
        <v>19.21052631578948</v>
      </c>
      <c r="AG127">
        <v>17.22931373670755</v>
      </c>
      <c r="AH127">
        <f>21.5325466561874*1</f>
        <v>21.532546656187399</v>
      </c>
      <c r="AI127">
        <f>4.3182827080515*1</f>
        <v>4.3182827080515001</v>
      </c>
      <c r="AJ127">
        <v>1</v>
      </c>
      <c r="AK127">
        <v>0</v>
      </c>
      <c r="AL127">
        <v>0</v>
      </c>
    </row>
    <row r="128" spans="1:38" hidden="1" x14ac:dyDescent="0.2">
      <c r="A128" t="s">
        <v>307</v>
      </c>
      <c r="B128" t="s">
        <v>308</v>
      </c>
      <c r="C128" t="s">
        <v>307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7.1</v>
      </c>
      <c r="AE128">
        <v>729</v>
      </c>
      <c r="AF128">
        <v>19.68571428571429</v>
      </c>
      <c r="AG128">
        <v>19.445928127473241</v>
      </c>
      <c r="AH128">
        <f>24.3027877416609*1</f>
        <v>24.3027877416609</v>
      </c>
      <c r="AI128">
        <f>4.86055754833218*1</f>
        <v>4.8605575483321797</v>
      </c>
      <c r="AJ128">
        <v>1</v>
      </c>
      <c r="AK128">
        <v>0</v>
      </c>
      <c r="AL128">
        <v>0</v>
      </c>
    </row>
    <row r="129" spans="1:38" hidden="1" x14ac:dyDescent="0.2">
      <c r="A129" t="s">
        <v>309</v>
      </c>
      <c r="B129" t="s">
        <v>310</v>
      </c>
      <c r="C129" t="s">
        <v>310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4.4000000000000004</v>
      </c>
      <c r="AE129">
        <v>733</v>
      </c>
      <c r="AF129">
        <v>12.1875</v>
      </c>
      <c r="AG129">
        <v>11.97916666666667</v>
      </c>
      <c r="AH129">
        <f>14.9711108111458*1</f>
        <v>14.971110811145801</v>
      </c>
      <c r="AI129">
        <f>2.99422216222916*1</f>
        <v>2.99422216222916</v>
      </c>
      <c r="AJ129">
        <v>1</v>
      </c>
      <c r="AK129">
        <v>0</v>
      </c>
      <c r="AL129">
        <v>0</v>
      </c>
    </row>
    <row r="130" spans="1:38" hidden="1" x14ac:dyDescent="0.2">
      <c r="A130" t="s">
        <v>311</v>
      </c>
      <c r="B130" t="s">
        <v>312</v>
      </c>
      <c r="C130" t="s">
        <v>311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28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9.6</v>
      </c>
      <c r="AE130">
        <v>736</v>
      </c>
      <c r="AF130">
        <v>25.614035087719309</v>
      </c>
      <c r="AG130">
        <v>24.741608571162018</v>
      </c>
      <c r="AH130">
        <f>30.9211294801971*1</f>
        <v>30.921129480197099</v>
      </c>
      <c r="AI130">
        <f>6.1842258959819*1</f>
        <v>6.1842258959818999</v>
      </c>
      <c r="AJ130">
        <v>1</v>
      </c>
      <c r="AK130">
        <v>0</v>
      </c>
      <c r="AL130">
        <v>0</v>
      </c>
    </row>
    <row r="131" spans="1:38" hidden="1" x14ac:dyDescent="0.2">
      <c r="A131" t="s">
        <v>313</v>
      </c>
      <c r="B131" t="s">
        <v>314</v>
      </c>
      <c r="C131" t="s">
        <v>314</v>
      </c>
      <c r="D131" t="s">
        <v>4</v>
      </c>
      <c r="E131">
        <v>0</v>
      </c>
      <c r="F131">
        <v>1</v>
      </c>
      <c r="G131">
        <v>0</v>
      </c>
      <c r="H131">
        <v>0</v>
      </c>
      <c r="I131" t="s">
        <v>28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4.9000000000000004</v>
      </c>
      <c r="AE131">
        <v>739</v>
      </c>
      <c r="AF131">
        <v>15.23809523809523</v>
      </c>
      <c r="AG131">
        <v>13.90625</v>
      </c>
      <c r="AH131">
        <f>17.3795068981562*1</f>
        <v>17.379506898156201</v>
      </c>
      <c r="AI131">
        <f>3.47590137963125*1</f>
        <v>3.4759013796312499</v>
      </c>
      <c r="AJ131">
        <v>1</v>
      </c>
      <c r="AK131">
        <v>0</v>
      </c>
      <c r="AL131">
        <v>0</v>
      </c>
    </row>
    <row r="132" spans="1:38" hidden="1" x14ac:dyDescent="0.2">
      <c r="A132" t="s">
        <v>315</v>
      </c>
      <c r="B132" t="s">
        <v>316</v>
      </c>
      <c r="C132" t="s">
        <v>316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7.7</v>
      </c>
      <c r="AE132">
        <v>757</v>
      </c>
      <c r="AF132">
        <v>22.705479452054799</v>
      </c>
      <c r="AG132">
        <v>18.168103448275861</v>
      </c>
      <c r="AH132">
        <f>22.183212475585*1</f>
        <v>22.183212475585002</v>
      </c>
      <c r="AI132">
        <f>4.43664249511701*1</f>
        <v>4.4366424951170096</v>
      </c>
      <c r="AJ132">
        <v>1</v>
      </c>
      <c r="AK132">
        <v>0</v>
      </c>
      <c r="AL132">
        <v>0</v>
      </c>
    </row>
    <row r="133" spans="1:38" hidden="1" x14ac:dyDescent="0.2">
      <c r="A133" t="s">
        <v>317</v>
      </c>
      <c r="B133" t="s">
        <v>318</v>
      </c>
      <c r="C133" t="s">
        <v>317</v>
      </c>
      <c r="D133" t="s">
        <v>4</v>
      </c>
      <c r="E133">
        <v>0</v>
      </c>
      <c r="F133">
        <v>1</v>
      </c>
      <c r="G133">
        <v>0</v>
      </c>
      <c r="H133">
        <v>0</v>
      </c>
      <c r="I133" t="s">
        <v>29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4.4000000000000004</v>
      </c>
      <c r="AE133">
        <v>763</v>
      </c>
      <c r="AF133">
        <v>13.194160862873151</v>
      </c>
      <c r="AG133">
        <v>11.97368421052632</v>
      </c>
      <c r="AH133">
        <f>14.6198405545151*1</f>
        <v>14.6198405545151</v>
      </c>
      <c r="AI133">
        <f>2.92396845227021*1</f>
        <v>2.9239684522702101</v>
      </c>
      <c r="AJ133">
        <v>1</v>
      </c>
      <c r="AK133">
        <v>0</v>
      </c>
      <c r="AL133">
        <v>0</v>
      </c>
    </row>
    <row r="134" spans="1:38" hidden="1" x14ac:dyDescent="0.2">
      <c r="A134" t="s">
        <v>71</v>
      </c>
      <c r="B134" t="s">
        <v>319</v>
      </c>
      <c r="C134" t="s">
        <v>320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6</v>
      </c>
      <c r="AE134">
        <v>770</v>
      </c>
      <c r="AF134">
        <v>17.555555555555561</v>
      </c>
      <c r="AG134">
        <v>17.504549756102229</v>
      </c>
      <c r="AH134">
        <f>21.3730142243624*1</f>
        <v>21.3730142243624</v>
      </c>
      <c r="AI134">
        <f>4.27460282752345*1</f>
        <v>4.2746028275234504</v>
      </c>
      <c r="AJ134">
        <v>1</v>
      </c>
      <c r="AK134">
        <v>0</v>
      </c>
      <c r="AL134">
        <v>0</v>
      </c>
    </row>
    <row r="135" spans="1:38" hidden="1" x14ac:dyDescent="0.2">
      <c r="A135" t="s">
        <v>170</v>
      </c>
      <c r="B135" t="s">
        <v>321</v>
      </c>
      <c r="C135" t="s">
        <v>321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29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5.9</v>
      </c>
      <c r="AE135">
        <v>778</v>
      </c>
      <c r="AF135">
        <v>19.159413231181961</v>
      </c>
      <c r="AG135">
        <v>16.785714285714281</v>
      </c>
      <c r="AH135">
        <f>20.4953181878025*1</f>
        <v>20.4953181878025</v>
      </c>
      <c r="AI135">
        <f>4.09906360604543*1</f>
        <v>4.09906360604543</v>
      </c>
      <c r="AJ135">
        <v>1</v>
      </c>
      <c r="AK135">
        <v>0</v>
      </c>
      <c r="AL135">
        <v>0</v>
      </c>
    </row>
    <row r="136" spans="1:38" hidden="1" x14ac:dyDescent="0.2">
      <c r="A136" t="s">
        <v>322</v>
      </c>
      <c r="B136" t="s">
        <v>323</v>
      </c>
      <c r="C136" t="s">
        <v>323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6.8</v>
      </c>
      <c r="AE136">
        <v>780</v>
      </c>
      <c r="AF136">
        <v>21.42857142857142</v>
      </c>
      <c r="AG136">
        <v>23.16590528261867</v>
      </c>
      <c r="AH136">
        <f>28.2855157517533*1</f>
        <v>28.285515751753302</v>
      </c>
      <c r="AI136">
        <f>5.65746802423498*1</f>
        <v>5.65746802423498</v>
      </c>
      <c r="AJ136">
        <v>1</v>
      </c>
      <c r="AK136">
        <v>0</v>
      </c>
      <c r="AL136">
        <v>0</v>
      </c>
    </row>
    <row r="137" spans="1:38" hidden="1" x14ac:dyDescent="0.2">
      <c r="A137" t="s">
        <v>324</v>
      </c>
      <c r="B137" t="s">
        <v>325</v>
      </c>
      <c r="C137" t="s">
        <v>325</v>
      </c>
      <c r="D137" t="s">
        <v>4</v>
      </c>
      <c r="E137">
        <v>0</v>
      </c>
      <c r="F137">
        <v>1</v>
      </c>
      <c r="G137">
        <v>0</v>
      </c>
      <c r="H137">
        <v>0</v>
      </c>
      <c r="I137" t="s">
        <v>30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4.5</v>
      </c>
      <c r="AE137">
        <v>787</v>
      </c>
      <c r="AF137">
        <v>11.131161125490291</v>
      </c>
      <c r="AG137">
        <v>9.1515151515151523</v>
      </c>
      <c r="AH137">
        <f>13.4553643441685*1</f>
        <v>13.455364344168499</v>
      </c>
      <c r="AI137">
        <f>2.3854382362559*1</f>
        <v>2.3854382362558999</v>
      </c>
      <c r="AJ137">
        <v>1</v>
      </c>
      <c r="AK137">
        <v>0</v>
      </c>
      <c r="AL137">
        <v>0</v>
      </c>
    </row>
    <row r="138" spans="1:38" hidden="1" x14ac:dyDescent="0.2">
      <c r="A138" t="s">
        <v>326</v>
      </c>
      <c r="B138" t="s">
        <v>327</v>
      </c>
      <c r="C138" t="s">
        <v>327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30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4.5</v>
      </c>
      <c r="AE138">
        <v>793</v>
      </c>
      <c r="AF138">
        <v>11.106538027938401</v>
      </c>
      <c r="AG138">
        <v>11.19230769230769</v>
      </c>
      <c r="AH138">
        <f>14.7773292295544*1</f>
        <v>14.7773292295544</v>
      </c>
      <c r="AI138">
        <f>3.64884776735742*1</f>
        <v>3.6488477673574198</v>
      </c>
      <c r="AJ138">
        <v>1</v>
      </c>
      <c r="AK138">
        <v>0</v>
      </c>
      <c r="AL138">
        <v>0</v>
      </c>
    </row>
    <row r="139" spans="1:38" hidden="1" x14ac:dyDescent="0.2">
      <c r="A139" t="s">
        <v>328</v>
      </c>
      <c r="B139" t="s">
        <v>329</v>
      </c>
      <c r="C139" t="s">
        <v>330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30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5.6</v>
      </c>
      <c r="AE139">
        <v>798</v>
      </c>
      <c r="AF139">
        <v>22.889349673945421</v>
      </c>
      <c r="AG139">
        <v>11.94736842105263</v>
      </c>
      <c r="AH139">
        <f>23.1622256287819*1</f>
        <v>23.162225628781901</v>
      </c>
      <c r="AI139">
        <f>5.80019697915906*1</f>
        <v>5.8001969791590602</v>
      </c>
      <c r="AJ139">
        <v>1</v>
      </c>
      <c r="AK139">
        <v>0</v>
      </c>
      <c r="AL139">
        <v>0</v>
      </c>
    </row>
    <row r="140" spans="1:38" hidden="1" x14ac:dyDescent="0.2">
      <c r="A140" t="s">
        <v>331</v>
      </c>
      <c r="B140" t="s">
        <v>332</v>
      </c>
      <c r="C140" t="s">
        <v>333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30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</v>
      </c>
      <c r="AD140">
        <v>4.9000000000000004</v>
      </c>
      <c r="AE140">
        <v>799</v>
      </c>
      <c r="AF140">
        <v>25.047012887293061</v>
      </c>
      <c r="AG140">
        <v>9.3076923076923084</v>
      </c>
      <c r="AH140">
        <f>22.8757524967264*1</f>
        <v>22.875752496726399</v>
      </c>
      <c r="AI140">
        <f>8.70860138910987*1</f>
        <v>8.7086013891098695</v>
      </c>
      <c r="AJ140">
        <v>1</v>
      </c>
      <c r="AK140">
        <v>0</v>
      </c>
      <c r="AL140">
        <v>0</v>
      </c>
    </row>
    <row r="141" spans="1:38" hidden="1" x14ac:dyDescent="0.2">
      <c r="A141" t="s">
        <v>334</v>
      </c>
      <c r="B141" t="s">
        <v>335</v>
      </c>
      <c r="C141" t="s">
        <v>335</v>
      </c>
      <c r="D141" t="s">
        <v>4</v>
      </c>
      <c r="E141">
        <v>0</v>
      </c>
      <c r="F141">
        <v>1</v>
      </c>
      <c r="G141">
        <v>0</v>
      </c>
      <c r="H141">
        <v>0</v>
      </c>
      <c r="I141" t="s">
        <v>30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4.5</v>
      </c>
      <c r="AE141">
        <v>803</v>
      </c>
      <c r="AF141">
        <v>12.176991150442481</v>
      </c>
      <c r="AG141">
        <v>11.95505617977528</v>
      </c>
      <c r="AH141">
        <f>15.9943453988173*1</f>
        <v>15.9943453988173</v>
      </c>
      <c r="AI141">
        <f>3.99858634970432*1</f>
        <v>3.9985863497043201</v>
      </c>
      <c r="AJ141">
        <v>1</v>
      </c>
      <c r="AK141">
        <v>0</v>
      </c>
      <c r="AL141">
        <v>0</v>
      </c>
    </row>
    <row r="142" spans="1:38" hidden="1" x14ac:dyDescent="0.2">
      <c r="A142" t="s">
        <v>336</v>
      </c>
      <c r="B142" t="s">
        <v>337</v>
      </c>
      <c r="C142" t="s">
        <v>338</v>
      </c>
      <c r="D142" t="s">
        <v>5</v>
      </c>
      <c r="E142">
        <v>0</v>
      </c>
      <c r="F142">
        <v>0</v>
      </c>
      <c r="G142">
        <v>1</v>
      </c>
      <c r="H142">
        <v>0</v>
      </c>
      <c r="I142" t="s">
        <v>30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4.9000000000000004</v>
      </c>
      <c r="AE142">
        <v>805</v>
      </c>
      <c r="AF142">
        <v>8.9545454545454515</v>
      </c>
      <c r="AG142">
        <v>10.02898550724638</v>
      </c>
      <c r="AH142">
        <f>12.5734056407528*1</f>
        <v>12.573405640752799</v>
      </c>
      <c r="AI142">
        <f>3.1433514101882*1</f>
        <v>3.1433514101881999</v>
      </c>
      <c r="AJ142">
        <v>1</v>
      </c>
      <c r="AK142">
        <v>0</v>
      </c>
      <c r="AL142">
        <v>0</v>
      </c>
    </row>
    <row r="143" spans="1:38" hidden="1" x14ac:dyDescent="0.2">
      <c r="A143" t="s">
        <v>339</v>
      </c>
      <c r="B143" t="s">
        <v>340</v>
      </c>
      <c r="C143" t="s">
        <v>341</v>
      </c>
      <c r="D143" t="s">
        <v>3</v>
      </c>
      <c r="E143">
        <v>1</v>
      </c>
      <c r="F143">
        <v>0</v>
      </c>
      <c r="G143">
        <v>0</v>
      </c>
      <c r="H143">
        <v>0</v>
      </c>
      <c r="I143" t="s">
        <v>30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5</v>
      </c>
      <c r="AE143">
        <v>808</v>
      </c>
      <c r="AF143">
        <v>14.70396418735328</v>
      </c>
      <c r="AG143">
        <v>13.917808219178079</v>
      </c>
      <c r="AH143">
        <f>18.9736588539742*1</f>
        <v>18.9736588539742</v>
      </c>
      <c r="AI143">
        <f>4.44632110348814*1</f>
        <v>4.44632110348814</v>
      </c>
      <c r="AJ143">
        <v>1</v>
      </c>
      <c r="AK143">
        <v>0</v>
      </c>
      <c r="AL143">
        <v>0</v>
      </c>
    </row>
    <row r="144" spans="1:38" hidden="1" x14ac:dyDescent="0.2">
      <c r="A144" t="s">
        <v>342</v>
      </c>
      <c r="B144" t="s">
        <v>343</v>
      </c>
      <c r="C144" t="s">
        <v>343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30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4.7</v>
      </c>
      <c r="AE144">
        <v>809</v>
      </c>
      <c r="AF144">
        <v>21.882097321646629</v>
      </c>
      <c r="AG144">
        <v>10.5</v>
      </c>
      <c r="AH144">
        <f>21.5385207654583*1</f>
        <v>21.538520765458301</v>
      </c>
      <c r="AI144">
        <f>5.14790110002192*1</f>
        <v>5.1479011000219197</v>
      </c>
      <c r="AJ144">
        <v>1</v>
      </c>
      <c r="AK144">
        <v>0</v>
      </c>
      <c r="AL144">
        <v>0</v>
      </c>
    </row>
    <row r="145" spans="1:38" hidden="1" x14ac:dyDescent="0.2">
      <c r="A145" t="s">
        <v>344</v>
      </c>
      <c r="B145" t="s">
        <v>345</v>
      </c>
      <c r="C145" t="s">
        <v>346</v>
      </c>
      <c r="D145" t="s">
        <v>4</v>
      </c>
      <c r="E145">
        <v>0</v>
      </c>
      <c r="F145">
        <v>1</v>
      </c>
      <c r="G145">
        <v>0</v>
      </c>
      <c r="H145">
        <v>0</v>
      </c>
      <c r="I145" t="s">
        <v>30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4.4000000000000004</v>
      </c>
      <c r="AE145">
        <v>812</v>
      </c>
      <c r="AF145">
        <v>9.7272727272727266</v>
      </c>
      <c r="AG145">
        <v>10.17647058823529</v>
      </c>
      <c r="AH145">
        <f>13.1875465408757*1</f>
        <v>13.187546540875701</v>
      </c>
      <c r="AI145">
        <f>3.29688663521894*1</f>
        <v>3.2968866352189399</v>
      </c>
      <c r="AJ145">
        <v>1</v>
      </c>
      <c r="AK145">
        <v>0</v>
      </c>
      <c r="AL145">
        <v>0</v>
      </c>
    </row>
    <row r="146" spans="1:38" hidden="1" x14ac:dyDescent="0.2">
      <c r="A146" t="s">
        <v>347</v>
      </c>
      <c r="B146" t="s">
        <v>348</v>
      </c>
      <c r="C146" t="s">
        <v>349</v>
      </c>
      <c r="D146" t="s">
        <v>6</v>
      </c>
      <c r="E146">
        <v>0</v>
      </c>
      <c r="F146">
        <v>0</v>
      </c>
      <c r="G146">
        <v>0</v>
      </c>
      <c r="H146">
        <v>1</v>
      </c>
      <c r="I146" t="s">
        <v>30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5.6</v>
      </c>
      <c r="AE146">
        <v>814</v>
      </c>
      <c r="AF146">
        <v>23.9783443435552</v>
      </c>
      <c r="AG146">
        <v>12.974926781119409</v>
      </c>
      <c r="AH146">
        <f>0*0</f>
        <v>0</v>
      </c>
      <c r="AI146">
        <f>4.01034961497068*0</f>
        <v>0</v>
      </c>
      <c r="AJ146">
        <v>0</v>
      </c>
      <c r="AK146">
        <v>0</v>
      </c>
      <c r="AL146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2024-03-01T15:18:26Z</dcterms:created>
  <dcterms:modified xsi:type="dcterms:W3CDTF">2024-03-01T15:29:48Z</dcterms:modified>
</cp:coreProperties>
</file>