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629238F5-9443-2E4D-AA81-7C883B174BA0}" xr6:coauthVersionLast="47" xr6:coauthVersionMax="47" xr10:uidLastSave="{00000000-0000-0000-0000-000000000000}"/>
  <bookViews>
    <workbookView xWindow="240" yWindow="760" windowWidth="26700" windowHeight="19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26" i="1" l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2" i="1"/>
  <c r="AI102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47" i="1"/>
  <c r="AI47" i="1"/>
  <c r="AJ101" i="1"/>
  <c r="AI101" i="1"/>
  <c r="AJ100" i="1"/>
  <c r="AI100" i="1"/>
  <c r="AJ99" i="1"/>
  <c r="AI99" i="1"/>
  <c r="AJ55" i="1"/>
  <c r="AI55" i="1"/>
  <c r="AJ94" i="1"/>
  <c r="AI94" i="1"/>
  <c r="AJ98" i="1"/>
  <c r="AI98" i="1"/>
  <c r="AJ95" i="1"/>
  <c r="AI95" i="1"/>
  <c r="AJ97" i="1"/>
  <c r="AI97" i="1"/>
  <c r="AJ93" i="1"/>
  <c r="AI93" i="1"/>
  <c r="AJ92" i="1"/>
  <c r="AI92" i="1"/>
  <c r="AJ91" i="1"/>
  <c r="AI91" i="1"/>
  <c r="AJ90" i="1"/>
  <c r="AI90" i="1"/>
  <c r="AJ81" i="1"/>
  <c r="AI81" i="1"/>
  <c r="AJ88" i="1"/>
  <c r="AI88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109" i="1"/>
  <c r="AI109" i="1"/>
  <c r="AJ43" i="1"/>
  <c r="AI43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96" i="1"/>
  <c r="AI96" i="1"/>
  <c r="AJ89" i="1"/>
  <c r="AI89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6" i="1"/>
  <c r="AI6" i="1"/>
  <c r="AJ46" i="1"/>
  <c r="AI46" i="1"/>
  <c r="AJ45" i="1"/>
  <c r="AI45" i="1"/>
  <c r="AJ54" i="1"/>
  <c r="AI54" i="1"/>
  <c r="AJ80" i="1"/>
  <c r="AI80" i="1"/>
  <c r="AJ42" i="1"/>
  <c r="AI42" i="1"/>
  <c r="AJ41" i="1"/>
  <c r="AI41" i="1"/>
  <c r="AJ40" i="1"/>
  <c r="AI40" i="1"/>
  <c r="AJ39" i="1"/>
  <c r="AI39" i="1"/>
  <c r="AJ38" i="1"/>
  <c r="AI38" i="1"/>
  <c r="AP37" i="1"/>
  <c r="AJ37" i="1"/>
  <c r="AI37" i="1"/>
  <c r="AP36" i="1"/>
  <c r="AJ36" i="1"/>
  <c r="AI36" i="1"/>
  <c r="AP35" i="1"/>
  <c r="AJ35" i="1"/>
  <c r="AI35" i="1"/>
  <c r="AP34" i="1"/>
  <c r="AJ34" i="1"/>
  <c r="AI34" i="1"/>
  <c r="AP33" i="1"/>
  <c r="AJ33" i="1"/>
  <c r="AI33" i="1"/>
  <c r="AP32" i="1"/>
  <c r="AJ32" i="1"/>
  <c r="AI32" i="1"/>
  <c r="AP31" i="1"/>
  <c r="AJ31" i="1"/>
  <c r="AI31" i="1"/>
  <c r="AP30" i="1"/>
  <c r="AJ30" i="1"/>
  <c r="AI30" i="1"/>
  <c r="AP29" i="1"/>
  <c r="AJ29" i="1"/>
  <c r="AI29" i="1"/>
  <c r="AP28" i="1"/>
  <c r="AJ28" i="1"/>
  <c r="AI28" i="1"/>
  <c r="AP27" i="1"/>
  <c r="AJ27" i="1"/>
  <c r="AI27" i="1"/>
  <c r="AP26" i="1"/>
  <c r="AJ26" i="1"/>
  <c r="AI26" i="1"/>
  <c r="AP25" i="1"/>
  <c r="AJ25" i="1"/>
  <c r="AI25" i="1"/>
  <c r="AP24" i="1"/>
  <c r="AJ24" i="1"/>
  <c r="AI24" i="1"/>
  <c r="AP23" i="1"/>
  <c r="AJ23" i="1"/>
  <c r="AI23" i="1"/>
  <c r="AP22" i="1"/>
  <c r="AJ22" i="1"/>
  <c r="AI22" i="1"/>
  <c r="AP21" i="1"/>
  <c r="AJ21" i="1"/>
  <c r="AI21" i="1"/>
  <c r="AP20" i="1"/>
  <c r="AJ20" i="1"/>
  <c r="AI20" i="1"/>
  <c r="AP19" i="1"/>
  <c r="AJ19" i="1"/>
  <c r="AI19" i="1"/>
  <c r="AP18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P11" i="1"/>
  <c r="AP14" i="1" s="1"/>
  <c r="AJ11" i="1"/>
  <c r="AI11" i="1"/>
  <c r="AJ10" i="1"/>
  <c r="AI10" i="1"/>
  <c r="AP9" i="1"/>
  <c r="AJ9" i="1"/>
  <c r="AI9" i="1"/>
  <c r="AP8" i="1"/>
  <c r="AJ8" i="1"/>
  <c r="AI8" i="1"/>
  <c r="AP7" i="1"/>
  <c r="AJ7" i="1"/>
  <c r="AI7" i="1"/>
  <c r="AP6" i="1"/>
  <c r="AJ44" i="1"/>
  <c r="AI44" i="1"/>
  <c r="AJ5" i="1"/>
  <c r="AI5" i="1"/>
  <c r="AP4" i="1"/>
  <c r="AJ4" i="1"/>
  <c r="AI4" i="1"/>
  <c r="AJ3" i="1"/>
  <c r="AI3" i="1"/>
  <c r="AJ2" i="1"/>
  <c r="AI2" i="1"/>
  <c r="AP2" i="1" s="1"/>
  <c r="AP16" i="1" l="1"/>
</calcChain>
</file>

<file path=xl/sharedStrings.xml><?xml version="1.0" encoding="utf-8"?>
<sst xmlns="http://schemas.openxmlformats.org/spreadsheetml/2006/main" count="695" uniqueCount="309">
  <si>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</si>
  <si>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</si>
  <si>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</si>
  <si>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</si>
  <si>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</si>
  <si>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</si>
  <si>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</si>
  <si>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</si>
  <si>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</si>
  <si>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</si>
  <si>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</si>
  <si>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</si>
  <si>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</si>
  <si>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</si>
  <si>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</si>
  <si>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</si>
  <si>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</si>
  <si>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</si>
  <si>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</si>
  <si>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</si>
  <si>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</si>
  <si>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</si>
  <si>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</si>
  <si>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</si>
  <si>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</si>
  <si>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</si>
  <si>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</si>
  <si>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</si>
  <si>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</si>
  <si>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</si>
  <si>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</si>
  <si>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</si>
  <si>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</si>
  <si>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</si>
  <si>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</si>
  <si>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</si>
  <si>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</si>
  <si>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</si>
  <si>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</si>
  <si>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</si>
  <si>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</si>
  <si>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</si>
  <si>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</si>
  <si>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</si>
  <si>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</si>
  <si>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</si>
  <si>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</si>
  <si>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</si>
  <si>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</si>
  <si>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Martin</t>
  </si>
  <si>
    <t>Ødegaard</t>
  </si>
  <si>
    <t>David</t>
  </si>
  <si>
    <t>Raya Martin</t>
  </si>
  <si>
    <t>Raya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</si>
  <si>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</si>
  <si>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</si>
  <si>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</si>
  <si>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</si>
  <si>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</si>
  <si>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</si>
  <si>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</si>
  <si>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</si>
  <si>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</si>
  <si>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</si>
  <si>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Norberto</t>
  </si>
  <si>
    <t>Murara Neto</t>
  </si>
  <si>
    <t>Neto</t>
  </si>
  <si>
    <t>Raheem</t>
  </si>
  <si>
    <t>Sterling</t>
  </si>
  <si>
    <t>Moussa</t>
  </si>
  <si>
    <t>Diaby</t>
  </si>
  <si>
    <t>Lucas</t>
  </si>
  <si>
    <t>Digne</t>
  </si>
  <si>
    <t>Jhon</t>
  </si>
  <si>
    <t>Durán</t>
  </si>
  <si>
    <t>Duran</t>
  </si>
  <si>
    <t>Youri</t>
  </si>
  <si>
    <t>Tielemans</t>
  </si>
  <si>
    <t>Ollie</t>
  </si>
  <si>
    <t>Watkins</t>
  </si>
  <si>
    <t>Amadou</t>
  </si>
  <si>
    <t>Onana</t>
  </si>
  <si>
    <t>Lewis</t>
  </si>
  <si>
    <t>Cook</t>
  </si>
  <si>
    <t>Justin</t>
  </si>
  <si>
    <t>Kluivert</t>
  </si>
  <si>
    <t>Antoine</t>
  </si>
  <si>
    <t>Semenyo</t>
  </si>
  <si>
    <t>Adam</t>
  </si>
  <si>
    <t>Smith</t>
  </si>
  <si>
    <t>Marcus</t>
  </si>
  <si>
    <t>Tavernier</t>
  </si>
  <si>
    <t>Kristoffer</t>
  </si>
  <si>
    <t>Ajer</t>
  </si>
  <si>
    <t>Nathan</t>
  </si>
  <si>
    <t>Collins</t>
  </si>
  <si>
    <t>Mark</t>
  </si>
  <si>
    <t>Flekken</t>
  </si>
  <si>
    <t>Vitaly</t>
  </si>
  <si>
    <t>Janelt</t>
  </si>
  <si>
    <t>Mathias</t>
  </si>
  <si>
    <t>Jensen</t>
  </si>
  <si>
    <t>Bryan</t>
  </si>
  <si>
    <t>Mbeumo</t>
  </si>
  <si>
    <t>Yoane</t>
  </si>
  <si>
    <t>Wissa</t>
  </si>
  <si>
    <t>Simon</t>
  </si>
  <si>
    <t>Adingra</t>
  </si>
  <si>
    <t>Dunk</t>
  </si>
  <si>
    <t>Pascal</t>
  </si>
  <si>
    <t>Groß</t>
  </si>
  <si>
    <t>Gross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</si>
  <si>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</si>
  <si>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</si>
  <si>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</si>
  <si>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</si>
  <si>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</si>
  <si>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</si>
  <si>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</si>
  <si>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Danny</t>
  </si>
  <si>
    <t>Welbeck</t>
  </si>
  <si>
    <t>Moisés</t>
  </si>
  <si>
    <t>Caicedo Corozo</t>
  </si>
  <si>
    <t>Caicedo</t>
  </si>
  <si>
    <t>Levi</t>
  </si>
  <si>
    <t>Colwill</t>
  </si>
  <si>
    <t>Enzo</t>
  </si>
  <si>
    <t>Fernández</t>
  </si>
  <si>
    <t>Conor</t>
  </si>
  <si>
    <t>Gallagher</t>
  </si>
  <si>
    <t>Malo</t>
  </si>
  <si>
    <t>Gusto</t>
  </si>
  <si>
    <t>Nicolas</t>
  </si>
  <si>
    <t>Jackson</t>
  </si>
  <si>
    <t>N.Jackson</t>
  </si>
  <si>
    <t>Cole</t>
  </si>
  <si>
    <t>Palmer</t>
  </si>
  <si>
    <t>Chris</t>
  </si>
  <si>
    <t>Richards</t>
  </si>
  <si>
    <t>C.Richards</t>
  </si>
  <si>
    <t>Eberechi</t>
  </si>
  <si>
    <t>Eze</t>
  </si>
  <si>
    <t>Jean-Philippe</t>
  </si>
  <si>
    <t>Mateta</t>
  </si>
  <si>
    <t>Tyrick</t>
  </si>
  <si>
    <t>Mitchell</t>
  </si>
  <si>
    <t>Abdoulaye</t>
  </si>
  <si>
    <t>Doucouré</t>
  </si>
  <si>
    <t>A.Doucoure</t>
  </si>
  <si>
    <t>Jarrad</t>
  </si>
  <si>
    <t>Branthwaite</t>
  </si>
  <si>
    <t>Dominic</t>
  </si>
  <si>
    <t>Calvert-Lewin</t>
  </si>
  <si>
    <t>Idrissa</t>
  </si>
  <si>
    <t>Gueye</t>
  </si>
  <si>
    <t>Gana</t>
  </si>
  <si>
    <t>Dwight</t>
  </si>
  <si>
    <t>McNeil</t>
  </si>
  <si>
    <t>Jordan</t>
  </si>
  <si>
    <t>Pickford</t>
  </si>
  <si>
    <t>Joachim</t>
  </si>
  <si>
    <t>Andersen</t>
  </si>
  <si>
    <t>Andreas</t>
  </si>
  <si>
    <t>Hoelgebaum Pereira</t>
  </si>
  <si>
    <t>Timothy</t>
  </si>
  <si>
    <t>Castagne</t>
  </si>
  <si>
    <t>Alex</t>
  </si>
  <si>
    <t>Iwobi</t>
  </si>
  <si>
    <t>Bernd</t>
  </si>
  <si>
    <t>Leno</t>
  </si>
  <si>
    <t>Raúl</t>
  </si>
  <si>
    <t>Jiménez</t>
  </si>
  <si>
    <t>Antonee</t>
  </si>
  <si>
    <t>Robinson</t>
  </si>
  <si>
    <t>Harry</t>
  </si>
  <si>
    <t>Wilson</t>
  </si>
  <si>
    <t>Dara</t>
  </si>
  <si>
    <t>O'Shea</t>
  </si>
  <si>
    <t>Chiedozie</t>
  </si>
  <si>
    <t>Ogbene</t>
  </si>
  <si>
    <t>Facundo</t>
  </si>
  <si>
    <t>Buonanotte</t>
  </si>
  <si>
    <t>Alisson</t>
  </si>
  <si>
    <t>Ramses Becker</t>
  </si>
  <si>
    <t>A.Becker</t>
  </si>
  <si>
    <t>Trent</t>
  </si>
  <si>
    <t>Alexander-Arnold</t>
  </si>
  <si>
    <t>Harvey</t>
  </si>
  <si>
    <t>Elliott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</si>
  <si>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</si>
  <si>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</si>
  <si>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</si>
  <si>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</si>
  <si>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</si>
  <si>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</si>
  <si>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</si>
  <si>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</si>
  <si>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Dominik</t>
  </si>
  <si>
    <t>Szoboszlai</t>
  </si>
  <si>
    <t>Virgil</t>
  </si>
  <si>
    <t>van Dijk</t>
  </si>
  <si>
    <t>Manuel</t>
  </si>
  <si>
    <t>Akanji</t>
  </si>
  <si>
    <t>Aké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</si>
  <si>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</si>
  <si>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</si>
  <si>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</si>
  <si>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</si>
  <si>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</si>
  <si>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</si>
  <si>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</si>
  <si>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</si>
  <si>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</si>
  <si>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Joško</t>
  </si>
  <si>
    <t>Gvardiol</t>
  </si>
  <si>
    <t>Vitalii</t>
  </si>
  <si>
    <t>Mykolenko</t>
  </si>
  <si>
    <t>Erling</t>
  </si>
  <si>
    <t>Haaland</t>
  </si>
  <si>
    <t>Julián</t>
  </si>
  <si>
    <t>Álvarez</t>
  </si>
  <si>
    <t>J.Alvarez</t>
  </si>
  <si>
    <t>Mateo</t>
  </si>
  <si>
    <t>Kovačić</t>
  </si>
  <si>
    <t>Rúben</t>
  </si>
  <si>
    <t>Gato Alves Dias</t>
  </si>
  <si>
    <t>Kyle</t>
  </si>
  <si>
    <t>Walker</t>
  </si>
  <si>
    <t>Bruno</t>
  </si>
  <si>
    <t>Borges Fernandes</t>
  </si>
  <si>
    <t>B.Fernandes</t>
  </si>
  <si>
    <t>Carlos Henrique</t>
  </si>
  <si>
    <t>Casimiro</t>
  </si>
  <si>
    <t>Casemiro</t>
  </si>
  <si>
    <t>Diogo</t>
  </si>
  <si>
    <t>Dalot Teixeira</t>
  </si>
  <si>
    <t>Dalot</t>
  </si>
  <si>
    <t>Alejandro</t>
  </si>
  <si>
    <t>Garnacho</t>
  </si>
  <si>
    <t>Rasmus</t>
  </si>
  <si>
    <t>Højlund</t>
  </si>
  <si>
    <t>Maguire</t>
  </si>
  <si>
    <t>Kobbie</t>
  </si>
  <si>
    <t>Mainoo</t>
  </si>
  <si>
    <t>André</t>
  </si>
  <si>
    <t>Rashford</t>
  </si>
  <si>
    <t>Guimarães Rodriguez Moura</t>
  </si>
  <si>
    <t>Bruno G.</t>
  </si>
  <si>
    <t>Anthony</t>
  </si>
  <si>
    <t>Gordon</t>
  </si>
  <si>
    <t>Alexander</t>
  </si>
  <si>
    <t>Isak</t>
  </si>
  <si>
    <t>Danilo</t>
  </si>
  <si>
    <t>dos Santos de Oliveira</t>
  </si>
  <si>
    <t>Elanga</t>
  </si>
  <si>
    <t>Morgan</t>
  </si>
  <si>
    <t>Gibbs-White</t>
  </si>
  <si>
    <t>Callum</t>
  </si>
  <si>
    <t>Hudson-Odoi</t>
  </si>
  <si>
    <t>Murillo</t>
  </si>
  <si>
    <t>Santiago Costa dos Santos</t>
  </si>
  <si>
    <t>Wood</t>
  </si>
  <si>
    <t>James</t>
  </si>
  <si>
    <t>Ward-Prowse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</si>
  <si>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</si>
  <si>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</si>
  <si>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</si>
  <si>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</si>
  <si>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</si>
  <si>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</si>
  <si>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</si>
  <si>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</si>
  <si>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</si>
  <si>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</si>
  <si>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</si>
  <si>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</si>
  <si>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Son</t>
  </si>
  <si>
    <t>Heung-min</t>
  </si>
  <si>
    <t>Destiny</t>
  </si>
  <si>
    <t>Udogie</t>
  </si>
  <si>
    <t>Micky</t>
  </si>
  <si>
    <t>van de Ven</t>
  </si>
  <si>
    <t>Van de Ven</t>
  </si>
  <si>
    <t>Guglielmo</t>
  </si>
  <si>
    <t>Vicario</t>
  </si>
  <si>
    <t>Odobert</t>
  </si>
  <si>
    <t>Alphonse</t>
  </si>
  <si>
    <t>Areola</t>
  </si>
  <si>
    <t>Jarrod</t>
  </si>
  <si>
    <t>Bowen</t>
  </si>
  <si>
    <t>Wes</t>
  </si>
  <si>
    <t>Foderingham</t>
  </si>
  <si>
    <t>Max</t>
  </si>
  <si>
    <t>Kilman</t>
  </si>
  <si>
    <t>Mohammed</t>
  </si>
  <si>
    <t>Kudus</t>
  </si>
  <si>
    <t>Tolentino Coelho de Lima</t>
  </si>
  <si>
    <t>L.Paquetá</t>
  </si>
  <si>
    <t>Tomáš</t>
  </si>
  <si>
    <t>Souček</t>
  </si>
  <si>
    <t>Matheus</t>
  </si>
  <si>
    <t>Santos Carneiro Da Cunha</t>
  </si>
  <si>
    <t>Cunha</t>
  </si>
  <si>
    <t>José</t>
  </si>
  <si>
    <t>Malheiro de Sá</t>
  </si>
  <si>
    <t>José Sá</t>
  </si>
  <si>
    <t>Mario</t>
  </si>
  <si>
    <t>Lemina</t>
  </si>
  <si>
    <t>Mario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</si>
</sst>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126" totalsRowShown="0">
  <autoFilter ref="A1:AM126" xr:uid="{00000000-0009-0000-0100-000001000000}">
    <filterColumn colId="38">
      <filters>
        <filter val="1"/>
      </filters>
    </filterColumn>
  </autoFilter>
  <sortState xmlns:xlrd2="http://schemas.microsoft.com/office/spreadsheetml/2017/richdata2" ref="A6:AM109">
    <sortCondition descending="1" ref="AJ1:AJ126"/>
  </sortState>
  <tableColumns count="39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5" xr3:uid="{00000000-0010-0000-0000-000023000000}" name="PP"/>
    <tableColumn id="36" xr3:uid="{00000000-0010-0000-0000-000024000000}" name="NEXT"/>
    <tableColumn id="37" xr3:uid="{00000000-0010-0000-0000-000025000000}" name="Health"/>
    <tableColumn id="38" xr3:uid="{00000000-0010-0000-0000-000026000000}" name="PREV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6"/>
  <sheetViews>
    <sheetView tabSelected="1" workbookViewId="0">
      <selection activeCell="D43" sqref="D43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3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</v>
      </c>
      <c r="AE2">
        <v>2</v>
      </c>
      <c r="AF2">
        <v>20.301963878292341</v>
      </c>
      <c r="AG2">
        <v>18.911576413463099</v>
      </c>
      <c r="AH2">
        <v>28.623675222887019</v>
      </c>
      <c r="AI2">
        <f>23.2811318273711*1</f>
        <v>23.281131827371102</v>
      </c>
      <c r="AJ2">
        <f>4.8000724428401*1</f>
        <v>4.8000724428400998</v>
      </c>
      <c r="AK2">
        <v>1</v>
      </c>
      <c r="AL2">
        <v>0</v>
      </c>
      <c r="AM2">
        <v>0</v>
      </c>
      <c r="AO2" t="s">
        <v>0</v>
      </c>
      <c r="AP2">
        <f>SUMPRODUCT(Table1[Selected], Table1[PP])</f>
        <v>284.85073817099635</v>
      </c>
      <c r="AQ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8.1</v>
      </c>
      <c r="AE3">
        <v>3</v>
      </c>
      <c r="AF3">
        <v>32.60353064308697</v>
      </c>
      <c r="AG3">
        <v>14.39202085182065</v>
      </c>
      <c r="AH3">
        <v>27.273212577326351</v>
      </c>
      <c r="AI3">
        <f>14.3413026376073*1</f>
        <v>14.341302637607299</v>
      </c>
      <c r="AJ3">
        <f>2.81739629074246*1</f>
        <v>2.8173962907424599</v>
      </c>
      <c r="AK3">
        <v>1</v>
      </c>
      <c r="AL3">
        <v>1</v>
      </c>
      <c r="AM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8.3000000000000007</v>
      </c>
      <c r="AE4">
        <v>10</v>
      </c>
      <c r="AF4">
        <v>23.432203389830509</v>
      </c>
      <c r="AG4">
        <v>23.53770460970124</v>
      </c>
      <c r="AH4">
        <v>24.36467150589727</v>
      </c>
      <c r="AI4">
        <f>8.06206294884396*1</f>
        <v>8.0620629488439608</v>
      </c>
      <c r="AJ4">
        <f>1.58688682156084*1</f>
        <v>1.58688682156084</v>
      </c>
      <c r="AK4">
        <v>1</v>
      </c>
      <c r="AL4">
        <v>0</v>
      </c>
      <c r="AM4">
        <v>0</v>
      </c>
      <c r="AO4" t="s">
        <v>2</v>
      </c>
      <c r="AP4">
        <f>SUMPRODUCT(Table1[Selected],Table1[Cost])</f>
        <v>98.40000000000002</v>
      </c>
      <c r="AQ4">
        <v>99.199999999999989</v>
      </c>
    </row>
    <row r="5" spans="1:43" hidden="1" x14ac:dyDescent="0.2">
      <c r="A5" t="s">
        <v>51</v>
      </c>
      <c r="B5" t="s">
        <v>52</v>
      </c>
      <c r="C5" t="s">
        <v>53</v>
      </c>
      <c r="D5" t="s">
        <v>3</v>
      </c>
      <c r="E5">
        <v>1</v>
      </c>
      <c r="F5">
        <v>0</v>
      </c>
      <c r="G5">
        <v>0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5.5</v>
      </c>
      <c r="AE5">
        <v>11</v>
      </c>
      <c r="AF5">
        <v>20.609933884624098</v>
      </c>
      <c r="AG5">
        <v>18.973599344830031</v>
      </c>
      <c r="AH5">
        <v>27.13219786793125</v>
      </c>
      <c r="AI5">
        <f>17.1773012930796*1</f>
        <v>17.177301293079601</v>
      </c>
      <c r="AJ5">
        <f>3.27875006403099*1</f>
        <v>3.2787500640309899</v>
      </c>
      <c r="AK5">
        <v>1</v>
      </c>
      <c r="AL5">
        <v>0</v>
      </c>
      <c r="AM5">
        <v>0</v>
      </c>
    </row>
    <row r="6" spans="1:43" x14ac:dyDescent="0.2">
      <c r="A6" t="s">
        <v>142</v>
      </c>
      <c r="B6" t="s">
        <v>143</v>
      </c>
      <c r="C6" t="s">
        <v>143</v>
      </c>
      <c r="D6" t="s">
        <v>6</v>
      </c>
      <c r="E6">
        <v>0</v>
      </c>
      <c r="F6">
        <v>0</v>
      </c>
      <c r="G6">
        <v>0</v>
      </c>
      <c r="H6">
        <v>1</v>
      </c>
      <c r="I6" t="s">
        <v>17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7.4</v>
      </c>
      <c r="AE6">
        <v>228</v>
      </c>
      <c r="AF6">
        <v>29.767456279627169</v>
      </c>
      <c r="AG6">
        <v>12.123956569502649</v>
      </c>
      <c r="AH6">
        <v>33.790413943355119</v>
      </c>
      <c r="AI6">
        <f>52.4687712846323*1</f>
        <v>52.468771284632297</v>
      </c>
      <c r="AJ6">
        <f>9.02699650235509*1</f>
        <v>9.0269965023550895</v>
      </c>
      <c r="AK6">
        <v>1</v>
      </c>
      <c r="AL6">
        <v>0</v>
      </c>
      <c r="AM6">
        <v>1</v>
      </c>
      <c r="AO6" t="s">
        <v>3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57</v>
      </c>
      <c r="D7" t="s">
        <v>4</v>
      </c>
      <c r="E7">
        <v>0</v>
      </c>
      <c r="F7">
        <v>1</v>
      </c>
      <c r="G7">
        <v>0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</v>
      </c>
      <c r="AE7">
        <v>14</v>
      </c>
      <c r="AF7">
        <v>21.624723043112098</v>
      </c>
      <c r="AG7">
        <v>18.081445365596569</v>
      </c>
      <c r="AH7">
        <v>21.562466910323231</v>
      </c>
      <c r="AI7">
        <f>19.5595079713779*1</f>
        <v>19.559507971377901</v>
      </c>
      <c r="AJ7">
        <f>4.39935123479407*1</f>
        <v>4.3993512347940698</v>
      </c>
      <c r="AK7">
        <v>1</v>
      </c>
      <c r="AL7">
        <v>0</v>
      </c>
      <c r="AM7">
        <v>0</v>
      </c>
      <c r="AO7" t="s">
        <v>4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59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6.9</v>
      </c>
      <c r="AE8">
        <v>18</v>
      </c>
      <c r="AF8">
        <v>19.42294329869048</v>
      </c>
      <c r="AG8">
        <v>20.357890766980852</v>
      </c>
      <c r="AH8">
        <v>10.14399926604187</v>
      </c>
      <c r="AI8">
        <f>13.5423407101185*1</f>
        <v>13.5423407101185</v>
      </c>
      <c r="AJ8">
        <f>2.70121715875688*1</f>
        <v>2.7012171587568798</v>
      </c>
      <c r="AK8">
        <v>1</v>
      </c>
      <c r="AL8">
        <v>0</v>
      </c>
      <c r="AM8">
        <v>0</v>
      </c>
      <c r="AO8" t="s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19</v>
      </c>
      <c r="AF9">
        <v>22.44721331108785</v>
      </c>
      <c r="AG9">
        <v>18.393081912002081</v>
      </c>
      <c r="AH9">
        <v>24.948827432224011</v>
      </c>
      <c r="AI9">
        <f>19.1807709554231*1</f>
        <v>19.1807709554231</v>
      </c>
      <c r="AJ9">
        <f>4.23417095423232*1</f>
        <v>4.2341709542323196</v>
      </c>
      <c r="AK9">
        <v>1</v>
      </c>
      <c r="AL9">
        <v>0</v>
      </c>
      <c r="AM9">
        <v>0</v>
      </c>
      <c r="AO9" t="s">
        <v>6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4.9000000000000004</v>
      </c>
      <c r="AE10">
        <v>20</v>
      </c>
      <c r="AF10">
        <v>17.008547008547001</v>
      </c>
      <c r="AG10">
        <v>16.34073846107901</v>
      </c>
      <c r="AH10">
        <v>19.358431564794952</v>
      </c>
      <c r="AI10">
        <f>10.726088172188*1</f>
        <v>10.726088172188</v>
      </c>
      <c r="AJ10">
        <f>2.14802622936701*1</f>
        <v>2.14802622936701</v>
      </c>
      <c r="AK10">
        <v>1</v>
      </c>
      <c r="AL10">
        <v>0</v>
      </c>
      <c r="AM10">
        <v>0</v>
      </c>
    </row>
    <row r="11" spans="1:43" hidden="1" x14ac:dyDescent="0.2">
      <c r="A11" t="s">
        <v>64</v>
      </c>
      <c r="B11" t="s">
        <v>65</v>
      </c>
      <c r="C11" t="s">
        <v>66</v>
      </c>
      <c r="D11" t="s">
        <v>3</v>
      </c>
      <c r="E11">
        <v>1</v>
      </c>
      <c r="F11">
        <v>0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4.4000000000000004</v>
      </c>
      <c r="AE11">
        <v>21</v>
      </c>
      <c r="AF11">
        <v>17.324115509868388</v>
      </c>
      <c r="AG11">
        <v>15.74667550051671</v>
      </c>
      <c r="AH11">
        <v>12.02737383359141</v>
      </c>
      <c r="AI11">
        <f>11.790612582584*1</f>
        <v>11.790612582584</v>
      </c>
      <c r="AJ11">
        <f>2.58603528565428*1</f>
        <v>2.5860352856542801</v>
      </c>
      <c r="AK11">
        <v>1</v>
      </c>
      <c r="AL11">
        <v>0</v>
      </c>
      <c r="AM11">
        <v>0</v>
      </c>
      <c r="AO11" t="s">
        <v>7</v>
      </c>
      <c r="AP11">
        <f>SUMPRODUCT(Table1[Selected], -- (Table1[PREV] = 0))</f>
        <v>1</v>
      </c>
    </row>
    <row r="12" spans="1:43" hidden="1" x14ac:dyDescent="0.2">
      <c r="A12" t="s">
        <v>67</v>
      </c>
      <c r="B12" t="s">
        <v>68</v>
      </c>
      <c r="C12" t="s">
        <v>68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6.8</v>
      </c>
      <c r="AE12">
        <v>22</v>
      </c>
      <c r="AF12">
        <v>17.896795922469689</v>
      </c>
      <c r="AG12">
        <v>27.056568575700801</v>
      </c>
      <c r="AH12">
        <v>22.384903968667061</v>
      </c>
      <c r="AI12">
        <f>12.3488167677082*1</f>
        <v>12.3488167677082</v>
      </c>
      <c r="AJ12">
        <f>2.19100470648659*1</f>
        <v>2.1910047064865901</v>
      </c>
      <c r="AK12">
        <v>1</v>
      </c>
      <c r="AL12">
        <v>0</v>
      </c>
      <c r="AM12">
        <v>0</v>
      </c>
      <c r="AO12" t="s">
        <v>8</v>
      </c>
      <c r="AP12">
        <v>1</v>
      </c>
    </row>
    <row r="13" spans="1:43" hidden="1" x14ac:dyDescent="0.2">
      <c r="A13" t="s">
        <v>69</v>
      </c>
      <c r="B13" t="s">
        <v>70</v>
      </c>
      <c r="C13" t="s">
        <v>70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6.5</v>
      </c>
      <c r="AE13">
        <v>37</v>
      </c>
      <c r="AF13">
        <v>18.684210526315798</v>
      </c>
      <c r="AG13">
        <v>22.6206377032556</v>
      </c>
      <c r="AH13">
        <v>14.20746726441212</v>
      </c>
      <c r="AI13">
        <f>23.7515999435384*1</f>
        <v>23.751599943538402</v>
      </c>
      <c r="AJ13">
        <f>4.50417820274476*1</f>
        <v>4.5041782027447601</v>
      </c>
      <c r="AK13">
        <v>1</v>
      </c>
      <c r="AL13">
        <v>0</v>
      </c>
      <c r="AM13">
        <v>0</v>
      </c>
    </row>
    <row r="14" spans="1:43" hidden="1" x14ac:dyDescent="0.2">
      <c r="A14" t="s">
        <v>71</v>
      </c>
      <c r="B14" t="s">
        <v>72</v>
      </c>
      <c r="C14" t="s">
        <v>72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4.5999999999999996</v>
      </c>
      <c r="AE14">
        <v>39</v>
      </c>
      <c r="AF14">
        <v>12.63578838447094</v>
      </c>
      <c r="AG14">
        <v>15.22640051438233</v>
      </c>
      <c r="AH14">
        <v>20.603856242379042</v>
      </c>
      <c r="AI14">
        <f>11.2582267893884*1</f>
        <v>11.2582267893884</v>
      </c>
      <c r="AJ14">
        <f>2.11671590508936*1</f>
        <v>2.11671590508936</v>
      </c>
      <c r="AK14">
        <v>1</v>
      </c>
      <c r="AL14">
        <v>0</v>
      </c>
      <c r="AM14">
        <v>0</v>
      </c>
      <c r="AO14" t="s">
        <v>9</v>
      </c>
      <c r="AP14">
        <f>((AP11-AP12)+ABS((AP11-AP12)))/2*4</f>
        <v>0</v>
      </c>
    </row>
    <row r="15" spans="1:43" hidden="1" x14ac:dyDescent="0.2">
      <c r="A15" t="s">
        <v>73</v>
      </c>
      <c r="B15" t="s">
        <v>74</v>
      </c>
      <c r="C15" t="s">
        <v>75</v>
      </c>
      <c r="D15" t="s">
        <v>6</v>
      </c>
      <c r="E15">
        <v>0</v>
      </c>
      <c r="F15">
        <v>0</v>
      </c>
      <c r="G15">
        <v>0</v>
      </c>
      <c r="H15">
        <v>1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</v>
      </c>
      <c r="AE15">
        <v>41</v>
      </c>
      <c r="AF15">
        <v>23.56459921880386</v>
      </c>
      <c r="AG15">
        <v>7.515880562820783</v>
      </c>
      <c r="AH15">
        <v>29.396197761961439</v>
      </c>
      <c r="AI15">
        <f>11.5923367311363*1</f>
        <v>11.592336731136299</v>
      </c>
      <c r="AJ15">
        <f>2.18633280931529*1</f>
        <v>2.1863328093152901</v>
      </c>
      <c r="AK15">
        <v>1</v>
      </c>
      <c r="AL15">
        <v>0</v>
      </c>
      <c r="AM15">
        <v>0</v>
      </c>
    </row>
    <row r="16" spans="1:43" hidden="1" x14ac:dyDescent="0.2">
      <c r="A16" t="s">
        <v>76</v>
      </c>
      <c r="B16" t="s">
        <v>77</v>
      </c>
      <c r="C16" t="s">
        <v>77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5.5</v>
      </c>
      <c r="AE16">
        <v>60</v>
      </c>
      <c r="AF16">
        <v>13.910842617656829</v>
      </c>
      <c r="AG16">
        <v>15.88016204175492</v>
      </c>
      <c r="AH16">
        <v>8.1930165862561513</v>
      </c>
      <c r="AI16">
        <f>15.8487407924504*1</f>
        <v>15.8487407924504</v>
      </c>
      <c r="AJ16">
        <f>2.9819425187769*1</f>
        <v>2.9819425187769002</v>
      </c>
      <c r="AK16">
        <v>1</v>
      </c>
      <c r="AL16">
        <v>0</v>
      </c>
      <c r="AM16">
        <v>0</v>
      </c>
      <c r="AO16" t="s">
        <v>10</v>
      </c>
      <c r="AP16">
        <f>AP2-AP14*5</f>
        <v>284.85073817099635</v>
      </c>
    </row>
    <row r="17" spans="1:43" hidden="1" x14ac:dyDescent="0.2">
      <c r="A17" t="s">
        <v>78</v>
      </c>
      <c r="B17" t="s">
        <v>79</v>
      </c>
      <c r="C17" t="s">
        <v>79</v>
      </c>
      <c r="D17" t="s">
        <v>6</v>
      </c>
      <c r="E17">
        <v>0</v>
      </c>
      <c r="F17">
        <v>0</v>
      </c>
      <c r="G17">
        <v>0</v>
      </c>
      <c r="H17">
        <v>1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8.9</v>
      </c>
      <c r="AE17">
        <v>61</v>
      </c>
      <c r="AF17">
        <v>28.085428602994931</v>
      </c>
      <c r="AG17">
        <v>18.556404316113301</v>
      </c>
      <c r="AH17">
        <v>29.009252245766579</v>
      </c>
      <c r="AI17">
        <f>15.6508423268321*1</f>
        <v>15.6508423268321</v>
      </c>
      <c r="AJ17">
        <f>3.01312166500937*1</f>
        <v>3.0131216650093702</v>
      </c>
      <c r="AK17">
        <v>1</v>
      </c>
      <c r="AL17">
        <v>0</v>
      </c>
      <c r="AM17">
        <v>0</v>
      </c>
    </row>
    <row r="18" spans="1:43" hidden="1" x14ac:dyDescent="0.2">
      <c r="A18" t="s">
        <v>80</v>
      </c>
      <c r="B18" t="s">
        <v>81</v>
      </c>
      <c r="C18" t="s">
        <v>81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5.0999999999999996</v>
      </c>
      <c r="AE18">
        <v>62</v>
      </c>
      <c r="AF18">
        <v>12.65688799039706</v>
      </c>
      <c r="AG18">
        <v>11.65197619211358</v>
      </c>
      <c r="AH18">
        <v>35.433333333333337</v>
      </c>
      <c r="AI18">
        <f>16.9234139288085*1</f>
        <v>16.9234139288085</v>
      </c>
      <c r="AJ18">
        <f>3.89014831455745*1</f>
        <v>3.8901483145574498</v>
      </c>
      <c r="AK18">
        <v>1</v>
      </c>
      <c r="AL18">
        <v>0</v>
      </c>
      <c r="AM18">
        <v>0</v>
      </c>
      <c r="AO18" t="s">
        <v>11</v>
      </c>
      <c r="AP18">
        <f>SUMPRODUCT(Table1[Selected],Table1[ARS])</f>
        <v>1</v>
      </c>
      <c r="AQ18">
        <v>3</v>
      </c>
    </row>
    <row r="19" spans="1:43" hidden="1" x14ac:dyDescent="0.2">
      <c r="A19" t="s">
        <v>82</v>
      </c>
      <c r="B19" t="s">
        <v>83</v>
      </c>
      <c r="C19" t="s">
        <v>83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</v>
      </c>
      <c r="AE19">
        <v>73</v>
      </c>
      <c r="AF19">
        <v>9.5631067961165037</v>
      </c>
      <c r="AG19">
        <v>7.6751644315161416</v>
      </c>
      <c r="AH19">
        <v>26.33846464646464</v>
      </c>
      <c r="AI19">
        <f>10.9117947751932*1</f>
        <v>10.911794775193201</v>
      </c>
      <c r="AJ19">
        <f>2.28427862363744*1</f>
        <v>2.2842786236374399</v>
      </c>
      <c r="AK19">
        <v>1</v>
      </c>
      <c r="AL19">
        <v>0</v>
      </c>
      <c r="AM19">
        <v>0</v>
      </c>
      <c r="AO19" t="s">
        <v>12</v>
      </c>
      <c r="AP19">
        <f>SUMPRODUCT(Table1[Selected],Table1[AVL])</f>
        <v>0</v>
      </c>
      <c r="AQ19">
        <v>3</v>
      </c>
    </row>
    <row r="20" spans="1:43" hidden="1" x14ac:dyDescent="0.2">
      <c r="A20" t="s">
        <v>84</v>
      </c>
      <c r="B20" t="s">
        <v>85</v>
      </c>
      <c r="C20" t="s">
        <v>85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13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5.4</v>
      </c>
      <c r="AE20">
        <v>80</v>
      </c>
      <c r="AF20">
        <v>14.11903563701609</v>
      </c>
      <c r="AG20">
        <v>23.322559506356949</v>
      </c>
      <c r="AH20">
        <v>24.4</v>
      </c>
      <c r="AI20">
        <f>9.35827716780901*1</f>
        <v>9.3582771678090104</v>
      </c>
      <c r="AJ20">
        <f>1.66308234771636*1</f>
        <v>1.6630823477163601</v>
      </c>
      <c r="AK20">
        <v>1</v>
      </c>
      <c r="AL20">
        <v>0</v>
      </c>
      <c r="AM20">
        <v>0</v>
      </c>
      <c r="AO20" t="s">
        <v>13</v>
      </c>
      <c r="AP20">
        <f>SUMPRODUCT(Table1[Selected],Table1[BOU])</f>
        <v>0</v>
      </c>
      <c r="AQ20">
        <v>3</v>
      </c>
    </row>
    <row r="21" spans="1:43" hidden="1" x14ac:dyDescent="0.2">
      <c r="A21" t="s">
        <v>86</v>
      </c>
      <c r="B21" t="s">
        <v>87</v>
      </c>
      <c r="C21" t="s">
        <v>87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13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5.6</v>
      </c>
      <c r="AE21">
        <v>86</v>
      </c>
      <c r="AF21">
        <v>15.66666666666667</v>
      </c>
      <c r="AG21">
        <v>15.261775277579449</v>
      </c>
      <c r="AH21">
        <v>26.310566931075918</v>
      </c>
      <c r="AI21">
        <f>8.27158263038108*1</f>
        <v>8.2715826303810793</v>
      </c>
      <c r="AJ21">
        <f>1.66652566257459*1</f>
        <v>1.6665256625745899</v>
      </c>
      <c r="AK21">
        <v>1</v>
      </c>
      <c r="AL21">
        <v>0</v>
      </c>
      <c r="AM21">
        <v>0</v>
      </c>
      <c r="AO21" t="s">
        <v>14</v>
      </c>
      <c r="AP21">
        <f>SUMPRODUCT(Table1[Selected],Table1[BRE])</f>
        <v>0</v>
      </c>
      <c r="AQ21">
        <v>3</v>
      </c>
    </row>
    <row r="22" spans="1:43" hidden="1" x14ac:dyDescent="0.2">
      <c r="A22" t="s">
        <v>88</v>
      </c>
      <c r="B22" t="s">
        <v>89</v>
      </c>
      <c r="C22" t="s">
        <v>89</v>
      </c>
      <c r="D22" t="s">
        <v>4</v>
      </c>
      <c r="E22">
        <v>0</v>
      </c>
      <c r="F22">
        <v>1</v>
      </c>
      <c r="G22">
        <v>0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4.5</v>
      </c>
      <c r="AE22">
        <v>89</v>
      </c>
      <c r="AF22">
        <v>12.173913043478249</v>
      </c>
      <c r="AG22">
        <v>10.617221395483091</v>
      </c>
      <c r="AH22">
        <v>25.493333333333339</v>
      </c>
      <c r="AI22">
        <f>7.00984795565297*1</f>
        <v>7.0098479556529698</v>
      </c>
      <c r="AJ22">
        <f>1.35884441468754*1</f>
        <v>1.35884441468754</v>
      </c>
      <c r="AK22">
        <v>1</v>
      </c>
      <c r="AL22">
        <v>0</v>
      </c>
      <c r="AM22">
        <v>0</v>
      </c>
      <c r="AO22" t="s">
        <v>15</v>
      </c>
      <c r="AP22">
        <f>SUMPRODUCT(Table1[Selected],Table1[BHA])</f>
        <v>0</v>
      </c>
      <c r="AQ22">
        <v>3</v>
      </c>
    </row>
    <row r="23" spans="1:43" hidden="1" x14ac:dyDescent="0.2">
      <c r="A23" t="s">
        <v>90</v>
      </c>
      <c r="B23" t="s">
        <v>91</v>
      </c>
      <c r="C23" t="s">
        <v>91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5.5</v>
      </c>
      <c r="AE23">
        <v>90</v>
      </c>
      <c r="AF23">
        <v>17.27272727272727</v>
      </c>
      <c r="AG23">
        <v>22.744012226110399</v>
      </c>
      <c r="AH23">
        <v>13.275759739420209</v>
      </c>
      <c r="AI23">
        <f>14.1178686420622*1</f>
        <v>14.1178686420622</v>
      </c>
      <c r="AJ23">
        <f>2.78551847310917*1</f>
        <v>2.7855184731091698</v>
      </c>
      <c r="AK23">
        <v>1</v>
      </c>
      <c r="AL23">
        <v>0</v>
      </c>
      <c r="AM23">
        <v>0</v>
      </c>
      <c r="AO23" t="s">
        <v>16</v>
      </c>
      <c r="AP23">
        <f>SUMPRODUCT(Table1[Selected],Table1[CHE])</f>
        <v>2</v>
      </c>
      <c r="AQ23">
        <v>3</v>
      </c>
    </row>
    <row r="24" spans="1:43" hidden="1" x14ac:dyDescent="0.2">
      <c r="A24" t="s">
        <v>92</v>
      </c>
      <c r="B24" t="s">
        <v>93</v>
      </c>
      <c r="C24" t="s">
        <v>93</v>
      </c>
      <c r="D24" t="s">
        <v>4</v>
      </c>
      <c r="E24">
        <v>0</v>
      </c>
      <c r="F24">
        <v>1</v>
      </c>
      <c r="G24">
        <v>0</v>
      </c>
      <c r="H24">
        <v>0</v>
      </c>
      <c r="I24" t="s">
        <v>14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</v>
      </c>
      <c r="AE24">
        <v>98</v>
      </c>
      <c r="AF24">
        <v>14.296875</v>
      </c>
      <c r="AG24">
        <v>11.024340008992491</v>
      </c>
      <c r="AH24">
        <v>4</v>
      </c>
      <c r="AI24">
        <f>2.34847206890353*1</f>
        <v>2.3484720689035301</v>
      </c>
      <c r="AJ24">
        <f>0.483512731400924*1</f>
        <v>0.48351273140092399</v>
      </c>
      <c r="AK24">
        <v>1</v>
      </c>
      <c r="AL24">
        <v>0</v>
      </c>
      <c r="AM24">
        <v>0</v>
      </c>
      <c r="AO24" t="s">
        <v>17</v>
      </c>
      <c r="AP24">
        <f>SUMPRODUCT(Table1[Selected],Table1[CRY])</f>
        <v>1</v>
      </c>
      <c r="AQ24">
        <v>3</v>
      </c>
    </row>
    <row r="25" spans="1:43" hidden="1" x14ac:dyDescent="0.2">
      <c r="A25" t="s">
        <v>94</v>
      </c>
      <c r="B25" t="s">
        <v>95</v>
      </c>
      <c r="C25" t="s">
        <v>95</v>
      </c>
      <c r="D25" t="s">
        <v>4</v>
      </c>
      <c r="E25">
        <v>0</v>
      </c>
      <c r="F25">
        <v>1</v>
      </c>
      <c r="G25">
        <v>0</v>
      </c>
      <c r="H25">
        <v>0</v>
      </c>
      <c r="I25" t="s">
        <v>14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</v>
      </c>
      <c r="AE25">
        <v>100</v>
      </c>
      <c r="AF25">
        <v>12.405063291139239</v>
      </c>
      <c r="AG25">
        <v>12.77347696743594</v>
      </c>
      <c r="AH25">
        <v>8.6233509132430299</v>
      </c>
      <c r="AI25">
        <f>10.2965239083856*1</f>
        <v>10.2965239083856</v>
      </c>
      <c r="AJ25">
        <f>1.71578848371093*1</f>
        <v>1.7157884837109301</v>
      </c>
      <c r="AK25">
        <v>1</v>
      </c>
      <c r="AL25">
        <v>0</v>
      </c>
      <c r="AM25">
        <v>0</v>
      </c>
      <c r="AO25" t="s">
        <v>18</v>
      </c>
      <c r="AP25">
        <f>SUMPRODUCT(Table1[Selected],Table1[EVE])</f>
        <v>2</v>
      </c>
      <c r="AQ25">
        <v>3</v>
      </c>
    </row>
    <row r="26" spans="1:43" hidden="1" x14ac:dyDescent="0.2">
      <c r="A26" t="s">
        <v>96</v>
      </c>
      <c r="B26" t="s">
        <v>97</v>
      </c>
      <c r="C26" t="s">
        <v>97</v>
      </c>
      <c r="D26" t="s">
        <v>3</v>
      </c>
      <c r="E26">
        <v>1</v>
      </c>
      <c r="F26">
        <v>0</v>
      </c>
      <c r="G26">
        <v>0</v>
      </c>
      <c r="H26">
        <v>0</v>
      </c>
      <c r="I26" t="s">
        <v>14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103</v>
      </c>
      <c r="AF26">
        <v>16.25</v>
      </c>
      <c r="AG26">
        <v>23.690070703340499</v>
      </c>
      <c r="AH26">
        <v>14.96</v>
      </c>
      <c r="AI26">
        <f>8.89487504085972*1</f>
        <v>8.8948750408597199</v>
      </c>
      <c r="AJ26">
        <f>2.06358695135535*1</f>
        <v>2.06358695135535</v>
      </c>
      <c r="AK26">
        <v>1</v>
      </c>
      <c r="AL26">
        <v>0</v>
      </c>
      <c r="AM26">
        <v>0</v>
      </c>
      <c r="AO26" t="s">
        <v>19</v>
      </c>
      <c r="AP26">
        <f>SUMPRODUCT(Table1[Selected],Table1[FUL])</f>
        <v>1</v>
      </c>
      <c r="AQ26">
        <v>3</v>
      </c>
    </row>
    <row r="27" spans="1:43" hidden="1" x14ac:dyDescent="0.2">
      <c r="A27" t="s">
        <v>98</v>
      </c>
      <c r="B27" t="s">
        <v>99</v>
      </c>
      <c r="C27" t="s">
        <v>99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14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4.9000000000000004</v>
      </c>
      <c r="AE27">
        <v>106</v>
      </c>
      <c r="AF27">
        <v>12.98076923076923</v>
      </c>
      <c r="AG27">
        <v>12.805960074166009</v>
      </c>
      <c r="AH27">
        <v>11.18116416288793</v>
      </c>
      <c r="AI27">
        <f>13.114294043111*1</f>
        <v>13.114294043111</v>
      </c>
      <c r="AJ27">
        <f>2.78180106826548*1</f>
        <v>2.7818010682654801</v>
      </c>
      <c r="AK27">
        <v>1</v>
      </c>
      <c r="AL27">
        <v>0</v>
      </c>
      <c r="AM27">
        <v>0</v>
      </c>
      <c r="AO27" t="s">
        <v>20</v>
      </c>
      <c r="AP27">
        <f>SUMPRODUCT(Table1[Selected],Table1[IPS])</f>
        <v>0</v>
      </c>
      <c r="AQ27">
        <v>3</v>
      </c>
    </row>
    <row r="28" spans="1:43" hidden="1" x14ac:dyDescent="0.2">
      <c r="A28" t="s">
        <v>100</v>
      </c>
      <c r="B28" t="s">
        <v>101</v>
      </c>
      <c r="C28" t="s">
        <v>101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14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5.5</v>
      </c>
      <c r="AE28">
        <v>107</v>
      </c>
      <c r="AF28">
        <v>14.994314332958689</v>
      </c>
      <c r="AG28">
        <v>16.44335759760683</v>
      </c>
      <c r="AH28">
        <v>17.015206770858811</v>
      </c>
      <c r="AI28">
        <f>9.15621496388315*1</f>
        <v>9.1562149638831496</v>
      </c>
      <c r="AJ28">
        <f>1.64024832523899*1</f>
        <v>1.6402483252389899</v>
      </c>
      <c r="AK28">
        <v>1</v>
      </c>
      <c r="AL28">
        <v>0</v>
      </c>
      <c r="AM28">
        <v>0</v>
      </c>
      <c r="AO28" t="s">
        <v>21</v>
      </c>
      <c r="AP28">
        <f>SUMPRODUCT(Table1[Selected],Table1[LEI])</f>
        <v>0</v>
      </c>
      <c r="AQ28">
        <v>3</v>
      </c>
    </row>
    <row r="29" spans="1:43" hidden="1" x14ac:dyDescent="0.2">
      <c r="A29" t="s">
        <v>102</v>
      </c>
      <c r="B29" t="s">
        <v>103</v>
      </c>
      <c r="C29" t="s">
        <v>103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14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7.1</v>
      </c>
      <c r="AE29">
        <v>111</v>
      </c>
      <c r="AF29">
        <v>20.65656565656565</v>
      </c>
      <c r="AG29">
        <v>18.977603658005592</v>
      </c>
      <c r="AH29">
        <v>48.644907608731138</v>
      </c>
      <c r="AI29">
        <f>25.6758630190622*1</f>
        <v>25.675863019062199</v>
      </c>
      <c r="AJ29">
        <f>5.10638184552789*1</f>
        <v>5.1063818455278902</v>
      </c>
      <c r="AK29">
        <v>1</v>
      </c>
      <c r="AL29">
        <v>0</v>
      </c>
      <c r="AM29">
        <v>0</v>
      </c>
      <c r="AO29" t="s">
        <v>22</v>
      </c>
      <c r="AP29">
        <f>SUMPRODUCT(Table1[Selected],Table1[LIV])</f>
        <v>0</v>
      </c>
      <c r="AQ29">
        <v>3</v>
      </c>
    </row>
    <row r="30" spans="1:43" hidden="1" x14ac:dyDescent="0.2">
      <c r="A30" t="s">
        <v>104</v>
      </c>
      <c r="B30" t="s">
        <v>105</v>
      </c>
      <c r="C30" t="s">
        <v>105</v>
      </c>
      <c r="D30" t="s">
        <v>6</v>
      </c>
      <c r="E30">
        <v>0</v>
      </c>
      <c r="F30">
        <v>0</v>
      </c>
      <c r="G30">
        <v>0</v>
      </c>
      <c r="H30">
        <v>1</v>
      </c>
      <c r="I30" t="s">
        <v>14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6.1</v>
      </c>
      <c r="AE30">
        <v>122</v>
      </c>
      <c r="AF30">
        <v>21.7161471625746</v>
      </c>
      <c r="AG30">
        <v>12.28528807041951</v>
      </c>
      <c r="AH30">
        <v>35.28854859465153</v>
      </c>
      <c r="AI30">
        <f>25.6277505589423*1</f>
        <v>25.627750558942299</v>
      </c>
      <c r="AJ30">
        <f>4.90721002380111*1</f>
        <v>4.9072100238011096</v>
      </c>
      <c r="AK30">
        <v>1</v>
      </c>
      <c r="AL30">
        <v>0</v>
      </c>
      <c r="AM30">
        <v>0</v>
      </c>
      <c r="AO30" t="s">
        <v>23</v>
      </c>
      <c r="AP30">
        <f>SUMPRODUCT(Table1[Selected],Table1[MCI])</f>
        <v>1</v>
      </c>
      <c r="AQ30">
        <v>3</v>
      </c>
    </row>
    <row r="31" spans="1:43" hidden="1" x14ac:dyDescent="0.2">
      <c r="A31" t="s">
        <v>106</v>
      </c>
      <c r="B31" t="s">
        <v>107</v>
      </c>
      <c r="C31" t="s">
        <v>107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15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5.5</v>
      </c>
      <c r="AE31">
        <v>130</v>
      </c>
      <c r="AF31">
        <v>16.603722686310629</v>
      </c>
      <c r="AG31">
        <v>16.86554260544905</v>
      </c>
      <c r="AH31">
        <v>11.937883130715861</v>
      </c>
      <c r="AI31">
        <f>9.01980610309861*1</f>
        <v>9.0198061030986096</v>
      </c>
      <c r="AJ31">
        <f>1.71601045365963*1</f>
        <v>1.7160104536596299</v>
      </c>
      <c r="AK31">
        <v>1</v>
      </c>
      <c r="AL31">
        <v>0</v>
      </c>
      <c r="AM31">
        <v>0</v>
      </c>
      <c r="AO31" t="s">
        <v>24</v>
      </c>
      <c r="AP31">
        <f>SUMPRODUCT(Table1[Selected],Table1[MUN])</f>
        <v>2</v>
      </c>
      <c r="AQ31">
        <v>3</v>
      </c>
    </row>
    <row r="32" spans="1:43" hidden="1" x14ac:dyDescent="0.2">
      <c r="A32" t="s">
        <v>82</v>
      </c>
      <c r="B32" t="s">
        <v>108</v>
      </c>
      <c r="C32" t="s">
        <v>108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4.5999999999999996</v>
      </c>
      <c r="AE32">
        <v>136</v>
      </c>
      <c r="AF32">
        <v>15.89285714285713</v>
      </c>
      <c r="AG32">
        <v>16.13053929471516</v>
      </c>
      <c r="AH32">
        <v>15.69683384848825</v>
      </c>
      <c r="AI32">
        <f>11.5436312344763*1</f>
        <v>11.543631234476299</v>
      </c>
      <c r="AJ32">
        <f>1.97405868828926*1</f>
        <v>1.9740586882892599</v>
      </c>
      <c r="AK32">
        <v>1</v>
      </c>
      <c r="AL32">
        <v>0</v>
      </c>
      <c r="AM32">
        <v>0</v>
      </c>
      <c r="AO32" t="s">
        <v>25</v>
      </c>
      <c r="AP32">
        <f>SUMPRODUCT(Table1[Selected],Table1[NEW])</f>
        <v>3</v>
      </c>
      <c r="AQ32">
        <v>3</v>
      </c>
    </row>
    <row r="33" spans="1:43" hidden="1" x14ac:dyDescent="0.2">
      <c r="A33" t="s">
        <v>109</v>
      </c>
      <c r="B33" t="s">
        <v>110</v>
      </c>
      <c r="C33" t="s">
        <v>111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6.5</v>
      </c>
      <c r="AE33">
        <v>141</v>
      </c>
      <c r="AF33">
        <v>17.8611111111111</v>
      </c>
      <c r="AG33">
        <v>16.791422452980029</v>
      </c>
      <c r="AH33">
        <v>10.18263800469683</v>
      </c>
      <c r="AI33">
        <f>6.08261266181086*1</f>
        <v>6.0826126618108596</v>
      </c>
      <c r="AJ33">
        <f>1.14852539016058*1</f>
        <v>1.1485253901605801</v>
      </c>
      <c r="AK33">
        <v>1</v>
      </c>
      <c r="AL33">
        <v>0</v>
      </c>
      <c r="AM33">
        <v>0</v>
      </c>
      <c r="AO33" t="s">
        <v>26</v>
      </c>
      <c r="AP33">
        <f>SUMPRODUCT(Table1[Selected],Table1[NFO])</f>
        <v>1</v>
      </c>
      <c r="AQ33">
        <v>3</v>
      </c>
    </row>
    <row r="34" spans="1:43" hidden="1" x14ac:dyDescent="0.2">
      <c r="A34" t="s">
        <v>112</v>
      </c>
      <c r="B34" t="s">
        <v>113</v>
      </c>
      <c r="C34" t="s">
        <v>112</v>
      </c>
      <c r="D34" t="s">
        <v>6</v>
      </c>
      <c r="E34">
        <v>0</v>
      </c>
      <c r="F34">
        <v>0</v>
      </c>
      <c r="G34">
        <v>0</v>
      </c>
      <c r="H34">
        <v>1</v>
      </c>
      <c r="I34" t="s">
        <v>15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5.7</v>
      </c>
      <c r="AE34">
        <v>145</v>
      </c>
      <c r="AF34">
        <v>17.807272184898409</v>
      </c>
      <c r="AG34">
        <v>13.31809441708638</v>
      </c>
      <c r="AH34">
        <v>32.119207722154307</v>
      </c>
      <c r="AI34">
        <f>8.38119636512733*1</f>
        <v>8.3811963651273302</v>
      </c>
      <c r="AJ34">
        <f>1.53049495338244*1</f>
        <v>1.5304949533824399</v>
      </c>
      <c r="AK34">
        <v>1</v>
      </c>
      <c r="AL34">
        <v>0</v>
      </c>
      <c r="AM34">
        <v>0</v>
      </c>
      <c r="AO34" t="s">
        <v>27</v>
      </c>
      <c r="AP34">
        <f>SUMPRODUCT(Table1[Selected],Table1[SOU])</f>
        <v>0</v>
      </c>
      <c r="AQ34">
        <v>3</v>
      </c>
    </row>
    <row r="35" spans="1:43" hidden="1" x14ac:dyDescent="0.2">
      <c r="A35" t="s">
        <v>114</v>
      </c>
      <c r="B35" t="s">
        <v>115</v>
      </c>
      <c r="C35" t="s">
        <v>116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</v>
      </c>
      <c r="AE35">
        <v>160</v>
      </c>
      <c r="AF35">
        <v>13.3247322100451</v>
      </c>
      <c r="AG35">
        <v>9.3922861213255047</v>
      </c>
      <c r="AH35">
        <v>22.22</v>
      </c>
      <c r="AI35">
        <f>8.74202337267989*1</f>
        <v>8.7420233726798902</v>
      </c>
      <c r="AJ35">
        <f>1.54098362072824*1</f>
        <v>1.5409836207282399</v>
      </c>
      <c r="AK35">
        <v>1</v>
      </c>
      <c r="AL35">
        <v>0</v>
      </c>
      <c r="AM35">
        <v>0</v>
      </c>
      <c r="AO35" t="s">
        <v>28</v>
      </c>
      <c r="AP35">
        <f>SUMPRODUCT(Table1[Selected],Table1[TOT])</f>
        <v>1</v>
      </c>
      <c r="AQ35">
        <v>3</v>
      </c>
    </row>
    <row r="36" spans="1:43" hidden="1" x14ac:dyDescent="0.2">
      <c r="A36" t="s">
        <v>117</v>
      </c>
      <c r="B36" t="s">
        <v>118</v>
      </c>
      <c r="C36" t="s">
        <v>118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15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4.5</v>
      </c>
      <c r="AE36">
        <v>161</v>
      </c>
      <c r="AF36">
        <v>15.21055360823677</v>
      </c>
      <c r="AG36">
        <v>14.975446994938951</v>
      </c>
      <c r="AH36">
        <v>15.76328431627341</v>
      </c>
      <c r="AI36">
        <f>14.9576048362809*1</f>
        <v>14.9576048362809</v>
      </c>
      <c r="AJ36">
        <f>2.72245572459351*1</f>
        <v>2.7224557245935102</v>
      </c>
      <c r="AK36">
        <v>1</v>
      </c>
      <c r="AL36">
        <v>0</v>
      </c>
      <c r="AM36">
        <v>0</v>
      </c>
      <c r="AO36" t="s">
        <v>29</v>
      </c>
      <c r="AP36">
        <f>SUMPRODUCT(Table1[Selected],Table1[WHU])</f>
        <v>0</v>
      </c>
      <c r="AQ36">
        <v>3</v>
      </c>
    </row>
    <row r="37" spans="1:43" hidden="1" x14ac:dyDescent="0.2">
      <c r="A37" t="s">
        <v>119</v>
      </c>
      <c r="B37" t="s">
        <v>120</v>
      </c>
      <c r="C37" t="s">
        <v>120</v>
      </c>
      <c r="D37" t="s">
        <v>6</v>
      </c>
      <c r="E37">
        <v>0</v>
      </c>
      <c r="F37">
        <v>0</v>
      </c>
      <c r="G37">
        <v>0</v>
      </c>
      <c r="H37">
        <v>1</v>
      </c>
      <c r="I37" t="s">
        <v>15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5.7</v>
      </c>
      <c r="AE37">
        <v>164</v>
      </c>
      <c r="AF37">
        <v>15.25369516991527</v>
      </c>
      <c r="AG37">
        <v>12.33249823040549</v>
      </c>
      <c r="AH37">
        <v>14.626095840200451</v>
      </c>
      <c r="AI37">
        <f>15.3555495208079*1</f>
        <v>15.3555495208079</v>
      </c>
      <c r="AJ37">
        <f>2.93143670995979*1</f>
        <v>2.9314367099597902</v>
      </c>
      <c r="AK37">
        <v>1</v>
      </c>
      <c r="AL37">
        <v>0</v>
      </c>
      <c r="AM37">
        <v>0</v>
      </c>
      <c r="AO37" t="s">
        <v>30</v>
      </c>
      <c r="AP37">
        <f>SUMPRODUCT(Table1[Selected],Table1[WOL])</f>
        <v>0</v>
      </c>
      <c r="AQ37">
        <v>3</v>
      </c>
    </row>
    <row r="38" spans="1:43" hidden="1" x14ac:dyDescent="0.2">
      <c r="A38" t="s">
        <v>121</v>
      </c>
      <c r="B38" t="s">
        <v>122</v>
      </c>
      <c r="C38" t="s">
        <v>123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4.9000000000000004</v>
      </c>
      <c r="AE38">
        <v>178</v>
      </c>
      <c r="AF38">
        <v>11.086956521739131</v>
      </c>
      <c r="AG38">
        <v>8.1158795724605497</v>
      </c>
      <c r="AH38">
        <v>13.975</v>
      </c>
      <c r="AI38">
        <f>13.3535470751604*1</f>
        <v>13.3535470751604</v>
      </c>
      <c r="AJ38">
        <f>2.53842014285893*1</f>
        <v>2.5384201428589299</v>
      </c>
      <c r="AK38">
        <v>1</v>
      </c>
      <c r="AL38">
        <v>0</v>
      </c>
      <c r="AM38">
        <v>0</v>
      </c>
    </row>
    <row r="39" spans="1:43" hidden="1" x14ac:dyDescent="0.2">
      <c r="A39" t="s">
        <v>124</v>
      </c>
      <c r="B39" t="s">
        <v>125</v>
      </c>
      <c r="C39" t="s">
        <v>125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4.5</v>
      </c>
      <c r="AE39">
        <v>182</v>
      </c>
      <c r="AF39">
        <v>13.25581395348838</v>
      </c>
      <c r="AG39">
        <v>13.06327980301791</v>
      </c>
      <c r="AH39">
        <v>13.171428571428571</v>
      </c>
      <c r="AI39">
        <f>7.31071973365403*1</f>
        <v>7.3107197336540297</v>
      </c>
      <c r="AJ39">
        <f>1.27693580498469*1</f>
        <v>1.2769358049846899</v>
      </c>
      <c r="AK39">
        <v>1</v>
      </c>
      <c r="AL39">
        <v>0</v>
      </c>
      <c r="AM39">
        <v>0</v>
      </c>
    </row>
    <row r="40" spans="1:43" hidden="1" x14ac:dyDescent="0.2">
      <c r="A40" t="s">
        <v>126</v>
      </c>
      <c r="B40" t="s">
        <v>127</v>
      </c>
      <c r="C40" t="s">
        <v>126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16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</v>
      </c>
      <c r="AE40">
        <v>188</v>
      </c>
      <c r="AF40">
        <v>13.08510638297872</v>
      </c>
      <c r="AG40">
        <v>14.4427569764051</v>
      </c>
      <c r="AH40">
        <v>7.2249999999999996</v>
      </c>
      <c r="AI40">
        <f>4.71341299779666*1</f>
        <v>4.7134129977966603</v>
      </c>
      <c r="AJ40">
        <f>0.896528335864599*1</f>
        <v>0.89652833586459901</v>
      </c>
      <c r="AK40">
        <v>1</v>
      </c>
      <c r="AL40">
        <v>0</v>
      </c>
      <c r="AM40">
        <v>0</v>
      </c>
    </row>
    <row r="41" spans="1:43" hidden="1" x14ac:dyDescent="0.2">
      <c r="A41" t="s">
        <v>128</v>
      </c>
      <c r="B41" t="s">
        <v>129</v>
      </c>
      <c r="C41" t="s">
        <v>129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5.9</v>
      </c>
      <c r="AE41">
        <v>189</v>
      </c>
      <c r="AF41">
        <v>15.14988984423073</v>
      </c>
      <c r="AG41">
        <v>13.262039199035851</v>
      </c>
      <c r="AH41">
        <v>14.094164899569719</v>
      </c>
      <c r="AI41">
        <f>20.2793869640864*1</f>
        <v>20.279386964086399</v>
      </c>
      <c r="AJ41">
        <f>4.49864270733269*1</f>
        <v>4.4986427073326896</v>
      </c>
      <c r="AK41">
        <v>1</v>
      </c>
      <c r="AL41">
        <v>0</v>
      </c>
      <c r="AM41">
        <v>0</v>
      </c>
    </row>
    <row r="42" spans="1:43" hidden="1" x14ac:dyDescent="0.2">
      <c r="A42" t="s">
        <v>130</v>
      </c>
      <c r="B42" t="s">
        <v>131</v>
      </c>
      <c r="C42" t="s">
        <v>131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</v>
      </c>
      <c r="AE42">
        <v>191</v>
      </c>
      <c r="AF42">
        <v>13.103448275862069</v>
      </c>
      <c r="AG42">
        <v>13.347455196869481</v>
      </c>
      <c r="AH42">
        <v>7.5622557094782454</v>
      </c>
      <c r="AI42">
        <f>10.8674175985097*1</f>
        <v>10.8674175985097</v>
      </c>
      <c r="AJ42">
        <f>2.36020680064879*1</f>
        <v>2.3602068006487902</v>
      </c>
      <c r="AK42">
        <v>1</v>
      </c>
      <c r="AL42">
        <v>0</v>
      </c>
      <c r="AM42">
        <v>0</v>
      </c>
    </row>
    <row r="43" spans="1:43" x14ac:dyDescent="0.2">
      <c r="A43" t="s">
        <v>213</v>
      </c>
      <c r="B43" t="s">
        <v>214</v>
      </c>
      <c r="C43" t="s">
        <v>214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23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</v>
      </c>
      <c r="AE43">
        <v>408</v>
      </c>
      <c r="AF43">
        <v>18.387096774193552</v>
      </c>
      <c r="AG43">
        <v>24.10359675752715</v>
      </c>
      <c r="AH43">
        <v>26.517151509943218</v>
      </c>
      <c r="AI43">
        <f>32.3057384029221*1</f>
        <v>32.305738402922103</v>
      </c>
      <c r="AJ43">
        <f>7.24601201182177*1</f>
        <v>7.2460120118217697</v>
      </c>
      <c r="AK43">
        <v>1</v>
      </c>
      <c r="AL43">
        <v>1</v>
      </c>
      <c r="AM43">
        <v>1</v>
      </c>
    </row>
    <row r="44" spans="1:43" x14ac:dyDescent="0.2">
      <c r="A44" t="s">
        <v>54</v>
      </c>
      <c r="B44" t="s">
        <v>55</v>
      </c>
      <c r="C44" t="s">
        <v>55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10</v>
      </c>
      <c r="AE44">
        <v>13</v>
      </c>
      <c r="AF44">
        <v>33.470826592260593</v>
      </c>
      <c r="AG44">
        <v>23.859046694865579</v>
      </c>
      <c r="AH44">
        <v>29.85340271553039</v>
      </c>
      <c r="AI44">
        <f>31.5864879355301*1</f>
        <v>31.586487935530101</v>
      </c>
      <c r="AJ44">
        <f>6.41978908370924*1</f>
        <v>6.4197890837092402</v>
      </c>
      <c r="AK44">
        <v>1</v>
      </c>
      <c r="AL44">
        <v>1</v>
      </c>
      <c r="AM44">
        <v>1</v>
      </c>
    </row>
    <row r="45" spans="1:43" hidden="1" x14ac:dyDescent="0.2">
      <c r="A45" t="s">
        <v>137</v>
      </c>
      <c r="B45" t="s">
        <v>138</v>
      </c>
      <c r="C45" t="s">
        <v>139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</v>
      </c>
      <c r="AE45">
        <v>217</v>
      </c>
      <c r="AF45">
        <v>10.405405405405411</v>
      </c>
      <c r="AG45">
        <v>8.1671267742156761</v>
      </c>
      <c r="AH45">
        <v>17.727538163766219</v>
      </c>
      <c r="AI45">
        <f>4.07183749138557*1</f>
        <v>4.0718374913855699</v>
      </c>
      <c r="AJ45">
        <f>0.796508976345825*1</f>
        <v>0.79650897634582496</v>
      </c>
      <c r="AK45">
        <v>1</v>
      </c>
      <c r="AL45">
        <v>0</v>
      </c>
      <c r="AM45">
        <v>0</v>
      </c>
    </row>
    <row r="46" spans="1:43" hidden="1" x14ac:dyDescent="0.2">
      <c r="A46" t="s">
        <v>140</v>
      </c>
      <c r="B46" t="s">
        <v>141</v>
      </c>
      <c r="C46" t="s">
        <v>141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6.9</v>
      </c>
      <c r="AE46">
        <v>221</v>
      </c>
      <c r="AF46">
        <v>23.76468630180138</v>
      </c>
      <c r="AG46">
        <v>17.031243883012191</v>
      </c>
      <c r="AH46">
        <v>48.821681255395347</v>
      </c>
      <c r="AI46">
        <f>26.0617668122853*1</f>
        <v>26.061766812285299</v>
      </c>
      <c r="AJ46">
        <f>5.47966383639528*1</f>
        <v>5.4796638363952797</v>
      </c>
      <c r="AK46">
        <v>1</v>
      </c>
      <c r="AL46">
        <v>0</v>
      </c>
      <c r="AM46">
        <v>0</v>
      </c>
    </row>
    <row r="47" spans="1:43" x14ac:dyDescent="0.2">
      <c r="A47" t="s">
        <v>257</v>
      </c>
      <c r="B47" t="s">
        <v>258</v>
      </c>
      <c r="C47" t="s">
        <v>258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26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5.4</v>
      </c>
      <c r="AE47">
        <v>501</v>
      </c>
      <c r="AF47">
        <v>18.39497421814217</v>
      </c>
      <c r="AG47">
        <v>11.72985167823264</v>
      </c>
      <c r="AH47">
        <v>17.328237409509711</v>
      </c>
      <c r="AI47">
        <f>21.0905232373134*1</f>
        <v>21.090523237313398</v>
      </c>
      <c r="AJ47">
        <f>4.30606977009504*1</f>
        <v>4.3060697700950401</v>
      </c>
      <c r="AK47">
        <v>1</v>
      </c>
      <c r="AL47">
        <v>1</v>
      </c>
      <c r="AM47">
        <v>1</v>
      </c>
    </row>
    <row r="48" spans="1:43" hidden="1" x14ac:dyDescent="0.2">
      <c r="A48" t="s">
        <v>144</v>
      </c>
      <c r="B48" t="s">
        <v>145</v>
      </c>
      <c r="C48" t="s">
        <v>145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4.9000000000000004</v>
      </c>
      <c r="AE48">
        <v>231</v>
      </c>
      <c r="AF48">
        <v>11.273799922770021</v>
      </c>
      <c r="AG48">
        <v>13.903601925037449</v>
      </c>
      <c r="AH48">
        <v>12.986240827944069</v>
      </c>
      <c r="AI48">
        <f>9.87573223160768*1</f>
        <v>9.8757322316076799</v>
      </c>
      <c r="AJ48">
        <f>1.83863374542349*1</f>
        <v>1.83863374542349</v>
      </c>
      <c r="AK48">
        <v>1</v>
      </c>
      <c r="AL48">
        <v>0</v>
      </c>
      <c r="AM48">
        <v>0</v>
      </c>
    </row>
    <row r="49" spans="1:39" hidden="1" x14ac:dyDescent="0.2">
      <c r="A49" t="s">
        <v>146</v>
      </c>
      <c r="B49" t="s">
        <v>147</v>
      </c>
      <c r="C49" t="s">
        <v>148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5.3</v>
      </c>
      <c r="AE49">
        <v>246</v>
      </c>
      <c r="AF49">
        <v>15.71823204419889</v>
      </c>
      <c r="AG49">
        <v>15.174485773346239</v>
      </c>
      <c r="AH49">
        <v>8.6169631793486836</v>
      </c>
      <c r="AI49">
        <f>11.4990544593008*1</f>
        <v>11.499054459300799</v>
      </c>
      <c r="AJ49">
        <f>2.4015715981822*1</f>
        <v>2.4015715981821999</v>
      </c>
      <c r="AK49">
        <v>1</v>
      </c>
      <c r="AL49">
        <v>0</v>
      </c>
      <c r="AM49">
        <v>0</v>
      </c>
    </row>
    <row r="50" spans="1:39" hidden="1" x14ac:dyDescent="0.2">
      <c r="A50" t="s">
        <v>149</v>
      </c>
      <c r="B50" t="s">
        <v>150</v>
      </c>
      <c r="C50" t="s">
        <v>150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4.9000000000000004</v>
      </c>
      <c r="AE50">
        <v>248</v>
      </c>
      <c r="AF50">
        <v>15.56818181818182</v>
      </c>
      <c r="AG50">
        <v>12.253291590118639</v>
      </c>
      <c r="AH50">
        <v>26.9084457729269</v>
      </c>
      <c r="AI50">
        <f>20.4421512226463*1</f>
        <v>20.442151222646299</v>
      </c>
      <c r="AJ50">
        <f>3.7721835396201*1</f>
        <v>3.7721835396200998</v>
      </c>
      <c r="AK50">
        <v>1</v>
      </c>
      <c r="AL50">
        <v>0</v>
      </c>
      <c r="AM50">
        <v>0</v>
      </c>
    </row>
    <row r="51" spans="1:39" hidden="1" x14ac:dyDescent="0.2">
      <c r="A51" t="s">
        <v>151</v>
      </c>
      <c r="B51" t="s">
        <v>152</v>
      </c>
      <c r="C51" t="s">
        <v>152</v>
      </c>
      <c r="D51" t="s">
        <v>6</v>
      </c>
      <c r="E51">
        <v>0</v>
      </c>
      <c r="F51">
        <v>0</v>
      </c>
      <c r="G51">
        <v>0</v>
      </c>
      <c r="H51">
        <v>1</v>
      </c>
      <c r="I51" t="s">
        <v>18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5.9</v>
      </c>
      <c r="AE51">
        <v>249</v>
      </c>
      <c r="AF51">
        <v>17.60114158760079</v>
      </c>
      <c r="AG51">
        <v>15.638454051525921</v>
      </c>
      <c r="AH51">
        <v>29.291113847797909</v>
      </c>
      <c r="AI51">
        <f>26.0945780536586*1</f>
        <v>26.094578053658601</v>
      </c>
      <c r="AJ51">
        <f>4.90426165220462*1</f>
        <v>4.9042616522046201</v>
      </c>
      <c r="AK51">
        <v>1</v>
      </c>
      <c r="AL51">
        <v>0</v>
      </c>
      <c r="AM51">
        <v>0</v>
      </c>
    </row>
    <row r="52" spans="1:39" hidden="1" x14ac:dyDescent="0.2">
      <c r="A52" t="s">
        <v>153</v>
      </c>
      <c r="B52" t="s">
        <v>154</v>
      </c>
      <c r="C52" t="s">
        <v>155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4.9000000000000004</v>
      </c>
      <c r="AE52">
        <v>251</v>
      </c>
      <c r="AF52">
        <v>11.20962914250963</v>
      </c>
      <c r="AG52">
        <v>9.2858164732267348</v>
      </c>
      <c r="AH52">
        <v>9.8516947510744224</v>
      </c>
      <c r="AI52">
        <f>13.1712428942147*1</f>
        <v>13.1712428942147</v>
      </c>
      <c r="AJ52">
        <f>2.53944320436745*1</f>
        <v>2.53944320436745</v>
      </c>
      <c r="AK52">
        <v>1</v>
      </c>
      <c r="AL52">
        <v>0</v>
      </c>
      <c r="AM52">
        <v>0</v>
      </c>
    </row>
    <row r="53" spans="1:39" hidden="1" x14ac:dyDescent="0.2">
      <c r="A53" t="s">
        <v>156</v>
      </c>
      <c r="B53" t="s">
        <v>157</v>
      </c>
      <c r="C53" t="s">
        <v>157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5.4</v>
      </c>
      <c r="AE53">
        <v>259</v>
      </c>
      <c r="AF53">
        <v>16.065989847715741</v>
      </c>
      <c r="AG53">
        <v>15.070366276874489</v>
      </c>
      <c r="AH53">
        <v>27.38798847646088</v>
      </c>
      <c r="AI53">
        <f>17.4946268663876*1</f>
        <v>17.494626866387598</v>
      </c>
      <c r="AJ53">
        <f>3.6366376974055*1</f>
        <v>3.6366376974054999</v>
      </c>
      <c r="AK53">
        <v>1</v>
      </c>
      <c r="AL53">
        <v>0</v>
      </c>
      <c r="AM53">
        <v>0</v>
      </c>
    </row>
    <row r="54" spans="1:39" x14ac:dyDescent="0.2">
      <c r="A54" t="s">
        <v>135</v>
      </c>
      <c r="B54" t="s">
        <v>136</v>
      </c>
      <c r="C54" t="s">
        <v>136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16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10.6</v>
      </c>
      <c r="AE54">
        <v>202</v>
      </c>
      <c r="AF54">
        <v>38.673488845394672</v>
      </c>
      <c r="AG54">
        <v>26.083980510241869</v>
      </c>
      <c r="AH54">
        <v>47.028021089562891</v>
      </c>
      <c r="AI54">
        <f>15.2002825493354*1</f>
        <v>15.2002825493354</v>
      </c>
      <c r="AJ54">
        <f>3.48717065773943*1</f>
        <v>3.4871706577394299</v>
      </c>
      <c r="AK54">
        <v>1</v>
      </c>
      <c r="AL54">
        <v>1</v>
      </c>
      <c r="AM54">
        <v>1</v>
      </c>
    </row>
    <row r="55" spans="1:39" x14ac:dyDescent="0.2">
      <c r="A55" t="s">
        <v>250</v>
      </c>
      <c r="B55" t="s">
        <v>251</v>
      </c>
      <c r="C55" t="s">
        <v>251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25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8.4</v>
      </c>
      <c r="AE55">
        <v>465</v>
      </c>
      <c r="AF55">
        <v>26.415094339622641</v>
      </c>
      <c r="AG55">
        <v>25.02055920470195</v>
      </c>
      <c r="AH55">
        <v>27.07458181225196</v>
      </c>
      <c r="AI55">
        <f>17.4723382535873*0.75</f>
        <v>13.104253690190475</v>
      </c>
      <c r="AJ55">
        <f>4.63910744439889*0.75</f>
        <v>3.4793305832991677</v>
      </c>
      <c r="AK55">
        <v>0.75</v>
      </c>
      <c r="AL55">
        <v>1</v>
      </c>
      <c r="AM55">
        <v>1</v>
      </c>
    </row>
    <row r="56" spans="1:39" hidden="1" x14ac:dyDescent="0.2">
      <c r="A56" t="s">
        <v>162</v>
      </c>
      <c r="B56" t="s">
        <v>163</v>
      </c>
      <c r="C56" t="s">
        <v>162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5.4</v>
      </c>
      <c r="AE56">
        <v>278</v>
      </c>
      <c r="AF56">
        <v>17.602739726027409</v>
      </c>
      <c r="AG56">
        <v>13.65297085426017</v>
      </c>
      <c r="AH56">
        <v>13.422621760112889</v>
      </c>
      <c r="AI56">
        <f>11.2974834216718*1</f>
        <v>11.297483421671799</v>
      </c>
      <c r="AJ56">
        <f>2.22121080780802*1</f>
        <v>2.2212108078080202</v>
      </c>
      <c r="AK56">
        <v>1</v>
      </c>
      <c r="AL56">
        <v>0</v>
      </c>
      <c r="AM56">
        <v>0</v>
      </c>
    </row>
    <row r="57" spans="1:39" hidden="1" x14ac:dyDescent="0.2">
      <c r="A57" t="s">
        <v>164</v>
      </c>
      <c r="B57" t="s">
        <v>165</v>
      </c>
      <c r="C57" t="s">
        <v>165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4.3</v>
      </c>
      <c r="AE57">
        <v>282</v>
      </c>
      <c r="AF57">
        <v>15.41263805126057</v>
      </c>
      <c r="AG57">
        <v>12.656353286246119</v>
      </c>
      <c r="AH57">
        <v>14.921698113852299</v>
      </c>
      <c r="AI57">
        <f>10.6523332492119*1</f>
        <v>10.6523332492119</v>
      </c>
      <c r="AJ57">
        <f>2.02141789189507*1</f>
        <v>2.0214178918950698</v>
      </c>
      <c r="AK57">
        <v>1</v>
      </c>
      <c r="AL57">
        <v>0</v>
      </c>
      <c r="AM57">
        <v>0</v>
      </c>
    </row>
    <row r="58" spans="1:39" hidden="1" x14ac:dyDescent="0.2">
      <c r="A58" t="s">
        <v>166</v>
      </c>
      <c r="B58" t="s">
        <v>167</v>
      </c>
      <c r="C58" t="s">
        <v>167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5.5</v>
      </c>
      <c r="AE58">
        <v>285</v>
      </c>
      <c r="AF58">
        <v>15.16198431378124</v>
      </c>
      <c r="AG58">
        <v>13.52084597008762</v>
      </c>
      <c r="AH58">
        <v>20.823443043062081</v>
      </c>
      <c r="AI58">
        <f>14.6528828841776*1</f>
        <v>14.6528828841776</v>
      </c>
      <c r="AJ58">
        <f>2.95892640752421*1</f>
        <v>2.9589264075242099</v>
      </c>
      <c r="AK58">
        <v>1</v>
      </c>
      <c r="AL58">
        <v>0</v>
      </c>
      <c r="AM58">
        <v>0</v>
      </c>
    </row>
    <row r="59" spans="1:39" hidden="1" x14ac:dyDescent="0.2">
      <c r="A59" t="s">
        <v>168</v>
      </c>
      <c r="B59" t="s">
        <v>169</v>
      </c>
      <c r="C59" t="s">
        <v>169</v>
      </c>
      <c r="D59" t="s">
        <v>3</v>
      </c>
      <c r="E59">
        <v>1</v>
      </c>
      <c r="F59">
        <v>0</v>
      </c>
      <c r="G59">
        <v>0</v>
      </c>
      <c r="H59">
        <v>0</v>
      </c>
      <c r="I59" t="s">
        <v>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286</v>
      </c>
      <c r="AF59">
        <v>18.160641100820911</v>
      </c>
      <c r="AG59">
        <v>19.73589077205628</v>
      </c>
      <c r="AH59">
        <v>11.72292303410428</v>
      </c>
      <c r="AI59">
        <f>11.2675582839812*1</f>
        <v>11.267558283981201</v>
      </c>
      <c r="AJ59">
        <f>2.27281678077548*1</f>
        <v>2.27281678077548</v>
      </c>
      <c r="AK59">
        <v>1</v>
      </c>
      <c r="AL59">
        <v>0</v>
      </c>
      <c r="AM59">
        <v>0</v>
      </c>
    </row>
    <row r="60" spans="1:39" hidden="1" x14ac:dyDescent="0.2">
      <c r="A60" t="s">
        <v>170</v>
      </c>
      <c r="B60" t="s">
        <v>171</v>
      </c>
      <c r="C60" t="s">
        <v>170</v>
      </c>
      <c r="D60" t="s">
        <v>6</v>
      </c>
      <c r="E60">
        <v>0</v>
      </c>
      <c r="F60">
        <v>0</v>
      </c>
      <c r="G60">
        <v>0</v>
      </c>
      <c r="H60">
        <v>1</v>
      </c>
      <c r="I60" t="s">
        <v>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5.4</v>
      </c>
      <c r="AE60">
        <v>290</v>
      </c>
      <c r="AF60">
        <v>15.56107096506905</v>
      </c>
      <c r="AG60">
        <v>20.81012564887515</v>
      </c>
      <c r="AH60">
        <v>12.099594744332601</v>
      </c>
      <c r="AI60">
        <f>14.2820060294677*1</f>
        <v>14.2820060294677</v>
      </c>
      <c r="AJ60">
        <f>2.80432221912659*1</f>
        <v>2.8043222191265902</v>
      </c>
      <c r="AK60">
        <v>1</v>
      </c>
      <c r="AL60">
        <v>0</v>
      </c>
      <c r="AM60">
        <v>0</v>
      </c>
    </row>
    <row r="61" spans="1:39" hidden="1" x14ac:dyDescent="0.2">
      <c r="A61" t="s">
        <v>172</v>
      </c>
      <c r="B61" t="s">
        <v>173</v>
      </c>
      <c r="C61" t="s">
        <v>173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4.7</v>
      </c>
      <c r="AE61">
        <v>293</v>
      </c>
      <c r="AF61">
        <v>12.92079207920793</v>
      </c>
      <c r="AG61">
        <v>10.54248802940641</v>
      </c>
      <c r="AH61">
        <v>28.717142857142861</v>
      </c>
      <c r="AI61">
        <f>7.0174162639411*1</f>
        <v>7.0174162639411</v>
      </c>
      <c r="AJ61">
        <f>1.22232236870447*1</f>
        <v>1.22232236870447</v>
      </c>
      <c r="AK61">
        <v>1</v>
      </c>
      <c r="AL61">
        <v>0</v>
      </c>
      <c r="AM61">
        <v>0</v>
      </c>
    </row>
    <row r="62" spans="1:39" hidden="1" x14ac:dyDescent="0.2">
      <c r="A62" t="s">
        <v>174</v>
      </c>
      <c r="B62" t="s">
        <v>175</v>
      </c>
      <c r="C62" t="s">
        <v>175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5.4</v>
      </c>
      <c r="AE62">
        <v>297</v>
      </c>
      <c r="AF62">
        <v>12.96875</v>
      </c>
      <c r="AG62">
        <v>14.251683994922249</v>
      </c>
      <c r="AH62">
        <v>4.881004708059022</v>
      </c>
      <c r="AI62">
        <f>10.2225394591773*1</f>
        <v>10.2225394591773</v>
      </c>
      <c r="AJ62">
        <f>1.97978712117562*1</f>
        <v>1.9797871211756199</v>
      </c>
      <c r="AK62">
        <v>1</v>
      </c>
      <c r="AL62">
        <v>0</v>
      </c>
      <c r="AM62">
        <v>0</v>
      </c>
    </row>
    <row r="63" spans="1:39" hidden="1" x14ac:dyDescent="0.2">
      <c r="A63" t="s">
        <v>176</v>
      </c>
      <c r="B63" t="s">
        <v>177</v>
      </c>
      <c r="C63" t="s">
        <v>177</v>
      </c>
      <c r="D63" t="s">
        <v>4</v>
      </c>
      <c r="E63">
        <v>0</v>
      </c>
      <c r="F63">
        <v>1</v>
      </c>
      <c r="G63">
        <v>0</v>
      </c>
      <c r="H63">
        <v>0</v>
      </c>
      <c r="I63" t="s">
        <v>20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</v>
      </c>
      <c r="AE63">
        <v>333</v>
      </c>
      <c r="AF63">
        <v>12.686571646727961</v>
      </c>
      <c r="AG63">
        <v>6.0864149083216814</v>
      </c>
      <c r="AH63">
        <v>18.15902524897367</v>
      </c>
      <c r="AI63">
        <f>17.3231809696277*1</f>
        <v>17.3231809696277</v>
      </c>
      <c r="AJ63">
        <f>3.40769890275779*1</f>
        <v>3.4076989027577902</v>
      </c>
      <c r="AK63">
        <v>1</v>
      </c>
      <c r="AL63">
        <v>0</v>
      </c>
      <c r="AM63">
        <v>0</v>
      </c>
    </row>
    <row r="64" spans="1:39" hidden="1" x14ac:dyDescent="0.2">
      <c r="A64" t="s">
        <v>178</v>
      </c>
      <c r="B64" t="s">
        <v>179</v>
      </c>
      <c r="C64" t="s">
        <v>179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</v>
      </c>
      <c r="AE64">
        <v>335</v>
      </c>
      <c r="AF64">
        <v>13.965517241379301</v>
      </c>
      <c r="AG64">
        <v>20.687580656837969</v>
      </c>
      <c r="AH64">
        <v>11.68625152625153</v>
      </c>
      <c r="AI64">
        <f>6.6408104184696*1</f>
        <v>6.6408104184696004</v>
      </c>
      <c r="AJ64">
        <f>1.69850069717577*1</f>
        <v>1.6985006971757699</v>
      </c>
      <c r="AK64">
        <v>1</v>
      </c>
      <c r="AL64">
        <v>0</v>
      </c>
      <c r="AM64">
        <v>0</v>
      </c>
    </row>
    <row r="65" spans="1:39" hidden="1" x14ac:dyDescent="0.2">
      <c r="A65" t="s">
        <v>180</v>
      </c>
      <c r="B65" t="s">
        <v>181</v>
      </c>
      <c r="C65" t="s">
        <v>181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21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</v>
      </c>
      <c r="AE65">
        <v>336</v>
      </c>
      <c r="AF65">
        <v>11.794871794871799</v>
      </c>
      <c r="AG65">
        <v>10.81660182719831</v>
      </c>
      <c r="AH65">
        <v>15.956200324519649</v>
      </c>
      <c r="AI65">
        <f>11.180546657605*1</f>
        <v>11.180546657604999</v>
      </c>
      <c r="AJ65">
        <f>2.10296775656473*1</f>
        <v>2.10296775656473</v>
      </c>
      <c r="AK65">
        <v>1</v>
      </c>
      <c r="AL65">
        <v>0</v>
      </c>
      <c r="AM65">
        <v>0</v>
      </c>
    </row>
    <row r="66" spans="1:39" hidden="1" x14ac:dyDescent="0.2">
      <c r="A66" t="s">
        <v>182</v>
      </c>
      <c r="B66" t="s">
        <v>183</v>
      </c>
      <c r="C66" t="s">
        <v>184</v>
      </c>
      <c r="D66" t="s">
        <v>3</v>
      </c>
      <c r="E66">
        <v>1</v>
      </c>
      <c r="F66">
        <v>0</v>
      </c>
      <c r="G66">
        <v>0</v>
      </c>
      <c r="H66">
        <v>0</v>
      </c>
      <c r="I66" t="s">
        <v>22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5.5</v>
      </c>
      <c r="AE66">
        <v>369</v>
      </c>
      <c r="AF66">
        <v>21.595004973250632</v>
      </c>
      <c r="AG66">
        <v>21.519630690728331</v>
      </c>
      <c r="AH66">
        <v>25.03494770583486</v>
      </c>
      <c r="AI66">
        <f>19.3357424440768*1</f>
        <v>19.3357424440768</v>
      </c>
      <c r="AJ66">
        <f>3.54565418133909*1</f>
        <v>3.5456541813390898</v>
      </c>
      <c r="AK66">
        <v>1</v>
      </c>
      <c r="AL66">
        <v>0</v>
      </c>
      <c r="AM66">
        <v>0</v>
      </c>
    </row>
    <row r="67" spans="1:39" hidden="1" x14ac:dyDescent="0.2">
      <c r="A67" t="s">
        <v>185</v>
      </c>
      <c r="B67" t="s">
        <v>186</v>
      </c>
      <c r="C67" t="s">
        <v>186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22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7</v>
      </c>
      <c r="AE67">
        <v>370</v>
      </c>
      <c r="AF67">
        <v>25.130511372182632</v>
      </c>
      <c r="AG67">
        <v>24.192041387830049</v>
      </c>
      <c r="AH67">
        <v>25.10088718137035</v>
      </c>
      <c r="AI67">
        <f>13.1747698162555*1</f>
        <v>13.1747698162555</v>
      </c>
      <c r="AJ67">
        <f>1.92180924009295*1</f>
        <v>1.9218092400929501</v>
      </c>
      <c r="AK67">
        <v>1</v>
      </c>
      <c r="AL67">
        <v>0</v>
      </c>
      <c r="AM67">
        <v>0</v>
      </c>
    </row>
    <row r="68" spans="1:39" hidden="1" x14ac:dyDescent="0.2">
      <c r="A68" t="s">
        <v>187</v>
      </c>
      <c r="B68" t="s">
        <v>188</v>
      </c>
      <c r="C68" t="s">
        <v>188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22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5.2</v>
      </c>
      <c r="AE68">
        <v>377</v>
      </c>
      <c r="AF68">
        <v>10.999032011828779</v>
      </c>
      <c r="AG68">
        <v>7.9818990908427407</v>
      </c>
      <c r="AH68">
        <v>29.402380952380948</v>
      </c>
      <c r="AI68">
        <f>9.89944326685688*1</f>
        <v>9.8994432668568795</v>
      </c>
      <c r="AJ68">
        <f>1.77087730252581*1</f>
        <v>1.77087730252581</v>
      </c>
      <c r="AK68">
        <v>1</v>
      </c>
      <c r="AL68">
        <v>0</v>
      </c>
      <c r="AM68">
        <v>0</v>
      </c>
    </row>
    <row r="69" spans="1:39" hidden="1" x14ac:dyDescent="0.2">
      <c r="A69" t="s">
        <v>189</v>
      </c>
      <c r="B69" t="s">
        <v>190</v>
      </c>
      <c r="C69" t="s">
        <v>191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22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7.7</v>
      </c>
      <c r="AE69">
        <v>385</v>
      </c>
      <c r="AF69">
        <v>19.92307692307693</v>
      </c>
      <c r="AG69">
        <v>14.155867365068991</v>
      </c>
      <c r="AH69">
        <v>41.711974984164563</v>
      </c>
      <c r="AI69">
        <f>19.7802321575609*1</f>
        <v>19.780232157560899</v>
      </c>
      <c r="AJ69">
        <f>4.02824950085372*1</f>
        <v>4.02824950085372</v>
      </c>
      <c r="AK69">
        <v>1</v>
      </c>
      <c r="AL69">
        <v>0</v>
      </c>
      <c r="AM69">
        <v>0</v>
      </c>
    </row>
    <row r="70" spans="1:39" hidden="1" x14ac:dyDescent="0.2">
      <c r="A70" t="s">
        <v>192</v>
      </c>
      <c r="B70" t="s">
        <v>193</v>
      </c>
      <c r="C70" t="s">
        <v>194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22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12.7</v>
      </c>
      <c r="AE70">
        <v>386</v>
      </c>
      <c r="AF70">
        <v>34.516908212560423</v>
      </c>
      <c r="AG70">
        <v>34.469595442583177</v>
      </c>
      <c r="AH70">
        <v>38.796844008194277</v>
      </c>
      <c r="AI70">
        <f>33.6992698121779*1</f>
        <v>33.699269812177903</v>
      </c>
      <c r="AJ70">
        <f>6.7646306369264*1</f>
        <v>6.7646306369264</v>
      </c>
      <c r="AK70">
        <v>1</v>
      </c>
      <c r="AL70">
        <v>0</v>
      </c>
      <c r="AM70">
        <v>0</v>
      </c>
    </row>
    <row r="71" spans="1:39" hidden="1" x14ac:dyDescent="0.2">
      <c r="A71" t="s">
        <v>195</v>
      </c>
      <c r="B71" t="s">
        <v>196</v>
      </c>
      <c r="C71" t="s">
        <v>196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6.4</v>
      </c>
      <c r="AE71">
        <v>387</v>
      </c>
      <c r="AF71">
        <v>15.04032258064516</v>
      </c>
      <c r="AG71">
        <v>14.619635781074621</v>
      </c>
      <c r="AH71">
        <v>9.7905828317477734</v>
      </c>
      <c r="AI71">
        <f>10.685323320124*1</f>
        <v>10.685323320124001</v>
      </c>
      <c r="AJ71">
        <f>2.09007898258643*1</f>
        <v>2.0900789825864301</v>
      </c>
      <c r="AK71">
        <v>1</v>
      </c>
      <c r="AL71">
        <v>0</v>
      </c>
      <c r="AM71">
        <v>0</v>
      </c>
    </row>
    <row r="72" spans="1:39" hidden="1" x14ac:dyDescent="0.2">
      <c r="A72" t="s">
        <v>197</v>
      </c>
      <c r="B72" t="s">
        <v>198</v>
      </c>
      <c r="C72" t="s">
        <v>198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22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6.5</v>
      </c>
      <c r="AE72">
        <v>394</v>
      </c>
      <c r="AF72">
        <v>15.83333333333333</v>
      </c>
      <c r="AG72">
        <v>20.64240687666943</v>
      </c>
      <c r="AH72">
        <v>12.867349590912591</v>
      </c>
      <c r="AI72">
        <f>10.1020356647138*1</f>
        <v>10.102035664713799</v>
      </c>
      <c r="AJ72">
        <f>1.76692224043082*1</f>
        <v>1.76692224043082</v>
      </c>
      <c r="AK72">
        <v>1</v>
      </c>
      <c r="AL72">
        <v>0</v>
      </c>
      <c r="AM72">
        <v>0</v>
      </c>
    </row>
    <row r="73" spans="1:39" hidden="1" x14ac:dyDescent="0.2">
      <c r="A73" t="s">
        <v>199</v>
      </c>
      <c r="B73" t="s">
        <v>200</v>
      </c>
      <c r="C73" t="s">
        <v>199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22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6</v>
      </c>
      <c r="AE73">
        <v>396</v>
      </c>
      <c r="AF73">
        <v>19.716095171006199</v>
      </c>
      <c r="AG73">
        <v>22.150909599150779</v>
      </c>
      <c r="AH73">
        <v>22.622957860930839</v>
      </c>
      <c r="AI73">
        <f>13.2836063066292*1</f>
        <v>13.283606306629199</v>
      </c>
      <c r="AJ73">
        <f>2.31896409049724*1</f>
        <v>2.3189640904972402</v>
      </c>
      <c r="AK73">
        <v>1</v>
      </c>
      <c r="AL73">
        <v>0</v>
      </c>
      <c r="AM73">
        <v>0</v>
      </c>
    </row>
    <row r="74" spans="1:39" hidden="1" x14ac:dyDescent="0.2">
      <c r="A74" t="s">
        <v>201</v>
      </c>
      <c r="B74" t="s">
        <v>202</v>
      </c>
      <c r="C74" t="s">
        <v>202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23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5.5</v>
      </c>
      <c r="AE74">
        <v>398</v>
      </c>
      <c r="AF74">
        <v>16.637931034482762</v>
      </c>
      <c r="AG74">
        <v>13.83555947458165</v>
      </c>
      <c r="AH74">
        <v>13.9</v>
      </c>
      <c r="AI74">
        <f>14.3277145685815*1</f>
        <v>14.3277145685815</v>
      </c>
      <c r="AJ74">
        <f>2.89934095694873*1</f>
        <v>2.8993409569487301</v>
      </c>
      <c r="AK74">
        <v>1</v>
      </c>
      <c r="AL74">
        <v>0</v>
      </c>
      <c r="AM74">
        <v>0</v>
      </c>
    </row>
    <row r="75" spans="1:39" hidden="1" x14ac:dyDescent="0.2">
      <c r="A75" t="s">
        <v>94</v>
      </c>
      <c r="B75" t="s">
        <v>203</v>
      </c>
      <c r="C75" t="s">
        <v>203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23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5.4</v>
      </c>
      <c r="AE75">
        <v>399</v>
      </c>
      <c r="AF75">
        <v>16.27586206896553</v>
      </c>
      <c r="AG75">
        <v>17.189134282270992</v>
      </c>
      <c r="AH75">
        <v>16.272548853191761</v>
      </c>
      <c r="AI75">
        <f>5.55113250973742*1</f>
        <v>5.5511325097374202</v>
      </c>
      <c r="AJ75">
        <f>0.989660153243013*1</f>
        <v>0.98966015324301304</v>
      </c>
      <c r="AK75">
        <v>1</v>
      </c>
      <c r="AL75">
        <v>0</v>
      </c>
      <c r="AM75">
        <v>0</v>
      </c>
    </row>
    <row r="76" spans="1:39" hidden="1" x14ac:dyDescent="0.2">
      <c r="A76" t="s">
        <v>204</v>
      </c>
      <c r="B76" t="s">
        <v>205</v>
      </c>
      <c r="C76" t="s">
        <v>204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6.6</v>
      </c>
      <c r="AE76">
        <v>400</v>
      </c>
      <c r="AF76">
        <v>18.712121212121211</v>
      </c>
      <c r="AG76">
        <v>20.861555766812959</v>
      </c>
      <c r="AH76">
        <v>12.35377680489445</v>
      </c>
      <c r="AI76">
        <f>18.1303030699778*1</f>
        <v>18.130303069977799</v>
      </c>
      <c r="AJ76">
        <f>3.630011763311*1</f>
        <v>3.6300117633109998</v>
      </c>
      <c r="AK76">
        <v>1</v>
      </c>
      <c r="AL76">
        <v>0</v>
      </c>
      <c r="AM76">
        <v>0</v>
      </c>
    </row>
    <row r="77" spans="1:39" hidden="1" x14ac:dyDescent="0.2">
      <c r="A77" t="s">
        <v>206</v>
      </c>
      <c r="B77" t="s">
        <v>207</v>
      </c>
      <c r="C77" t="s">
        <v>207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6.5</v>
      </c>
      <c r="AE77">
        <v>404</v>
      </c>
      <c r="AF77">
        <v>16.999999999999989</v>
      </c>
      <c r="AG77">
        <v>20.670534020720069</v>
      </c>
      <c r="AH77">
        <v>16.466666666666669</v>
      </c>
      <c r="AI77">
        <f>22.9857909029894*1</f>
        <v>22.9857909029894</v>
      </c>
      <c r="AJ77">
        <f>4.70224921165224*1</f>
        <v>4.7022492116522399</v>
      </c>
      <c r="AK77">
        <v>1</v>
      </c>
      <c r="AL77">
        <v>0</v>
      </c>
      <c r="AM77">
        <v>0</v>
      </c>
    </row>
    <row r="78" spans="1:39" hidden="1" x14ac:dyDescent="0.2">
      <c r="A78" t="s">
        <v>208</v>
      </c>
      <c r="B78" t="s">
        <v>209</v>
      </c>
      <c r="C78" t="s">
        <v>210</v>
      </c>
      <c r="D78" t="s">
        <v>3</v>
      </c>
      <c r="E78">
        <v>1</v>
      </c>
      <c r="F78">
        <v>0</v>
      </c>
      <c r="G78">
        <v>0</v>
      </c>
      <c r="H78">
        <v>0</v>
      </c>
      <c r="I78" t="s">
        <v>23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5.5</v>
      </c>
      <c r="AE78">
        <v>405</v>
      </c>
      <c r="AF78">
        <v>19.585365853658551</v>
      </c>
      <c r="AG78">
        <v>21.810983364596591</v>
      </c>
      <c r="AH78">
        <v>21.239388681078822</v>
      </c>
      <c r="AI78">
        <f>19.7462044081894*1</f>
        <v>19.746204408189399</v>
      </c>
      <c r="AJ78">
        <f>4.1075691193973*1</f>
        <v>4.1075691193972999</v>
      </c>
      <c r="AK78">
        <v>1</v>
      </c>
      <c r="AL78">
        <v>0</v>
      </c>
      <c r="AM78">
        <v>0</v>
      </c>
    </row>
    <row r="79" spans="1:39" hidden="1" x14ac:dyDescent="0.2">
      <c r="A79" t="s">
        <v>211</v>
      </c>
      <c r="B79" t="s">
        <v>212</v>
      </c>
      <c r="C79" t="s">
        <v>212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9.3000000000000007</v>
      </c>
      <c r="AE79">
        <v>406</v>
      </c>
      <c r="AF79">
        <v>38.947442524884799</v>
      </c>
      <c r="AG79">
        <v>22.1297169481794</v>
      </c>
      <c r="AH79">
        <v>52.298441558441553</v>
      </c>
      <c r="AI79">
        <f>21.1601983035194*1</f>
        <v>21.160198303519401</v>
      </c>
      <c r="AJ79">
        <f>3.95417911372852*1</f>
        <v>3.9541791137285198</v>
      </c>
      <c r="AK79">
        <v>1</v>
      </c>
      <c r="AL79">
        <v>0</v>
      </c>
      <c r="AM79">
        <v>0</v>
      </c>
    </row>
    <row r="80" spans="1:39" x14ac:dyDescent="0.2">
      <c r="A80" t="s">
        <v>132</v>
      </c>
      <c r="B80" t="s">
        <v>133</v>
      </c>
      <c r="C80" t="s">
        <v>134</v>
      </c>
      <c r="D80" t="s">
        <v>6</v>
      </c>
      <c r="E80">
        <v>0</v>
      </c>
      <c r="F80">
        <v>0</v>
      </c>
      <c r="G80">
        <v>0</v>
      </c>
      <c r="H80">
        <v>1</v>
      </c>
      <c r="I80" t="s">
        <v>16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7.6</v>
      </c>
      <c r="AE80">
        <v>200</v>
      </c>
      <c r="AF80">
        <v>20.810810810810821</v>
      </c>
      <c r="AG80">
        <v>21.68973454645268</v>
      </c>
      <c r="AH80">
        <v>38.285733850545661</v>
      </c>
      <c r="AI80">
        <f>17.9382949757585*1</f>
        <v>17.938294975758499</v>
      </c>
      <c r="AJ80">
        <f>3.36396072027919*1</f>
        <v>3.3639607202791901</v>
      </c>
      <c r="AK80">
        <v>1</v>
      </c>
      <c r="AL80">
        <v>1</v>
      </c>
      <c r="AM80">
        <v>1</v>
      </c>
    </row>
    <row r="81" spans="1:39" x14ac:dyDescent="0.2">
      <c r="A81" t="s">
        <v>234</v>
      </c>
      <c r="B81" t="s">
        <v>235</v>
      </c>
      <c r="C81" t="s">
        <v>236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430</v>
      </c>
      <c r="AF81">
        <v>17.539682539682531</v>
      </c>
      <c r="AG81">
        <v>17.218372200426391</v>
      </c>
      <c r="AH81">
        <v>22.730354087668939</v>
      </c>
      <c r="AI81">
        <f>17.8946846413787*1</f>
        <v>17.894684641378699</v>
      </c>
      <c r="AJ81">
        <f>3.26449713304896*1</f>
        <v>3.2644971330489598</v>
      </c>
      <c r="AK81">
        <v>1</v>
      </c>
      <c r="AL81">
        <v>1</v>
      </c>
      <c r="AM81">
        <v>1</v>
      </c>
    </row>
    <row r="82" spans="1:39" hidden="1" x14ac:dyDescent="0.2">
      <c r="A82" t="s">
        <v>217</v>
      </c>
      <c r="B82" t="s">
        <v>218</v>
      </c>
      <c r="C82" t="s">
        <v>218</v>
      </c>
      <c r="D82" t="s">
        <v>6</v>
      </c>
      <c r="E82">
        <v>0</v>
      </c>
      <c r="F82">
        <v>0</v>
      </c>
      <c r="G82">
        <v>0</v>
      </c>
      <c r="H82">
        <v>1</v>
      </c>
      <c r="I82" t="s">
        <v>23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15.2</v>
      </c>
      <c r="AE82">
        <v>409</v>
      </c>
      <c r="AF82">
        <v>40.937499999999993</v>
      </c>
      <c r="AG82">
        <v>39.503192154952899</v>
      </c>
      <c r="AH82">
        <v>68.56</v>
      </c>
      <c r="AI82">
        <f>50.5768632784649*1</f>
        <v>50.576863278464899</v>
      </c>
      <c r="AJ82">
        <f>10.3973035809931*1</f>
        <v>10.3973035809931</v>
      </c>
      <c r="AK82">
        <v>1</v>
      </c>
      <c r="AL82">
        <v>0</v>
      </c>
      <c r="AM82">
        <v>0</v>
      </c>
    </row>
    <row r="83" spans="1:39" hidden="1" x14ac:dyDescent="0.2">
      <c r="A83" t="s">
        <v>219</v>
      </c>
      <c r="B83" t="s">
        <v>220</v>
      </c>
      <c r="C83" t="s">
        <v>221</v>
      </c>
      <c r="D83" t="s">
        <v>6</v>
      </c>
      <c r="E83">
        <v>0</v>
      </c>
      <c r="F83">
        <v>0</v>
      </c>
      <c r="G83">
        <v>0</v>
      </c>
      <c r="H83">
        <v>1</v>
      </c>
      <c r="I83" t="s">
        <v>23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7</v>
      </c>
      <c r="AE83">
        <v>410</v>
      </c>
      <c r="AF83">
        <v>18.571428571428569</v>
      </c>
      <c r="AG83">
        <v>22.269090750447059</v>
      </c>
      <c r="AH83">
        <v>18.12361014447962</v>
      </c>
      <c r="AI83">
        <f>12.2877439426736*1</f>
        <v>12.2877439426736</v>
      </c>
      <c r="AJ83">
        <f>2.38914705444738*1</f>
        <v>2.3891470544473798</v>
      </c>
      <c r="AK83">
        <v>1</v>
      </c>
      <c r="AL83">
        <v>0</v>
      </c>
      <c r="AM83">
        <v>0</v>
      </c>
    </row>
    <row r="84" spans="1:39" hidden="1" x14ac:dyDescent="0.2">
      <c r="A84" t="s">
        <v>222</v>
      </c>
      <c r="B84" t="s">
        <v>223</v>
      </c>
      <c r="C84" t="s">
        <v>223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5.5</v>
      </c>
      <c r="AE84">
        <v>412</v>
      </c>
      <c r="AF84">
        <v>10.6060606060606</v>
      </c>
      <c r="AG84">
        <v>9.7682994778137946</v>
      </c>
      <c r="AH84">
        <v>6.08</v>
      </c>
      <c r="AI84">
        <f>13.6986873181296*1</f>
        <v>13.6986873181296</v>
      </c>
      <c r="AJ84">
        <f>3.08656713245463*1</f>
        <v>3.08656713245463</v>
      </c>
      <c r="AK84">
        <v>1</v>
      </c>
      <c r="AL84">
        <v>0</v>
      </c>
      <c r="AM84">
        <v>0</v>
      </c>
    </row>
    <row r="85" spans="1:39" hidden="1" x14ac:dyDescent="0.2">
      <c r="A85" t="s">
        <v>224</v>
      </c>
      <c r="B85" t="s">
        <v>225</v>
      </c>
      <c r="C85" t="s">
        <v>224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5.5</v>
      </c>
      <c r="AE85">
        <v>418</v>
      </c>
      <c r="AF85">
        <v>14.821428571428569</v>
      </c>
      <c r="AG85">
        <v>20.58682674696016</v>
      </c>
      <c r="AH85">
        <v>9.9487235555212585</v>
      </c>
      <c r="AI85">
        <f>9.96081483900222*1</f>
        <v>9.9608148390022198</v>
      </c>
      <c r="AJ85">
        <f>2.19645453238135*1</f>
        <v>2.1964545323813498</v>
      </c>
      <c r="AK85">
        <v>1</v>
      </c>
      <c r="AL85">
        <v>0</v>
      </c>
      <c r="AM85">
        <v>0</v>
      </c>
    </row>
    <row r="86" spans="1:39" hidden="1" x14ac:dyDescent="0.2">
      <c r="A86" t="s">
        <v>226</v>
      </c>
      <c r="B86" t="s">
        <v>227</v>
      </c>
      <c r="C86" t="s">
        <v>227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23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5.3</v>
      </c>
      <c r="AE86">
        <v>420</v>
      </c>
      <c r="AF86">
        <v>18.999999999999979</v>
      </c>
      <c r="AG86">
        <v>20.03825975282891</v>
      </c>
      <c r="AH86">
        <v>14.72873999361004</v>
      </c>
      <c r="AI86">
        <f>20.6355669355441*1</f>
        <v>20.635566935544102</v>
      </c>
      <c r="AJ86">
        <f>4.47636327094294*1</f>
        <v>4.4763632709429402</v>
      </c>
      <c r="AK86">
        <v>1</v>
      </c>
      <c r="AL86">
        <v>0</v>
      </c>
      <c r="AM86">
        <v>0</v>
      </c>
    </row>
    <row r="87" spans="1:39" hidden="1" x14ac:dyDescent="0.2">
      <c r="A87" t="s">
        <v>228</v>
      </c>
      <c r="B87" t="s">
        <v>229</v>
      </c>
      <c r="C87" t="s">
        <v>230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8.4</v>
      </c>
      <c r="AE87">
        <v>427</v>
      </c>
      <c r="AF87">
        <v>22.464788732394371</v>
      </c>
      <c r="AG87">
        <v>17.278998185228421</v>
      </c>
      <c r="AH87">
        <v>9.4</v>
      </c>
      <c r="AI87">
        <f>13.1075046205729*1</f>
        <v>13.1075046205729</v>
      </c>
      <c r="AJ87">
        <f>2.59053629714299*1</f>
        <v>2.5905362971429899</v>
      </c>
      <c r="AK87">
        <v>1</v>
      </c>
      <c r="AL87">
        <v>0</v>
      </c>
      <c r="AM87">
        <v>0</v>
      </c>
    </row>
    <row r="88" spans="1:39" hidden="1" x14ac:dyDescent="0.2">
      <c r="A88" t="s">
        <v>231</v>
      </c>
      <c r="B88" t="s">
        <v>232</v>
      </c>
      <c r="C88" t="s">
        <v>233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4.9000000000000004</v>
      </c>
      <c r="AE88">
        <v>429</v>
      </c>
      <c r="AF88">
        <v>12.452830188679251</v>
      </c>
      <c r="AG88">
        <v>16.19540980602282</v>
      </c>
      <c r="AH88">
        <v>7.8675912933329819</v>
      </c>
      <c r="AI88">
        <f>8.82161373035283*1</f>
        <v>8.8216137303528299</v>
      </c>
      <c r="AJ88">
        <f>1.82626379886998*1</f>
        <v>1.8262637988699799</v>
      </c>
      <c r="AK88">
        <v>1</v>
      </c>
      <c r="AL88">
        <v>0</v>
      </c>
      <c r="AM88">
        <v>0</v>
      </c>
    </row>
    <row r="89" spans="1:39" x14ac:dyDescent="0.2">
      <c r="A89" t="s">
        <v>158</v>
      </c>
      <c r="B89" t="s">
        <v>159</v>
      </c>
      <c r="C89" t="s">
        <v>159</v>
      </c>
      <c r="D89" t="s">
        <v>3</v>
      </c>
      <c r="E89">
        <v>1</v>
      </c>
      <c r="F89">
        <v>0</v>
      </c>
      <c r="G89">
        <v>0</v>
      </c>
      <c r="H89">
        <v>0</v>
      </c>
      <c r="I89" t="s">
        <v>18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4.9000000000000004</v>
      </c>
      <c r="AE89">
        <v>263</v>
      </c>
      <c r="AF89">
        <v>17.793427230046941</v>
      </c>
      <c r="AG89">
        <v>16.86242456357288</v>
      </c>
      <c r="AH89">
        <v>10.21750269436204</v>
      </c>
      <c r="AI89">
        <f>15.1775420546585*1</f>
        <v>15.177542054658501</v>
      </c>
      <c r="AJ89">
        <f>3.01108948874774*1</f>
        <v>3.0110894887477402</v>
      </c>
      <c r="AK89">
        <v>1</v>
      </c>
      <c r="AL89">
        <v>1</v>
      </c>
      <c r="AM89">
        <v>1</v>
      </c>
    </row>
    <row r="90" spans="1:39" hidden="1" x14ac:dyDescent="0.2">
      <c r="A90" t="s">
        <v>237</v>
      </c>
      <c r="B90" t="s">
        <v>238</v>
      </c>
      <c r="C90" t="s">
        <v>238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6.4</v>
      </c>
      <c r="AE90">
        <v>433</v>
      </c>
      <c r="AF90">
        <v>14.609620537226981</v>
      </c>
      <c r="AG90">
        <v>18.993122447954221</v>
      </c>
      <c r="AH90">
        <v>17.972948772463688</v>
      </c>
      <c r="AI90">
        <f>4.03566365871984*1</f>
        <v>4.03566365871984</v>
      </c>
      <c r="AJ90">
        <f>0.713715791112801*1</f>
        <v>0.71371579111280103</v>
      </c>
      <c r="AK90">
        <v>1</v>
      </c>
      <c r="AL90">
        <v>0</v>
      </c>
      <c r="AM90">
        <v>0</v>
      </c>
    </row>
    <row r="91" spans="1:39" hidden="1" x14ac:dyDescent="0.2">
      <c r="A91" t="s">
        <v>239</v>
      </c>
      <c r="B91" t="s">
        <v>240</v>
      </c>
      <c r="C91" t="s">
        <v>240</v>
      </c>
      <c r="D91" t="s">
        <v>6</v>
      </c>
      <c r="E91">
        <v>0</v>
      </c>
      <c r="F91">
        <v>0</v>
      </c>
      <c r="G91">
        <v>0</v>
      </c>
      <c r="H91">
        <v>1</v>
      </c>
      <c r="I91" t="s">
        <v>24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6.9</v>
      </c>
      <c r="AE91">
        <v>436</v>
      </c>
      <c r="AF91">
        <v>22.157145634576519</v>
      </c>
      <c r="AG91">
        <v>31.291747956167889</v>
      </c>
      <c r="AH91">
        <v>18.649999999999999</v>
      </c>
      <c r="AI91">
        <f>12.4832303586574*1</f>
        <v>12.4832303586574</v>
      </c>
      <c r="AJ91">
        <f>2.26054313156794*1</f>
        <v>2.2605431315679398</v>
      </c>
      <c r="AK91">
        <v>1</v>
      </c>
      <c r="AL91">
        <v>0</v>
      </c>
      <c r="AM91">
        <v>0</v>
      </c>
    </row>
    <row r="92" spans="1:39" hidden="1" x14ac:dyDescent="0.2">
      <c r="A92" t="s">
        <v>174</v>
      </c>
      <c r="B92" t="s">
        <v>241</v>
      </c>
      <c r="C92" t="s">
        <v>241</v>
      </c>
      <c r="D92" t="s">
        <v>4</v>
      </c>
      <c r="E92">
        <v>0</v>
      </c>
      <c r="F92">
        <v>1</v>
      </c>
      <c r="G92">
        <v>0</v>
      </c>
      <c r="H92">
        <v>0</v>
      </c>
      <c r="I92" t="s">
        <v>24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</v>
      </c>
      <c r="AE92">
        <v>438</v>
      </c>
      <c r="AF92">
        <v>15.644311279299821</v>
      </c>
      <c r="AG92">
        <v>14.328136069158729</v>
      </c>
      <c r="AH92">
        <v>6.7546631269186044</v>
      </c>
      <c r="AI92">
        <f>8.06282335397194*1</f>
        <v>8.0628233539719396</v>
      </c>
      <c r="AJ92">
        <f>1.61836125331466*1</f>
        <v>1.6183612533146601</v>
      </c>
      <c r="AK92">
        <v>1</v>
      </c>
      <c r="AL92">
        <v>0</v>
      </c>
      <c r="AM92">
        <v>0</v>
      </c>
    </row>
    <row r="93" spans="1:39" hidden="1" x14ac:dyDescent="0.2">
      <c r="A93" t="s">
        <v>242</v>
      </c>
      <c r="B93" t="s">
        <v>243</v>
      </c>
      <c r="C93" t="s">
        <v>243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5.4</v>
      </c>
      <c r="AE93">
        <v>439</v>
      </c>
      <c r="AF93">
        <v>14.821428571428569</v>
      </c>
      <c r="AG93">
        <v>13.395289042120311</v>
      </c>
      <c r="AH93">
        <v>12.76145833333333</v>
      </c>
      <c r="AI93">
        <f>4.18837670653458*1</f>
        <v>4.1883767065345801</v>
      </c>
      <c r="AJ93">
        <f>0.795882875639538*1</f>
        <v>0.79588287563953797</v>
      </c>
      <c r="AK93">
        <v>1</v>
      </c>
      <c r="AL93">
        <v>0</v>
      </c>
      <c r="AM93">
        <v>0</v>
      </c>
    </row>
    <row r="94" spans="1:39" x14ac:dyDescent="0.2">
      <c r="A94" t="s">
        <v>248</v>
      </c>
      <c r="B94" t="s">
        <v>249</v>
      </c>
      <c r="C94" t="s">
        <v>249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7.4</v>
      </c>
      <c r="AE94">
        <v>462</v>
      </c>
      <c r="AF94">
        <v>24.350669183170691</v>
      </c>
      <c r="AG94">
        <v>13.95289230990149</v>
      </c>
      <c r="AH94">
        <v>17.740167963923511</v>
      </c>
      <c r="AI94">
        <f>15.2167759300438*1</f>
        <v>15.2167759300438</v>
      </c>
      <c r="AJ94">
        <f>2.83865497649633*1</f>
        <v>2.83865497649633</v>
      </c>
      <c r="AK94">
        <v>1</v>
      </c>
      <c r="AL94">
        <v>1</v>
      </c>
      <c r="AM94">
        <v>1</v>
      </c>
    </row>
    <row r="95" spans="1:39" hidden="1" x14ac:dyDescent="0.2">
      <c r="A95" t="s">
        <v>90</v>
      </c>
      <c r="B95" t="s">
        <v>245</v>
      </c>
      <c r="C95" t="s">
        <v>245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6.9</v>
      </c>
      <c r="AE95">
        <v>446</v>
      </c>
      <c r="AF95">
        <v>22.183139039957041</v>
      </c>
      <c r="AG95">
        <v>24.378003709169931</v>
      </c>
      <c r="AH95">
        <v>27.0844226974625</v>
      </c>
      <c r="AI95">
        <f>9.167777484781*1</f>
        <v>9.1677774847810003</v>
      </c>
      <c r="AJ95">
        <f>1.72212920706088*1</f>
        <v>1.72212920706088</v>
      </c>
      <c r="AK95">
        <v>1</v>
      </c>
      <c r="AL95">
        <v>0</v>
      </c>
      <c r="AM95">
        <v>0</v>
      </c>
    </row>
    <row r="96" spans="1:39" x14ac:dyDescent="0.2">
      <c r="A96" t="s">
        <v>160</v>
      </c>
      <c r="B96" t="s">
        <v>161</v>
      </c>
      <c r="C96" t="s">
        <v>161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19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4.4000000000000004</v>
      </c>
      <c r="AE96">
        <v>276</v>
      </c>
      <c r="AF96">
        <v>15.269230769230759</v>
      </c>
      <c r="AG96">
        <v>16.488289750580829</v>
      </c>
      <c r="AH96">
        <v>7.7084807439711458</v>
      </c>
      <c r="AI96">
        <f>15.29965089622*1</f>
        <v>15.299650896219999</v>
      </c>
      <c r="AJ96">
        <f>2.83066498980146*1</f>
        <v>2.83066498980146</v>
      </c>
      <c r="AK96">
        <v>1</v>
      </c>
      <c r="AL96">
        <v>1</v>
      </c>
      <c r="AM96">
        <v>1</v>
      </c>
    </row>
    <row r="97" spans="1:39" x14ac:dyDescent="0.2">
      <c r="A97" t="s">
        <v>244</v>
      </c>
      <c r="B97" t="s">
        <v>81</v>
      </c>
      <c r="C97" t="s">
        <v>81</v>
      </c>
      <c r="D97" t="s">
        <v>3</v>
      </c>
      <c r="E97">
        <v>1</v>
      </c>
      <c r="F97">
        <v>0</v>
      </c>
      <c r="G97">
        <v>0</v>
      </c>
      <c r="H97">
        <v>0</v>
      </c>
      <c r="I97" t="s">
        <v>24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</v>
      </c>
      <c r="AE97">
        <v>444</v>
      </c>
      <c r="AF97">
        <v>18.41463414634147</v>
      </c>
      <c r="AG97">
        <v>12.48714281136548</v>
      </c>
      <c r="AH97">
        <v>19.03756643077007</v>
      </c>
      <c r="AI97">
        <f>13.8536504698695*1</f>
        <v>13.8536504698695</v>
      </c>
      <c r="AJ97">
        <f>2.75429645263916*1</f>
        <v>2.75429645263916</v>
      </c>
      <c r="AK97">
        <v>1</v>
      </c>
      <c r="AL97">
        <v>1</v>
      </c>
      <c r="AM97">
        <v>1</v>
      </c>
    </row>
    <row r="98" spans="1:39" x14ac:dyDescent="0.2">
      <c r="A98" t="s">
        <v>228</v>
      </c>
      <c r="B98" t="s">
        <v>246</v>
      </c>
      <c r="C98" t="s">
        <v>247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6.4</v>
      </c>
      <c r="AE98">
        <v>459</v>
      </c>
      <c r="AF98">
        <v>18.928571428571431</v>
      </c>
      <c r="AG98">
        <v>15.776599040960271</v>
      </c>
      <c r="AH98">
        <v>21.504078041116522</v>
      </c>
      <c r="AI98">
        <f>11.7933619973419*1</f>
        <v>11.793361997341901</v>
      </c>
      <c r="AJ98">
        <f>2.30688128822063*1</f>
        <v>2.3068812882206302</v>
      </c>
      <c r="AK98">
        <v>1</v>
      </c>
      <c r="AL98">
        <v>1</v>
      </c>
      <c r="AM98">
        <v>1</v>
      </c>
    </row>
    <row r="99" spans="1:39" hidden="1" x14ac:dyDescent="0.2">
      <c r="A99" t="s">
        <v>252</v>
      </c>
      <c r="B99" t="s">
        <v>253</v>
      </c>
      <c r="C99" t="s">
        <v>252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4.8</v>
      </c>
      <c r="AE99">
        <v>496</v>
      </c>
      <c r="AF99">
        <v>11.902028364055409</v>
      </c>
      <c r="AG99">
        <v>16.124379087747549</v>
      </c>
      <c r="AH99">
        <v>9.6639781514781511</v>
      </c>
      <c r="AI99">
        <f>14.7335751480669*1</f>
        <v>14.733575148066899</v>
      </c>
      <c r="AJ99">
        <f>2.06975922063812*1</f>
        <v>2.0697592206381201</v>
      </c>
      <c r="AK99">
        <v>1</v>
      </c>
      <c r="AL99">
        <v>0</v>
      </c>
      <c r="AM99">
        <v>0</v>
      </c>
    </row>
    <row r="100" spans="1:39" hidden="1" x14ac:dyDescent="0.2">
      <c r="A100" t="s">
        <v>248</v>
      </c>
      <c r="B100" t="s">
        <v>254</v>
      </c>
      <c r="C100" t="s">
        <v>254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5.3</v>
      </c>
      <c r="AE100">
        <v>499</v>
      </c>
      <c r="AF100">
        <v>13.616997253650929</v>
      </c>
      <c r="AG100">
        <v>15.254245643430989</v>
      </c>
      <c r="AH100">
        <v>10.50187854737143</v>
      </c>
      <c r="AI100">
        <f>8.85635730379205*1</f>
        <v>8.8563573037920502</v>
      </c>
      <c r="AJ100">
        <f>2.03801328817654*1</f>
        <v>2.0380132881765398</v>
      </c>
      <c r="AK100">
        <v>1</v>
      </c>
      <c r="AL100">
        <v>0</v>
      </c>
      <c r="AM100">
        <v>0</v>
      </c>
    </row>
    <row r="101" spans="1:39" hidden="1" x14ac:dyDescent="0.2">
      <c r="A101" t="s">
        <v>255</v>
      </c>
      <c r="B101" t="s">
        <v>256</v>
      </c>
      <c r="C101" t="s">
        <v>256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6.5</v>
      </c>
      <c r="AE101">
        <v>500</v>
      </c>
      <c r="AF101">
        <v>21.569015726727109</v>
      </c>
      <c r="AG101">
        <v>9.9742906581820368</v>
      </c>
      <c r="AH101">
        <v>31.693749999999991</v>
      </c>
      <c r="AI101">
        <f>11.4654472793512*1</f>
        <v>11.465447279351199</v>
      </c>
      <c r="AJ101">
        <f>2.27821869152727*1</f>
        <v>2.27821869152727</v>
      </c>
      <c r="AK101">
        <v>1</v>
      </c>
      <c r="AL101">
        <v>0</v>
      </c>
      <c r="AM101">
        <v>0</v>
      </c>
    </row>
    <row r="102" spans="1:39" x14ac:dyDescent="0.2">
      <c r="A102" t="s">
        <v>269</v>
      </c>
      <c r="B102" t="s">
        <v>270</v>
      </c>
      <c r="C102" t="s">
        <v>271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5.5</v>
      </c>
      <c r="AE102">
        <v>576</v>
      </c>
      <c r="AF102">
        <v>19.51923076923077</v>
      </c>
      <c r="AG102">
        <v>18.34241422592838</v>
      </c>
      <c r="AH102">
        <v>8.1714285714285708</v>
      </c>
      <c r="AI102">
        <f>9.81134510580173*1</f>
        <v>9.8113451058017294</v>
      </c>
      <c r="AJ102">
        <f>1.83338583976853*1</f>
        <v>1.8333858397685301</v>
      </c>
      <c r="AK102">
        <v>1</v>
      </c>
      <c r="AL102">
        <v>1</v>
      </c>
      <c r="AM102">
        <v>1</v>
      </c>
    </row>
    <row r="103" spans="1:39" hidden="1" x14ac:dyDescent="0.2">
      <c r="A103" t="s">
        <v>259</v>
      </c>
      <c r="B103" t="s">
        <v>260</v>
      </c>
      <c r="C103" t="s">
        <v>259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4.5</v>
      </c>
      <c r="AE103">
        <v>503</v>
      </c>
      <c r="AF103">
        <v>10.41666666666667</v>
      </c>
      <c r="AG103">
        <v>8.192387892279406</v>
      </c>
      <c r="AH103">
        <v>22.412500000000001</v>
      </c>
      <c r="AI103">
        <f>11.2560620564555*1</f>
        <v>11.2560620564555</v>
      </c>
      <c r="AJ103">
        <f>2.13574814040626*1</f>
        <v>2.1357481404062599</v>
      </c>
      <c r="AK103">
        <v>1</v>
      </c>
      <c r="AL103">
        <v>0</v>
      </c>
      <c r="AM103">
        <v>0</v>
      </c>
    </row>
    <row r="104" spans="1:39" hidden="1" x14ac:dyDescent="0.2">
      <c r="A104" t="s">
        <v>137</v>
      </c>
      <c r="B104" t="s">
        <v>261</v>
      </c>
      <c r="C104" t="s">
        <v>261</v>
      </c>
      <c r="D104" t="s">
        <v>6</v>
      </c>
      <c r="E104">
        <v>0</v>
      </c>
      <c r="F104">
        <v>0</v>
      </c>
      <c r="G104">
        <v>0</v>
      </c>
      <c r="H104">
        <v>1</v>
      </c>
      <c r="I104" t="s">
        <v>26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6.1</v>
      </c>
      <c r="AE104">
        <v>513</v>
      </c>
      <c r="AF104">
        <v>17.6310302411447</v>
      </c>
      <c r="AG104">
        <v>16.61469752134434</v>
      </c>
      <c r="AH104">
        <v>22.91843091363414</v>
      </c>
      <c r="AI104">
        <f>15.7205777868195*1</f>
        <v>15.720577786819501</v>
      </c>
      <c r="AJ104">
        <f>2.90078474906011*1</f>
        <v>2.9007847490601102</v>
      </c>
      <c r="AK104">
        <v>1</v>
      </c>
      <c r="AL104">
        <v>0</v>
      </c>
      <c r="AM104">
        <v>0</v>
      </c>
    </row>
    <row r="105" spans="1:39" hidden="1" x14ac:dyDescent="0.2">
      <c r="A105" t="s">
        <v>262</v>
      </c>
      <c r="B105" t="s">
        <v>263</v>
      </c>
      <c r="C105" t="s">
        <v>263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6.3</v>
      </c>
      <c r="AE105">
        <v>516</v>
      </c>
      <c r="AF105">
        <v>19.015506134920258</v>
      </c>
      <c r="AG105">
        <v>17.579051938704151</v>
      </c>
      <c r="AH105">
        <v>10.596752107625671</v>
      </c>
      <c r="AI105">
        <f>13.8931427601362*1</f>
        <v>13.8931427601362</v>
      </c>
      <c r="AJ105">
        <f>2.65387934670735*1</f>
        <v>2.6538793467073498</v>
      </c>
      <c r="AK105">
        <v>1</v>
      </c>
      <c r="AL105">
        <v>0</v>
      </c>
      <c r="AM105">
        <v>0</v>
      </c>
    </row>
    <row r="106" spans="1:39" hidden="1" x14ac:dyDescent="0.2">
      <c r="A106" t="s">
        <v>264</v>
      </c>
      <c r="B106" t="s">
        <v>265</v>
      </c>
      <c r="C106" t="s">
        <v>265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6.4</v>
      </c>
      <c r="AE106">
        <v>572</v>
      </c>
      <c r="AF106">
        <v>16.95945945945947</v>
      </c>
      <c r="AG106">
        <v>12.984037965973529</v>
      </c>
      <c r="AH106">
        <v>14.82788662836167</v>
      </c>
      <c r="AI106">
        <f>5.9660896888215*1</f>
        <v>5.9660896888214996</v>
      </c>
      <c r="AJ106">
        <f>1.22577435494266*1</f>
        <v>1.2257743549426601</v>
      </c>
      <c r="AK106">
        <v>1</v>
      </c>
      <c r="AL106">
        <v>0</v>
      </c>
      <c r="AM106">
        <v>0</v>
      </c>
    </row>
    <row r="107" spans="1:39" hidden="1" x14ac:dyDescent="0.2">
      <c r="A107" t="s">
        <v>266</v>
      </c>
      <c r="B107" t="s">
        <v>267</v>
      </c>
      <c r="C107" t="s">
        <v>267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6.3</v>
      </c>
      <c r="AE107">
        <v>573</v>
      </c>
      <c r="AF107">
        <v>19.024390243902442</v>
      </c>
      <c r="AG107">
        <v>20.573519231823351</v>
      </c>
      <c r="AH107">
        <v>8.7692307692307683</v>
      </c>
      <c r="AI107">
        <f>13.4414758588171*1</f>
        <v>13.4414758588171</v>
      </c>
      <c r="AJ107">
        <f>2.20866326799629*1</f>
        <v>2.2086632679962901</v>
      </c>
      <c r="AK107">
        <v>1</v>
      </c>
      <c r="AL107">
        <v>0</v>
      </c>
      <c r="AM107">
        <v>0</v>
      </c>
    </row>
    <row r="108" spans="1:39" hidden="1" x14ac:dyDescent="0.2">
      <c r="A108" t="s">
        <v>262</v>
      </c>
      <c r="B108" t="s">
        <v>268</v>
      </c>
      <c r="C108" t="s">
        <v>268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28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7.5</v>
      </c>
      <c r="AE108">
        <v>575</v>
      </c>
      <c r="AF108">
        <v>20.957497880527139</v>
      </c>
      <c r="AG108">
        <v>22.970322251504541</v>
      </c>
      <c r="AH108">
        <v>20.48377083288921</v>
      </c>
      <c r="AI108">
        <f>12.2156939854723*1</f>
        <v>12.215693985472299</v>
      </c>
      <c r="AJ108">
        <f>2.63594129754811*1</f>
        <v>2.63594129754811</v>
      </c>
      <c r="AK108">
        <v>1</v>
      </c>
      <c r="AL108">
        <v>0</v>
      </c>
      <c r="AM108">
        <v>0</v>
      </c>
    </row>
    <row r="109" spans="1:39" x14ac:dyDescent="0.2">
      <c r="A109" t="s">
        <v>215</v>
      </c>
      <c r="B109" t="s">
        <v>216</v>
      </c>
      <c r="C109" t="s">
        <v>216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18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4.4000000000000004</v>
      </c>
      <c r="AE109">
        <v>-1</v>
      </c>
      <c r="AF109">
        <v>3.75</v>
      </c>
      <c r="AG109">
        <v>3.75</v>
      </c>
      <c r="AH109">
        <v>3.75</v>
      </c>
      <c r="AI109">
        <f>2.8125*0.75</f>
        <v>2.109375</v>
      </c>
      <c r="AJ109">
        <f>0.75*0.75</f>
        <v>0.5625</v>
      </c>
      <c r="AK109">
        <v>0.75</v>
      </c>
      <c r="AL109">
        <v>1</v>
      </c>
      <c r="AM109">
        <v>1</v>
      </c>
    </row>
    <row r="110" spans="1:39" hidden="1" x14ac:dyDescent="0.2">
      <c r="A110" t="s">
        <v>272</v>
      </c>
      <c r="B110" t="s">
        <v>273</v>
      </c>
      <c r="C110" t="s">
        <v>272</v>
      </c>
      <c r="D110" t="s">
        <v>6</v>
      </c>
      <c r="E110">
        <v>0</v>
      </c>
      <c r="F110">
        <v>0</v>
      </c>
      <c r="G110">
        <v>0</v>
      </c>
      <c r="H110">
        <v>1</v>
      </c>
      <c r="I110" t="s">
        <v>28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6.9</v>
      </c>
      <c r="AE110">
        <v>578</v>
      </c>
      <c r="AF110">
        <v>19.368131868131851</v>
      </c>
      <c r="AG110">
        <v>19.415828398896199</v>
      </c>
      <c r="AH110">
        <v>8.4793560687856537</v>
      </c>
      <c r="AI110">
        <f>8.20248398368126*1</f>
        <v>8.20248398368126</v>
      </c>
      <c r="AJ110">
        <f>1.72908620996389*1</f>
        <v>1.72908620996389</v>
      </c>
      <c r="AK110">
        <v>1</v>
      </c>
      <c r="AL110">
        <v>0</v>
      </c>
      <c r="AM110">
        <v>0</v>
      </c>
    </row>
    <row r="111" spans="1:39" hidden="1" x14ac:dyDescent="0.2">
      <c r="A111" t="s">
        <v>274</v>
      </c>
      <c r="B111" t="s">
        <v>275</v>
      </c>
      <c r="C111" t="s">
        <v>275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5.0999999999999996</v>
      </c>
      <c r="AE111">
        <v>579</v>
      </c>
      <c r="AF111">
        <v>15.123456790123459</v>
      </c>
      <c r="AG111">
        <v>13.89026732591666</v>
      </c>
      <c r="AH111">
        <v>21.23547185801625</v>
      </c>
      <c r="AI111">
        <f>12.6987482278796*1</f>
        <v>12.6987482278796</v>
      </c>
      <c r="AJ111">
        <f>2.75598205581093*1</f>
        <v>2.75598205581093</v>
      </c>
      <c r="AK111">
        <v>1</v>
      </c>
      <c r="AL111">
        <v>0</v>
      </c>
      <c r="AM111">
        <v>0</v>
      </c>
    </row>
    <row r="112" spans="1:39" hidden="1" x14ac:dyDescent="0.2">
      <c r="A112" t="s">
        <v>276</v>
      </c>
      <c r="B112" t="s">
        <v>277</v>
      </c>
      <c r="C112" t="s">
        <v>276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10</v>
      </c>
      <c r="AE112">
        <v>583</v>
      </c>
      <c r="AF112">
        <v>26.77236918702506</v>
      </c>
      <c r="AG112">
        <v>25.931582696256829</v>
      </c>
      <c r="AH112">
        <v>26.674002034158221</v>
      </c>
      <c r="AI112">
        <f>12.6707305012541*1</f>
        <v>12.6707305012541</v>
      </c>
      <c r="AJ112">
        <f>2.67776563814664*1</f>
        <v>2.6777656381466399</v>
      </c>
      <c r="AK112">
        <v>1</v>
      </c>
      <c r="AL112">
        <v>0</v>
      </c>
      <c r="AM112">
        <v>0</v>
      </c>
    </row>
    <row r="113" spans="1:39" hidden="1" x14ac:dyDescent="0.2">
      <c r="A113" t="s">
        <v>278</v>
      </c>
      <c r="B113" t="s">
        <v>279</v>
      </c>
      <c r="C113" t="s">
        <v>279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28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5</v>
      </c>
      <c r="AE113">
        <v>585</v>
      </c>
      <c r="AF113">
        <v>13.90625</v>
      </c>
      <c r="AG113">
        <v>9.5730415600773142</v>
      </c>
      <c r="AH113">
        <v>7.8340986518806339</v>
      </c>
      <c r="AI113">
        <f>5.10392989199396*1</f>
        <v>5.1039298919939604</v>
      </c>
      <c r="AJ113">
        <f>0.991748225842795*1</f>
        <v>0.99174822584279498</v>
      </c>
      <c r="AK113">
        <v>1</v>
      </c>
      <c r="AL113">
        <v>0</v>
      </c>
      <c r="AM113">
        <v>0</v>
      </c>
    </row>
    <row r="114" spans="1:39" hidden="1" x14ac:dyDescent="0.2">
      <c r="A114" t="s">
        <v>280</v>
      </c>
      <c r="B114" t="s">
        <v>281</v>
      </c>
      <c r="C114" t="s">
        <v>282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4.5</v>
      </c>
      <c r="AE114">
        <v>586</v>
      </c>
      <c r="AF114">
        <v>14.46428571428571</v>
      </c>
      <c r="AG114">
        <v>11.12174955154933</v>
      </c>
      <c r="AH114">
        <v>11.8</v>
      </c>
      <c r="AI114">
        <f>14.5212451248697*1</f>
        <v>14.521245124869701</v>
      </c>
      <c r="AJ114">
        <f>2.56913157391205*1</f>
        <v>2.5691315739120499</v>
      </c>
      <c r="AK114">
        <v>1</v>
      </c>
      <c r="AL114">
        <v>0</v>
      </c>
      <c r="AM114">
        <v>0</v>
      </c>
    </row>
    <row r="115" spans="1:39" hidden="1" x14ac:dyDescent="0.2">
      <c r="A115" t="s">
        <v>283</v>
      </c>
      <c r="B115" t="s">
        <v>284</v>
      </c>
      <c r="C115" t="s">
        <v>284</v>
      </c>
      <c r="D115" t="s">
        <v>3</v>
      </c>
      <c r="E115">
        <v>1</v>
      </c>
      <c r="F115">
        <v>0</v>
      </c>
      <c r="G115">
        <v>0</v>
      </c>
      <c r="H115">
        <v>0</v>
      </c>
      <c r="I115" t="s">
        <v>28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5</v>
      </c>
      <c r="AE115">
        <v>588</v>
      </c>
      <c r="AF115">
        <v>13.56267672065634</v>
      </c>
      <c r="AG115">
        <v>22.688793920357789</v>
      </c>
      <c r="AH115">
        <v>11.255714453136241</v>
      </c>
      <c r="AI115">
        <f>10.4141035099488*1</f>
        <v>10.4141035099488</v>
      </c>
      <c r="AJ115">
        <f>1.94426544144556*1</f>
        <v>1.94426544144556</v>
      </c>
      <c r="AK115">
        <v>1</v>
      </c>
      <c r="AL115">
        <v>0</v>
      </c>
      <c r="AM115">
        <v>0</v>
      </c>
    </row>
    <row r="116" spans="1:39" hidden="1" x14ac:dyDescent="0.2">
      <c r="A116" t="s">
        <v>175</v>
      </c>
      <c r="B116" t="s">
        <v>285</v>
      </c>
      <c r="C116" t="s">
        <v>285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28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5.5</v>
      </c>
      <c r="AE116">
        <v>593</v>
      </c>
      <c r="AF116">
        <v>13.75</v>
      </c>
      <c r="AG116">
        <v>17.490414003393202</v>
      </c>
      <c r="AH116">
        <v>8.7666666666666657</v>
      </c>
      <c r="AI116">
        <f>9.18780385354685*1</f>
        <v>9.1878038535468498</v>
      </c>
      <c r="AJ116">
        <f>1.66050644637976*1</f>
        <v>1.6605064463797601</v>
      </c>
      <c r="AK116">
        <v>1</v>
      </c>
      <c r="AL116">
        <v>0</v>
      </c>
      <c r="AM116">
        <v>0</v>
      </c>
    </row>
    <row r="117" spans="1:39" hidden="1" x14ac:dyDescent="0.2">
      <c r="A117" t="s">
        <v>286</v>
      </c>
      <c r="B117" t="s">
        <v>287</v>
      </c>
      <c r="C117" t="s">
        <v>287</v>
      </c>
      <c r="D117" t="s">
        <v>3</v>
      </c>
      <c r="E117">
        <v>1</v>
      </c>
      <c r="F117">
        <v>0</v>
      </c>
      <c r="G117">
        <v>0</v>
      </c>
      <c r="H117">
        <v>0</v>
      </c>
      <c r="I117" t="s">
        <v>29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4.5</v>
      </c>
      <c r="AE117">
        <v>597</v>
      </c>
      <c r="AF117">
        <v>16.772335665117112</v>
      </c>
      <c r="AG117">
        <v>16.764437643187001</v>
      </c>
      <c r="AH117">
        <v>10.461688311688309</v>
      </c>
      <c r="AI117">
        <f>11.8177093898965*1</f>
        <v>11.8177093898965</v>
      </c>
      <c r="AJ117">
        <f>2.41880385905797*1</f>
        <v>2.4188038590579701</v>
      </c>
      <c r="AK117">
        <v>1</v>
      </c>
      <c r="AL117">
        <v>0</v>
      </c>
      <c r="AM117">
        <v>0</v>
      </c>
    </row>
    <row r="118" spans="1:39" hidden="1" x14ac:dyDescent="0.2">
      <c r="A118" t="s">
        <v>288</v>
      </c>
      <c r="B118" t="s">
        <v>289</v>
      </c>
      <c r="C118" t="s">
        <v>289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7.5</v>
      </c>
      <c r="AE118">
        <v>598</v>
      </c>
      <c r="AF118">
        <v>22.24533484612828</v>
      </c>
      <c r="AG118">
        <v>22.007081064013359</v>
      </c>
      <c r="AH118">
        <v>25.32585896334767</v>
      </c>
      <c r="AI118">
        <f>12.398159954858*1</f>
        <v>12.398159954858</v>
      </c>
      <c r="AJ118">
        <f>2.30556857306454*1</f>
        <v>2.3055685730645399</v>
      </c>
      <c r="AK118">
        <v>1</v>
      </c>
      <c r="AL118">
        <v>0</v>
      </c>
      <c r="AM118">
        <v>0</v>
      </c>
    </row>
    <row r="119" spans="1:39" hidden="1" x14ac:dyDescent="0.2">
      <c r="A119" t="s">
        <v>290</v>
      </c>
      <c r="B119" t="s">
        <v>291</v>
      </c>
      <c r="C119" t="s">
        <v>291</v>
      </c>
      <c r="D119" t="s">
        <v>3</v>
      </c>
      <c r="E119">
        <v>1</v>
      </c>
      <c r="F119">
        <v>0</v>
      </c>
      <c r="G119">
        <v>0</v>
      </c>
      <c r="H119">
        <v>0</v>
      </c>
      <c r="I119" t="s">
        <v>29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4.5</v>
      </c>
      <c r="AE119">
        <v>604</v>
      </c>
      <c r="AF119">
        <v>11.666666666666661</v>
      </c>
      <c r="AG119">
        <v>12.648056840180679</v>
      </c>
      <c r="AH119">
        <v>10.945288705699109</v>
      </c>
      <c r="AI119">
        <f>8.28976031974487*1</f>
        <v>8.2897603197448699</v>
      </c>
      <c r="AJ119">
        <f>1.56130655006647*1</f>
        <v>1.56130655006647</v>
      </c>
      <c r="AK119">
        <v>1</v>
      </c>
      <c r="AL119">
        <v>0</v>
      </c>
      <c r="AM119">
        <v>0</v>
      </c>
    </row>
    <row r="120" spans="1:39" hidden="1" x14ac:dyDescent="0.2">
      <c r="A120" t="s">
        <v>292</v>
      </c>
      <c r="B120" t="s">
        <v>293</v>
      </c>
      <c r="C120" t="s">
        <v>293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4.5</v>
      </c>
      <c r="AE120">
        <v>606</v>
      </c>
      <c r="AF120">
        <v>14.53125</v>
      </c>
      <c r="AG120">
        <v>14.763883968893451</v>
      </c>
      <c r="AH120">
        <v>10.536425630665301</v>
      </c>
      <c r="AI120">
        <f>9.87330241500153*1</f>
        <v>9.8733024150015307</v>
      </c>
      <c r="AJ120">
        <f>2.02805221954929*1</f>
        <v>2.02805221954929</v>
      </c>
      <c r="AK120">
        <v>1</v>
      </c>
      <c r="AL120">
        <v>0</v>
      </c>
      <c r="AM120">
        <v>0</v>
      </c>
    </row>
    <row r="121" spans="1:39" hidden="1" x14ac:dyDescent="0.2">
      <c r="A121" t="s">
        <v>294</v>
      </c>
      <c r="B121" t="s">
        <v>295</v>
      </c>
      <c r="C121" t="s">
        <v>295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6.4</v>
      </c>
      <c r="AE121">
        <v>607</v>
      </c>
      <c r="AF121">
        <v>18.629516222669249</v>
      </c>
      <c r="AG121">
        <v>24.055184428137729</v>
      </c>
      <c r="AH121">
        <v>16.28093715009879</v>
      </c>
      <c r="AI121">
        <f>13.437187505612*1</f>
        <v>13.437187505612</v>
      </c>
      <c r="AJ121">
        <f>2.42019099503293*1</f>
        <v>2.4201909950329301</v>
      </c>
      <c r="AK121">
        <v>1</v>
      </c>
      <c r="AL121">
        <v>0</v>
      </c>
      <c r="AM121">
        <v>0</v>
      </c>
    </row>
    <row r="122" spans="1:39" hidden="1" x14ac:dyDescent="0.2">
      <c r="A122" t="s">
        <v>71</v>
      </c>
      <c r="B122" t="s">
        <v>296</v>
      </c>
      <c r="C122" t="s">
        <v>297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29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6</v>
      </c>
      <c r="AE122">
        <v>609</v>
      </c>
      <c r="AF122">
        <v>18.105480632715359</v>
      </c>
      <c r="AG122">
        <v>18.659391227396689</v>
      </c>
      <c r="AH122">
        <v>10.32727272727273</v>
      </c>
      <c r="AI122">
        <f>6.32666645347324*1</f>
        <v>6.3266664534732397</v>
      </c>
      <c r="AJ122">
        <f>1.26917245053921*1</f>
        <v>1.2691724505392099</v>
      </c>
      <c r="AK122">
        <v>1</v>
      </c>
      <c r="AL122">
        <v>0</v>
      </c>
      <c r="AM122">
        <v>0</v>
      </c>
    </row>
    <row r="123" spans="1:39" hidden="1" x14ac:dyDescent="0.2">
      <c r="A123" t="s">
        <v>298</v>
      </c>
      <c r="B123" t="s">
        <v>299</v>
      </c>
      <c r="C123" t="s">
        <v>299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5</v>
      </c>
      <c r="AE123">
        <v>612</v>
      </c>
      <c r="AF123">
        <v>15.975609756097571</v>
      </c>
      <c r="AG123">
        <v>18.932741341724981</v>
      </c>
      <c r="AH123">
        <v>10.142857142857141</v>
      </c>
      <c r="AI123">
        <f>14.3754898743434*1</f>
        <v>14.375489874343399</v>
      </c>
      <c r="AJ123">
        <f>2.50292901216639*1</f>
        <v>2.5029290121663901</v>
      </c>
      <c r="AK123">
        <v>1</v>
      </c>
      <c r="AL123">
        <v>0</v>
      </c>
      <c r="AM123">
        <v>0</v>
      </c>
    </row>
    <row r="124" spans="1:39" hidden="1" x14ac:dyDescent="0.2">
      <c r="A124" t="s">
        <v>300</v>
      </c>
      <c r="B124" t="s">
        <v>301</v>
      </c>
      <c r="C124" t="s">
        <v>302</v>
      </c>
      <c r="D124" t="s">
        <v>6</v>
      </c>
      <c r="E124">
        <v>0</v>
      </c>
      <c r="F124">
        <v>0</v>
      </c>
      <c r="G124">
        <v>0</v>
      </c>
      <c r="H124">
        <v>1</v>
      </c>
      <c r="I124" t="s">
        <v>30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6.5</v>
      </c>
      <c r="AE124">
        <v>630</v>
      </c>
      <c r="AF124">
        <v>14.918335266602289</v>
      </c>
      <c r="AG124">
        <v>20.048373122255729</v>
      </c>
      <c r="AH124">
        <v>11.24025491466185</v>
      </c>
      <c r="AI124">
        <f>4.23248869438761*1</f>
        <v>4.2324886943876097</v>
      </c>
      <c r="AJ124">
        <f>0.873445718579869*1</f>
        <v>0.87344571857986897</v>
      </c>
      <c r="AK124">
        <v>1</v>
      </c>
      <c r="AL124">
        <v>0</v>
      </c>
      <c r="AM124">
        <v>0</v>
      </c>
    </row>
    <row r="125" spans="1:39" hidden="1" x14ac:dyDescent="0.2">
      <c r="A125" t="s">
        <v>303</v>
      </c>
      <c r="B125" t="s">
        <v>304</v>
      </c>
      <c r="C125" t="s">
        <v>305</v>
      </c>
      <c r="D125" t="s">
        <v>3</v>
      </c>
      <c r="E125">
        <v>1</v>
      </c>
      <c r="F125">
        <v>0</v>
      </c>
      <c r="G125">
        <v>0</v>
      </c>
      <c r="H125">
        <v>0</v>
      </c>
      <c r="I125" t="s">
        <v>30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4.5</v>
      </c>
      <c r="AE125">
        <v>643</v>
      </c>
      <c r="AF125">
        <v>16.804906304044248</v>
      </c>
      <c r="AG125">
        <v>19.4996572608507</v>
      </c>
      <c r="AH125">
        <v>9.1111111111111107</v>
      </c>
      <c r="AI125">
        <f>11.0828332315274*1</f>
        <v>11.082833231527401</v>
      </c>
      <c r="AJ125">
        <f>2.41488095298729*1</f>
        <v>2.4148809529872901</v>
      </c>
      <c r="AK125">
        <v>1</v>
      </c>
      <c r="AL125">
        <v>0</v>
      </c>
      <c r="AM125">
        <v>0</v>
      </c>
    </row>
    <row r="126" spans="1:39" hidden="1" x14ac:dyDescent="0.2">
      <c r="A126" t="s">
        <v>306</v>
      </c>
      <c r="B126" t="s">
        <v>307</v>
      </c>
      <c r="C126" t="s">
        <v>308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30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5</v>
      </c>
      <c r="AE126">
        <v>646</v>
      </c>
      <c r="AF126">
        <v>11.69902912621359</v>
      </c>
      <c r="AG126">
        <v>11.39230554206935</v>
      </c>
      <c r="AH126">
        <v>20.39053769914009</v>
      </c>
      <c r="AI126">
        <f>17.300171595762*1</f>
        <v>17.300171595761999</v>
      </c>
      <c r="AJ126">
        <f>3.65398695239182*1</f>
        <v>3.6539869523918198</v>
      </c>
      <c r="AK126">
        <v>1</v>
      </c>
      <c r="AL126">
        <v>0</v>
      </c>
      <c r="AM126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2024-09-20T13:55:39Z</dcterms:created>
  <dcterms:modified xsi:type="dcterms:W3CDTF">2024-09-20T13:57:24Z</dcterms:modified>
</cp:coreProperties>
</file>