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DB9A488E-80AC-A74F-BEE6-926DA805A5F5}" xr6:coauthVersionLast="47" xr6:coauthVersionMax="47" xr10:uidLastSave="{00000000-0000-0000-0000-000000000000}"/>
  <bookViews>
    <workbookView xWindow="240" yWindow="760" windowWidth="34320" windowHeight="21580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LUT!$I$2:$I$3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SHU!$I$2:$I$3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LUT!$I$5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SHU!$I$5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0" l="1"/>
  <c r="F6" i="20" s="1"/>
  <c r="D5" i="20"/>
  <c r="F5" i="20" s="1"/>
  <c r="D4" i="20"/>
  <c r="F4" i="20" s="1"/>
  <c r="D3" i="20"/>
  <c r="F3" i="20" s="1"/>
  <c r="D2" i="20"/>
  <c r="F2" i="20" s="1"/>
  <c r="D11" i="19"/>
  <c r="F11" i="19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6" i="17"/>
  <c r="F6" i="17" s="1"/>
  <c r="D5" i="17"/>
  <c r="F5" i="17" s="1"/>
  <c r="D4" i="17"/>
  <c r="F4" i="17" s="1"/>
  <c r="D3" i="17"/>
  <c r="F3" i="17" s="1"/>
  <c r="D2" i="17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6" i="12"/>
  <c r="F6" i="12" s="1"/>
  <c r="D5" i="12"/>
  <c r="F5" i="12" s="1"/>
  <c r="D4" i="12"/>
  <c r="F4" i="12" s="1"/>
  <c r="D3" i="12"/>
  <c r="F3" i="12" s="1"/>
  <c r="D2" i="12"/>
  <c r="D12" i="1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D10" i="8"/>
  <c r="F10" i="8" s="1"/>
  <c r="D9" i="8"/>
  <c r="F9" i="8" s="1"/>
  <c r="D8" i="8"/>
  <c r="F8" i="8" s="1"/>
  <c r="D7" i="8"/>
  <c r="F7" i="8" s="1"/>
  <c r="D6" i="8"/>
  <c r="F6" i="8" s="1"/>
  <c r="D5" i="8"/>
  <c r="D4" i="8"/>
  <c r="F4" i="8" s="1"/>
  <c r="D3" i="8"/>
  <c r="F3" i="8" s="1"/>
  <c r="D2" i="8"/>
  <c r="F2" i="8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7" i="6"/>
  <c r="F7" i="6" s="1"/>
  <c r="D6" i="6"/>
  <c r="F6" i="6" s="1"/>
  <c r="D5" i="6"/>
  <c r="D4" i="6"/>
  <c r="F4" i="6" s="1"/>
  <c r="D3" i="6"/>
  <c r="F3" i="6" s="1"/>
  <c r="D2" i="6"/>
  <c r="F2" i="6" s="1"/>
  <c r="D6" i="5"/>
  <c r="F6" i="5" s="1"/>
  <c r="F5" i="5"/>
  <c r="D5" i="5"/>
  <c r="D4" i="5"/>
  <c r="F4" i="5" s="1"/>
  <c r="D3" i="5"/>
  <c r="F3" i="5" s="1"/>
  <c r="D2" i="5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7" i="20" l="1"/>
  <c r="I5" i="20" a="1"/>
  <c r="I5" i="20" s="1"/>
  <c r="I7" i="19"/>
  <c r="I5" i="19" a="1"/>
  <c r="I5" i="19" s="1"/>
  <c r="I5" i="18" a="1"/>
  <c r="I5" i="18" s="1"/>
  <c r="F2" i="18"/>
  <c r="I7" i="18" s="1"/>
  <c r="I5" i="17" a="1"/>
  <c r="I5" i="17" s="1"/>
  <c r="F2" i="17"/>
  <c r="I7" i="17" s="1"/>
  <c r="I5" i="16" a="1"/>
  <c r="I5" i="16" s="1"/>
  <c r="I5" i="15" a="1"/>
  <c r="I5" i="15" s="1"/>
  <c r="I7" i="14"/>
  <c r="I5" i="14" a="1"/>
  <c r="I5" i="14" s="1"/>
  <c r="I5" i="13" a="1"/>
  <c r="I5" i="13" s="1"/>
  <c r="I5" i="12" a="1"/>
  <c r="I5" i="12" s="1"/>
  <c r="F2" i="12"/>
  <c r="I7" i="12" s="1"/>
  <c r="I5" i="11" a="1"/>
  <c r="I5" i="11" s="1"/>
  <c r="F12" i="11"/>
  <c r="I7" i="11" s="1"/>
  <c r="I5" i="10" a="1"/>
  <c r="I5" i="10" s="1"/>
  <c r="F2" i="10"/>
  <c r="I7" i="10" s="1"/>
  <c r="I5" i="9" a="1"/>
  <c r="I5" i="9" s="1"/>
  <c r="F2" i="9"/>
  <c r="I5" i="8" a="1"/>
  <c r="I5" i="8" s="1"/>
  <c r="I5" i="7" a="1"/>
  <c r="I5" i="7" s="1"/>
  <c r="F2" i="7"/>
  <c r="I7" i="7" s="1"/>
  <c r="I5" i="6" a="1"/>
  <c r="I5" i="6" s="1"/>
  <c r="I5" i="5" a="1"/>
  <c r="I5" i="5" s="1"/>
  <c r="F2" i="5"/>
  <c r="I7" i="5" s="1"/>
  <c r="I5" i="4" a="1"/>
  <c r="I5" i="4" s="1"/>
  <c r="F2" i="4"/>
  <c r="I7" i="4" s="1"/>
  <c r="I5" i="3" a="1"/>
  <c r="I5" i="3" s="1"/>
  <c r="F2" i="3"/>
  <c r="I7" i="3" s="1"/>
  <c r="I5" i="2" a="1"/>
  <c r="I5" i="2" s="1"/>
  <c r="F2" i="2"/>
  <c r="I5" i="1" a="1"/>
  <c r="I5" i="1" s="1"/>
  <c r="F2" i="1"/>
  <c r="I7" i="1" s="1"/>
  <c r="I7" i="13"/>
  <c r="I7" i="16"/>
  <c r="F5" i="6"/>
  <c r="I7" i="6" s="1"/>
  <c r="F5" i="8"/>
  <c r="I7" i="8" s="1"/>
  <c r="F5" i="9"/>
  <c r="F5" i="15"/>
  <c r="I7" i="15" s="1"/>
  <c r="F5" i="2"/>
  <c r="I7" i="9" l="1"/>
  <c r="I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<sst xmlns="http://schemas.openxmlformats.org/spreadsheetml/2006/main" count="379" uniqueCount="187">
  <si>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</si>
  <si>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</si>
  <si>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</si>
  <si>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</si>
  <si>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</si>
  <si>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</si>
  <si>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</si>
  <si>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</si>
  <si>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</si>
  <si>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</si>
  <si>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</si>
  <si>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</si>
  <si>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</si>
  <si>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</si>
  <si>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</si>
  <si>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</si>
  <si>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</si>
  <si>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</si>
  <si>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</si>
  <si>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</si>
  <si>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</si>
  <si>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</si>
  <si>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</si>
  <si>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</si>
  <si>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</si>
  <si>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</si>
  <si>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</si>
  <si>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</si>
  <si>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</si>
  <si>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</si>
  <si>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Martinez</t>
  </si>
  <si>
    <t>Diaby</t>
  </si>
  <si>
    <t>Pau</t>
  </si>
  <si>
    <t>Billing</t>
  </si>
  <si>
    <t>L.Cook</t>
  </si>
  <si>
    <t>Solanke</t>
  </si>
  <si>
    <t>Christie</t>
  </si>
  <si>
    <t>Tavernier</t>
  </si>
  <si>
    <t>Senesi</t>
  </si>
  <si>
    <t>Neto</t>
  </si>
  <si>
    <t>Semenyo</t>
  </si>
  <si>
    <t>Kerkez</t>
  </si>
  <si>
    <t>Maupay</t>
  </si>
  <si>
    <t>Nørgaard</t>
  </si>
  <si>
    <t>Pinnock</t>
  </si>
  <si>
    <t>Janelt</t>
  </si>
  <si>
    <t>Mbeumo</t>
  </si>
  <si>
    <t>Wissa</t>
  </si>
  <si>
    <t>Jensen</t>
  </si>
  <si>
    <t>Collins</t>
  </si>
  <si>
    <t>Flekken</t>
  </si>
  <si>
    <t>Gross</t>
  </si>
  <si>
    <t>João Pedro</t>
  </si>
  <si>
    <t>Ferguson</t>
  </si>
  <si>
    <t>Mitoma</t>
  </si>
  <si>
    <t>Adingra</t>
  </si>
  <si>
    <t>Taylor</t>
  </si>
  <si>
    <t>Berge</t>
  </si>
  <si>
    <t>Brownhill</t>
  </si>
  <si>
    <t>Koleosho</t>
  </si>
  <si>
    <t>Trafford</t>
  </si>
  <si>
    <t>Amdouni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</si>
  <si>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</si>
  <si>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</si>
  <si>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</si>
  <si>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</si>
  <si>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</si>
  <si>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</si>
  <si>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</si>
  <si>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</si>
  <si>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N.Jackson</t>
  </si>
  <si>
    <t>Disasi</t>
  </si>
  <si>
    <t>Schlupp</t>
  </si>
  <si>
    <t>Ward</t>
  </si>
  <si>
    <t>J.Ayew</t>
  </si>
  <si>
    <t>Mitchell</t>
  </si>
  <si>
    <t>Eze</t>
  </si>
  <si>
    <t>Johnstone</t>
  </si>
  <si>
    <t>Mateta</t>
  </si>
  <si>
    <t>Edouard</t>
  </si>
  <si>
    <t>Lerma</t>
  </si>
  <si>
    <t>A.Doucoure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</si>
  <si>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</si>
  <si>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</si>
  <si>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</si>
  <si>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</si>
  <si>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</si>
  <si>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</si>
  <si>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</si>
  <si>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</si>
  <si>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Onana</t>
  </si>
  <si>
    <t>Raúl</t>
  </si>
  <si>
    <t>Cairney</t>
  </si>
  <si>
    <t>Iwobi</t>
  </si>
  <si>
    <t>Leno</t>
  </si>
  <si>
    <t>Ream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</si>
  <si>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</si>
  <si>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</si>
  <si>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</si>
  <si>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</si>
  <si>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</si>
  <si>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</si>
  <si>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</si>
  <si>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</si>
  <si>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</si>
  <si>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</si>
  <si>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</si>
  <si>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</si>
  <si>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</si>
  <si>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</si>
  <si>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</si>
  <si>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</si>
  <si>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Szoboszlai</t>
  </si>
  <si>
    <t>Gomez</t>
  </si>
  <si>
    <t>Kaminski</t>
  </si>
  <si>
    <t>Adebayo</t>
  </si>
  <si>
    <t>Ogbene</t>
  </si>
  <si>
    <t>Doughty</t>
  </si>
  <si>
    <t>Brown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</si>
  <si>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</si>
  <si>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</si>
  <si>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</si>
  <si>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</si>
  <si>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</si>
  <si>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</si>
  <si>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</si>
  <si>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</si>
  <si>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Akanji</t>
  </si>
  <si>
    <t>Gvardiol</t>
  </si>
  <si>
    <t>Eriksen</t>
  </si>
  <si>
    <t>Maguire</t>
  </si>
  <si>
    <t>Rashford</t>
  </si>
  <si>
    <t>McTominay</t>
  </si>
  <si>
    <t>Lindelof</t>
  </si>
  <si>
    <t>Martial</t>
  </si>
  <si>
    <t>Evans</t>
  </si>
  <si>
    <t>B.Fernandes</t>
  </si>
  <si>
    <t>Dalot</t>
  </si>
  <si>
    <t>Garnacho</t>
  </si>
  <si>
    <t>Lascelles</t>
  </si>
  <si>
    <t>Trippier</t>
  </si>
  <si>
    <t>Schär</t>
  </si>
  <si>
    <t>Longstaff</t>
  </si>
  <si>
    <t>Burn</t>
  </si>
  <si>
    <t>Joelinton</t>
  </si>
  <si>
    <t>Pope</t>
  </si>
  <si>
    <t>Gordon</t>
  </si>
  <si>
    <t>Bruno G.</t>
  </si>
  <si>
    <t>Almirón</t>
  </si>
  <si>
    <t>Isak</t>
  </si>
  <si>
    <t>Wood</t>
  </si>
  <si>
    <t>Gibbs-White</t>
  </si>
  <si>
    <t>Elanga</t>
  </si>
  <si>
    <t>Mangala</t>
  </si>
  <si>
    <t>Awoniyi</t>
  </si>
  <si>
    <t>Toffolo</t>
  </si>
  <si>
    <t>Turner</t>
  </si>
  <si>
    <t>Norwood</t>
  </si>
  <si>
    <t>Archer</t>
  </si>
  <si>
    <t>McAtee</t>
  </si>
  <si>
    <t>Foderingham</t>
  </si>
  <si>
    <t>Hamer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</si>
  <si>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</si>
  <si>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</si>
  <si>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</si>
  <si>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</si>
  <si>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</si>
  <si>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</si>
  <si>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</si>
  <si>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</si>
  <si>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Udogie</t>
  </si>
  <si>
    <t>Vicario</t>
  </si>
  <si>
    <t>Antonio</t>
  </si>
  <si>
    <t>Ward-Prowse</t>
  </si>
  <si>
    <t>Zouma</t>
  </si>
  <si>
    <t>Emerson</t>
  </si>
  <si>
    <t>Bowen</t>
  </si>
  <si>
    <t>Areola</t>
  </si>
  <si>
    <t>L.Paquetá</t>
  </si>
  <si>
    <t>Coufal</t>
  </si>
  <si>
    <t>Souček</t>
  </si>
  <si>
    <t>Kudus</t>
  </si>
  <si>
    <t>Lemina</t>
  </si>
  <si>
    <t>José Sá</t>
  </si>
  <si>
    <t>Toti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</si>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</sst>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4" totalsRowShown="0">
  <autoFilter ref="A1:F14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 totalsRowShown="0">
  <autoFilter ref="A1:F11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0" totalsRowShown="0">
  <autoFilter ref="A1:F10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 totalsRowShown="0">
  <autoFilter ref="A1:F10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6" totalsRowShown="0">
  <autoFilter ref="A1:F6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7" totalsRowShown="0">
  <autoFilter ref="A1:F7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11" totalsRowShown="0">
  <autoFilter ref="A1:F11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0" totalsRowShown="0">
  <autoFilter ref="A1:F10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3" totalsRowShown="0">
  <autoFilter ref="A1:F13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2" totalsRowShown="0">
  <autoFilter ref="A1:F12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6" totalsRowShown="0">
  <autoFilter ref="A1:F6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2" totalsRowShown="0">
  <autoFilter ref="A1:F12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3" totalsRowShown="0">
  <autoFilter ref="A1:F13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 totalsRowShown="0">
  <autoFilter ref="A1:F8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6" totalsRowShown="0">
  <autoFilter ref="A1:F6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1" totalsRowShown="0">
  <autoFilter ref="A1:F11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1" totalsRowShown="0">
  <autoFilter ref="A1:F11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6" totalsRowShown="0">
  <autoFilter ref="A1:F6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28.062216190846819</v>
      </c>
      <c r="C2">
        <v>27.986111111111111</v>
      </c>
      <c r="D2">
        <f>TableARS[[#This Row],[ARIMAPP]]*$I$2+TableARS[[#This Row],[LSTMPP]]*$I$3</f>
        <v>26.901818242792494</v>
      </c>
      <c r="E2">
        <v>38</v>
      </c>
      <c r="F2">
        <f>ABS(TableARS[[#This Row],[PP]]-TableARS[[#This Row],[AP]])</f>
        <v>11.098181757207506</v>
      </c>
      <c r="H2" t="s">
        <v>0</v>
      </c>
      <c r="I2">
        <v>0.50553623655837987</v>
      </c>
    </row>
    <row r="3" spans="1:9" x14ac:dyDescent="0.2">
      <c r="A3" t="s">
        <v>11</v>
      </c>
      <c r="B3">
        <v>40.839160839160819</v>
      </c>
      <c r="C3">
        <v>39.648265007142307</v>
      </c>
      <c r="D3">
        <f>TableARS[[#This Row],[ARIMAPP]]*$I$2+TableARS[[#This Row],[LSTMPP]]*$I$3</f>
        <v>38.659668661725831</v>
      </c>
      <c r="E3">
        <v>38</v>
      </c>
      <c r="F3">
        <f>ABS(TableARS[[#This Row],[PP]]-TableARS[[#This Row],[AP]])</f>
        <v>0.65966866172583138</v>
      </c>
      <c r="H3" t="s">
        <v>1</v>
      </c>
      <c r="I3">
        <v>0.454345051004099</v>
      </c>
    </row>
    <row r="4" spans="1:9" x14ac:dyDescent="0.2">
      <c r="A4" t="s">
        <v>12</v>
      </c>
      <c r="B4">
        <v>32.842105263157897</v>
      </c>
      <c r="C4">
        <v>30.723684210526311</v>
      </c>
      <c r="D4">
        <f>TableARS[[#This Row],[ARIMAPP]]*$I$2+TableARS[[#This Row],[LSTMPP]]*$I$3</f>
        <v>30.562028165056411</v>
      </c>
      <c r="E4">
        <v>45</v>
      </c>
      <c r="F4">
        <f>ABS(TableARS[[#This Row],[PP]]-TableARS[[#This Row],[AP]])</f>
        <v>14.437971834943589</v>
      </c>
    </row>
    <row r="5" spans="1:9" x14ac:dyDescent="0.2">
      <c r="A5" t="s">
        <v>13</v>
      </c>
      <c r="B5">
        <v>58.39476241884384</v>
      </c>
      <c r="C5">
        <v>40.070207258713722</v>
      </c>
      <c r="D5">
        <f>TableARS[[#This Row],[ARIMAPP]]*$I$2+TableARS[[#This Row],[LSTMPP]]*$I$3</f>
        <v>47.726368788648131</v>
      </c>
      <c r="E5">
        <v>45</v>
      </c>
      <c r="F5">
        <f>ABS(TableARS[[#This Row],[PP]]-TableARS[[#This Row],[AP]])</f>
        <v>2.7263687886481307</v>
      </c>
      <c r="H5" t="s">
        <v>2</v>
      </c>
      <c r="I5" cm="1">
        <f t="array" ref="I5">(SUM(TableARS[PP]-TableARS[AP]))^2</f>
        <v>7.8886090522101181E-27</v>
      </c>
    </row>
    <row r="6" spans="1:9" x14ac:dyDescent="0.2">
      <c r="A6" t="s">
        <v>14</v>
      </c>
      <c r="B6">
        <v>38.053024713339589</v>
      </c>
      <c r="C6">
        <v>40.785853905179707</v>
      </c>
      <c r="D6">
        <f>TableARS[[#This Row],[ARIMAPP]]*$I$2+TableARS[[#This Row],[LSTMPP]]*$I$3</f>
        <v>37.768033776039324</v>
      </c>
      <c r="E6">
        <v>30</v>
      </c>
      <c r="F6">
        <f>ABS(TableARS[[#This Row],[PP]]-TableARS[[#This Row],[AP]])</f>
        <v>7.7680337760393243</v>
      </c>
    </row>
    <row r="7" spans="1:9" x14ac:dyDescent="0.2">
      <c r="A7" t="s">
        <v>15</v>
      </c>
      <c r="B7">
        <v>32.127659574468083</v>
      </c>
      <c r="C7">
        <v>33.104044639705997</v>
      </c>
      <c r="D7">
        <f>TableARS[[#This Row],[ARIMAPP]]*$I$2+TableARS[[#This Row],[LSTMPP]]*$I$3</f>
        <v>31.282354960974587</v>
      </c>
      <c r="E7">
        <v>31</v>
      </c>
      <c r="F7">
        <f>ABS(TableARS[[#This Row],[PP]]-TableARS[[#This Row],[AP]])</f>
        <v>0.28235496097458679</v>
      </c>
      <c r="H7" t="s">
        <v>3</v>
      </c>
      <c r="I7">
        <f>AVERAGE(TableARS[DIFF])/10</f>
        <v>0.6798135643311134</v>
      </c>
    </row>
    <row r="8" spans="1:9" x14ac:dyDescent="0.2">
      <c r="A8" t="s">
        <v>16</v>
      </c>
      <c r="B8">
        <v>53.798230061853083</v>
      </c>
      <c r="C8">
        <v>43.852717555506018</v>
      </c>
      <c r="D8">
        <f>TableARS[[#This Row],[ARIMAPP]]*$I$2+TableARS[[#This Row],[LSTMPP]]*$I$3</f>
        <v>47.121219953395837</v>
      </c>
      <c r="E8">
        <v>54</v>
      </c>
      <c r="F8">
        <f>ABS(TableARS[[#This Row],[PP]]-TableARS[[#This Row],[AP]])</f>
        <v>6.8787800466041631</v>
      </c>
    </row>
    <row r="9" spans="1:9" x14ac:dyDescent="0.2">
      <c r="A9" t="s">
        <v>17</v>
      </c>
      <c r="B9">
        <v>42.539682539682531</v>
      </c>
      <c r="C9">
        <v>35.207983608046057</v>
      </c>
      <c r="D9">
        <f>TableARS[[#This Row],[ARIMAPP]]*$I$2+TableARS[[#This Row],[LSTMPP]]*$I$3</f>
        <v>37.501924123648493</v>
      </c>
      <c r="E9">
        <v>32</v>
      </c>
      <c r="F9">
        <f>ABS(TableARS[[#This Row],[PP]]-TableARS[[#This Row],[AP]])</f>
        <v>5.501924123648493</v>
      </c>
    </row>
    <row r="10" spans="1:9" x14ac:dyDescent="0.2">
      <c r="A10" t="s">
        <v>18</v>
      </c>
      <c r="B10">
        <v>42.082199552706747</v>
      </c>
      <c r="C10">
        <v>38.258487505376998</v>
      </c>
      <c r="D10">
        <f>TableARS[[#This Row],[ARIMAPP]]*$I$2+TableARS[[#This Row],[LSTMPP]]*$I$3</f>
        <v>38.656631244944307</v>
      </c>
      <c r="E10">
        <v>38</v>
      </c>
      <c r="F10">
        <f>ABS(TableARS[[#This Row],[PP]]-TableARS[[#This Row],[AP]])</f>
        <v>0.65663124494430747</v>
      </c>
    </row>
    <row r="11" spans="1:9" x14ac:dyDescent="0.2">
      <c r="A11" t="s">
        <v>19</v>
      </c>
      <c r="B11">
        <v>42.558139534883729</v>
      </c>
      <c r="C11">
        <v>34.411764705882362</v>
      </c>
      <c r="D11">
        <f>TableARS[[#This Row],[ARIMAPP]]*$I$2+TableARS[[#This Row],[LSTMPP]]*$I$3</f>
        <v>37.149496685826698</v>
      </c>
      <c r="E11">
        <v>31</v>
      </c>
      <c r="F11">
        <f>ABS(TableARS[[#This Row],[PP]]-TableARS[[#This Row],[AP]])</f>
        <v>6.1494966858266977</v>
      </c>
    </row>
    <row r="12" spans="1:9" x14ac:dyDescent="0.2">
      <c r="A12" t="s">
        <v>20</v>
      </c>
      <c r="B12">
        <v>51.749999999999993</v>
      </c>
      <c r="C12">
        <v>49.041808970024107</v>
      </c>
      <c r="D12">
        <f>TableARS[[#This Row],[ARIMAPP]]*$I$2+TableARS[[#This Row],[LSTMPP]]*$I$3</f>
        <v>48.443403439715034</v>
      </c>
      <c r="E12">
        <v>28</v>
      </c>
      <c r="F12">
        <f>ABS(TableARS[[#This Row],[PP]]-TableARS[[#This Row],[AP]])</f>
        <v>20.443403439715034</v>
      </c>
    </row>
    <row r="13" spans="1:9" x14ac:dyDescent="0.2">
      <c r="A13" t="s">
        <v>21</v>
      </c>
      <c r="B13">
        <v>25.142857142857139</v>
      </c>
      <c r="C13">
        <v>24.642857142857149</v>
      </c>
      <c r="D13">
        <f>TableARS[[#This Row],[ARIMAPP]]*$I$2+TableARS[[#This Row],[LSTMPP]]*$I$3</f>
        <v>23.906985561783134</v>
      </c>
      <c r="E13">
        <v>29</v>
      </c>
      <c r="F13">
        <f>ABS(TableARS[[#This Row],[PP]]-TableARS[[#This Row],[AP]])</f>
        <v>5.0930144382168656</v>
      </c>
    </row>
    <row r="14" spans="1:9" x14ac:dyDescent="0.2">
      <c r="A14" t="s">
        <v>22</v>
      </c>
      <c r="B14">
        <v>35.952380952380942</v>
      </c>
      <c r="C14">
        <v>33.333333333333329</v>
      </c>
      <c r="D14">
        <f>TableARS[[#This Row],[ARIMAPP]]*$I$2+TableARS[[#This Row],[LSTMPP]]*$I$3</f>
        <v>33.320066395449807</v>
      </c>
      <c r="E14">
        <v>40</v>
      </c>
      <c r="F14">
        <f>ABS(TableARS[[#This Row],[PP]]-TableARS[[#This Row],[AP]])</f>
        <v>6.6799336045501931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23</v>
      </c>
      <c r="B2">
        <v>27.696356021025359</v>
      </c>
      <c r="C2">
        <v>34.411491675103711</v>
      </c>
      <c r="D2">
        <f>TableAVL[[#This Row],[ARIMAPP]]*$I$2+TableAVL[[#This Row],[LSTMPP]]*$I$3</f>
        <v>33.790005143455339</v>
      </c>
      <c r="E2">
        <v>29</v>
      </c>
      <c r="F2">
        <f>ABS(TableAVL[[#This Row],[PP]]-TableAVL[[#This Row],[AP]])</f>
        <v>4.790005143455339</v>
      </c>
      <c r="H2" t="s">
        <v>0</v>
      </c>
      <c r="I2">
        <v>0.564641648682363</v>
      </c>
    </row>
    <row r="3" spans="1:9" x14ac:dyDescent="0.2">
      <c r="A3" t="s">
        <v>24</v>
      </c>
      <c r="B3">
        <v>32.894736842105253</v>
      </c>
      <c r="C3">
        <v>35.5179041912467</v>
      </c>
      <c r="D3">
        <f>TableAVL[[#This Row],[ARIMAPP]]*$I$2+TableAVL[[#This Row],[LSTMPP]]*$I$3</f>
        <v>37.308841644781467</v>
      </c>
      <c r="E3">
        <v>23</v>
      </c>
      <c r="F3">
        <f>ABS(TableAVL[[#This Row],[PP]]-TableAVL[[#This Row],[AP]])</f>
        <v>14.308841644781467</v>
      </c>
      <c r="H3" t="s">
        <v>1</v>
      </c>
      <c r="I3">
        <v>0.52748335319570783</v>
      </c>
    </row>
    <row r="4" spans="1:9" x14ac:dyDescent="0.2">
      <c r="A4" t="s">
        <v>25</v>
      </c>
      <c r="B4">
        <v>45.577644334229262</v>
      </c>
      <c r="C4">
        <v>27.053571428571431</v>
      </c>
      <c r="D4">
        <f>TableAVL[[#This Row],[ARIMAPP]]*$I$2+TableAVL[[#This Row],[LSTMPP]]*$I$3</f>
        <v>40.005344813000022</v>
      </c>
      <c r="E4">
        <v>50</v>
      </c>
      <c r="F4">
        <f>ABS(TableAVL[[#This Row],[PP]]-TableAVL[[#This Row],[AP]])</f>
        <v>9.994655186999978</v>
      </c>
    </row>
    <row r="5" spans="1:9" x14ac:dyDescent="0.2">
      <c r="A5" t="s">
        <v>26</v>
      </c>
      <c r="B5">
        <v>29.58092325977573</v>
      </c>
      <c r="C5">
        <v>29.398148148148149</v>
      </c>
      <c r="D5">
        <f>TableAVL[[#This Row],[ARIMAPP]]*$I$2+TableAVL[[#This Row],[LSTMPP]]*$I$3</f>
        <v>32.209655041875607</v>
      </c>
      <c r="E5">
        <v>44</v>
      </c>
      <c r="F5">
        <f>ABS(TableAVL[[#This Row],[PP]]-TableAVL[[#This Row],[AP]])</f>
        <v>11.790344958124393</v>
      </c>
      <c r="H5" t="s">
        <v>2</v>
      </c>
      <c r="I5" cm="1">
        <f t="array" ref="I5">(SUM(TableAVL[PP]-TableAVL[AP]))^2</f>
        <v>0</v>
      </c>
    </row>
    <row r="6" spans="1:9" x14ac:dyDescent="0.2">
      <c r="A6" t="s">
        <v>27</v>
      </c>
      <c r="B6">
        <v>28.461538461538439</v>
      </c>
      <c r="C6">
        <v>28.557692307692299</v>
      </c>
      <c r="D6">
        <f>TableAVL[[#This Row],[ARIMAPP]]*$I$2+TableAVL[[#This Row],[LSTMPP]]*$I$3</f>
        <v>31.134277298952355</v>
      </c>
      <c r="E6">
        <v>30</v>
      </c>
      <c r="F6">
        <f>ABS(TableAVL[[#This Row],[PP]]-TableAVL[[#This Row],[AP]])</f>
        <v>1.1342772989523553</v>
      </c>
    </row>
    <row r="7" spans="1:9" x14ac:dyDescent="0.2">
      <c r="A7" t="s">
        <v>28</v>
      </c>
      <c r="B7">
        <v>45.04504504504505</v>
      </c>
      <c r="C7">
        <v>41.69554162518466</v>
      </c>
      <c r="D7">
        <f>TableAVL[[#This Row],[ARIMAPP]]*$I$2+TableAVL[[#This Row],[LSTMPP]]*$I$3</f>
        <v>47.428012608969155</v>
      </c>
      <c r="E7">
        <v>51</v>
      </c>
      <c r="F7">
        <f>ABS(TableAVL[[#This Row],[PP]]-TableAVL[[#This Row],[AP]])</f>
        <v>3.5719873910308451</v>
      </c>
      <c r="H7" t="s">
        <v>3</v>
      </c>
      <c r="I7">
        <f>AVERAGE(TableAVL[DIFF])/10</f>
        <v>0.81549808941545443</v>
      </c>
    </row>
    <row r="8" spans="1:9" x14ac:dyDescent="0.2">
      <c r="A8" t="s">
        <v>29</v>
      </c>
      <c r="B8">
        <v>28.392857142857149</v>
      </c>
      <c r="C8">
        <v>28.409090909090899</v>
      </c>
      <c r="D8">
        <f>TableAVL[[#This Row],[ARIMAPP]]*$I$2+TableAVL[[#This Row],[LSTMPP]]*$I$3</f>
        <v>31.017112201914635</v>
      </c>
      <c r="E8">
        <v>41</v>
      </c>
      <c r="F8">
        <f>ABS(TableAVL[[#This Row],[PP]]-TableAVL[[#This Row],[AP]])</f>
        <v>9.9828877980853648</v>
      </c>
    </row>
    <row r="9" spans="1:9" x14ac:dyDescent="0.2">
      <c r="A9" t="s">
        <v>30</v>
      </c>
      <c r="B9">
        <v>34.261195438784263</v>
      </c>
      <c r="C9">
        <v>31.969696969696962</v>
      </c>
      <c r="D9">
        <f>TableAVL[[#This Row],[ARIMAPP]]*$I$2+TableAVL[[#This Row],[LSTMPP]]*$I$3</f>
        <v>36.208780836610217</v>
      </c>
      <c r="E9">
        <v>35</v>
      </c>
      <c r="F9">
        <f>ABS(TableAVL[[#This Row],[PP]]-TableAVL[[#This Row],[AP]])</f>
        <v>1.2087808366102166</v>
      </c>
    </row>
    <row r="10" spans="1:9" x14ac:dyDescent="0.2">
      <c r="A10" t="s">
        <v>31</v>
      </c>
      <c r="B10">
        <v>54.620543608639693</v>
      </c>
      <c r="C10">
        <v>44.535937692706831</v>
      </c>
      <c r="D10">
        <f>TableAVL[[#This Row],[ARIMAPP]]*$I$2+TableAVL[[#This Row],[LSTMPP]]*$I$3</f>
        <v>54.33299954697334</v>
      </c>
      <c r="E10">
        <v>35</v>
      </c>
      <c r="F10">
        <f>ABS(TableAVL[[#This Row],[PP]]-TableAVL[[#This Row],[AP]])</f>
        <v>19.33299954697334</v>
      </c>
    </row>
    <row r="11" spans="1:9" x14ac:dyDescent="0.2">
      <c r="A11" t="s">
        <v>32</v>
      </c>
      <c r="B11">
        <v>30</v>
      </c>
      <c r="C11">
        <v>31.518949938934789</v>
      </c>
      <c r="D11">
        <f>TableAVL[[#This Row],[ARIMAPP]]*$I$2+TableAVL[[#This Row],[LSTMPP]]*$I$3</f>
        <v>33.564970863467863</v>
      </c>
      <c r="E11">
        <v>39</v>
      </c>
      <c r="F11">
        <f>ABS(TableAVL[[#This Row],[PP]]-TableAVL[[#This Row],[AP]])</f>
        <v>5.4350291365321368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33</v>
      </c>
      <c r="B2">
        <v>26.084392509347019</v>
      </c>
      <c r="C2">
        <v>26.913580246913579</v>
      </c>
      <c r="D2">
        <f>TableBOU[[#This Row],[ARIMAPP]]*$I$2+TableBOU[[#This Row],[LSTMPP]]*$I$3</f>
        <v>33.9981866466713</v>
      </c>
      <c r="E2">
        <v>35</v>
      </c>
      <c r="F2">
        <f>ABS(TableBOU[[#This Row],[PP]]-TableBOU[[#This Row],[AP]])</f>
        <v>1.0018133533286999</v>
      </c>
      <c r="H2" t="s">
        <v>0</v>
      </c>
      <c r="I2">
        <v>0.63805975308460738</v>
      </c>
    </row>
    <row r="3" spans="1:9" x14ac:dyDescent="0.2">
      <c r="A3" t="s">
        <v>34</v>
      </c>
      <c r="B3">
        <v>17.34699994391336</v>
      </c>
      <c r="C3">
        <v>23.660714285714281</v>
      </c>
      <c r="D3">
        <f>TableBOU[[#This Row],[ARIMAPP]]*$I$2+TableBOU[[#This Row],[LSTMPP]]*$I$3</f>
        <v>26.325650259982638</v>
      </c>
      <c r="E3">
        <v>22</v>
      </c>
      <c r="F3">
        <f>ABS(TableBOU[[#This Row],[PP]]-TableBOU[[#This Row],[AP]])</f>
        <v>4.3256502599826376</v>
      </c>
      <c r="H3" t="s">
        <v>1</v>
      </c>
      <c r="I3">
        <v>0.64483377698459821</v>
      </c>
    </row>
    <row r="4" spans="1:9" x14ac:dyDescent="0.2">
      <c r="A4" t="s">
        <v>35</v>
      </c>
      <c r="B4">
        <v>39.25163536655279</v>
      </c>
      <c r="C4">
        <v>27.1875</v>
      </c>
      <c r="D4">
        <f>TableBOU[[#This Row],[ARIMAPP]]*$I$2+TableBOU[[#This Row],[LSTMPP]]*$I$3</f>
        <v>42.576307081918479</v>
      </c>
      <c r="E4">
        <v>59</v>
      </c>
      <c r="F4">
        <f>ABS(TableBOU[[#This Row],[PP]]-TableBOU[[#This Row],[AP]])</f>
        <v>16.423692918081521</v>
      </c>
    </row>
    <row r="5" spans="1:9" x14ac:dyDescent="0.2">
      <c r="A5" t="s">
        <v>36</v>
      </c>
      <c r="B5">
        <v>20.26315789473685</v>
      </c>
      <c r="C5">
        <v>24.333333333333329</v>
      </c>
      <c r="D5">
        <f>TableBOU[[#This Row],[ARIMAPP]]*$I$2+TableBOU[[#This Row],[LSTMPP]]*$I$3</f>
        <v>28.620060762988761</v>
      </c>
      <c r="E5">
        <v>25</v>
      </c>
      <c r="F5">
        <f>ABS(TableBOU[[#This Row],[PP]]-TableBOU[[#This Row],[AP]])</f>
        <v>3.6200607629887607</v>
      </c>
      <c r="H5" t="s">
        <v>2</v>
      </c>
      <c r="I5" cm="1">
        <f t="array" ref="I5">(SUM(TableBOU[PP]-TableBOU[AP]))^2</f>
        <v>3.1554436208840472E-28</v>
      </c>
    </row>
    <row r="6" spans="1:9" x14ac:dyDescent="0.2">
      <c r="A6" t="s">
        <v>37</v>
      </c>
      <c r="B6">
        <v>36.282413924160082</v>
      </c>
      <c r="C6">
        <v>33</v>
      </c>
      <c r="D6">
        <f>TableBOU[[#This Row],[ARIMAPP]]*$I$2+TableBOU[[#This Row],[LSTMPP]]*$I$3</f>
        <v>44.429862710254838</v>
      </c>
      <c r="E6">
        <v>41</v>
      </c>
      <c r="F6">
        <f>ABS(TableBOU[[#This Row],[PP]]-TableBOU[[#This Row],[AP]])</f>
        <v>3.429862710254838</v>
      </c>
    </row>
    <row r="7" spans="1:9" x14ac:dyDescent="0.2">
      <c r="A7" t="s">
        <v>38</v>
      </c>
      <c r="B7">
        <v>22.499243533451988</v>
      </c>
      <c r="C7">
        <v>26.607142857142851</v>
      </c>
      <c r="D7">
        <f>TableBOU[[#This Row],[ARIMAPP]]*$I$2+TableBOU[[#This Row],[LSTMPP]]*$I$3</f>
        <v>31.513046196885021</v>
      </c>
      <c r="E7">
        <v>43</v>
      </c>
      <c r="F7">
        <f>ABS(TableBOU[[#This Row],[PP]]-TableBOU[[#This Row],[AP]])</f>
        <v>11.486953803114979</v>
      </c>
      <c r="H7" t="s">
        <v>3</v>
      </c>
      <c r="I7">
        <f>AVERAGE(TableBOU[DIFF])/10</f>
        <v>0.64249911276722638</v>
      </c>
    </row>
    <row r="8" spans="1:9" x14ac:dyDescent="0.2">
      <c r="A8" t="s">
        <v>39</v>
      </c>
      <c r="B8">
        <v>34.876157456817637</v>
      </c>
      <c r="C8">
        <v>32.083333333333329</v>
      </c>
      <c r="D8">
        <f>TableBOU[[#This Row],[ARIMAPP]]*$I$2+TableBOU[[#This Row],[LSTMPP]]*$I$3</f>
        <v>42.941489427026141</v>
      </c>
      <c r="E8">
        <v>33</v>
      </c>
      <c r="F8">
        <f>ABS(TableBOU[[#This Row],[PP]]-TableBOU[[#This Row],[AP]])</f>
        <v>9.9414894270261414</v>
      </c>
    </row>
    <row r="9" spans="1:9" x14ac:dyDescent="0.2">
      <c r="A9" t="s">
        <v>40</v>
      </c>
      <c r="B9">
        <v>21.428571428571431</v>
      </c>
      <c r="C9">
        <v>24.274058578247988</v>
      </c>
      <c r="D9">
        <f>TableBOU[[#This Row],[ARIMAPP]]*$I$2+TableBOU[[#This Row],[LSTMPP]]*$I$3</f>
        <v>29.325441870427198</v>
      </c>
      <c r="E9">
        <v>28</v>
      </c>
      <c r="F9">
        <f>ABS(TableBOU[[#This Row],[PP]]-TableBOU[[#This Row],[AP]])</f>
        <v>1.3254418704271984</v>
      </c>
    </row>
    <row r="10" spans="1:9" x14ac:dyDescent="0.2">
      <c r="A10" t="s">
        <v>41</v>
      </c>
      <c r="B10">
        <v>20</v>
      </c>
      <c r="C10">
        <v>22.5</v>
      </c>
      <c r="D10">
        <f>TableBOU[[#This Row],[ARIMAPP]]*$I$2+TableBOU[[#This Row],[LSTMPP]]*$I$3</f>
        <v>27.269955043845606</v>
      </c>
      <c r="E10">
        <v>21</v>
      </c>
      <c r="F10">
        <f>ABS(TableBOU[[#This Row],[PP]]-TableBOU[[#This Row],[AP]])</f>
        <v>6.2699550438456058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42</v>
      </c>
      <c r="B2">
        <v>14.8133931206638</v>
      </c>
      <c r="C2">
        <v>30.873786407766989</v>
      </c>
      <c r="D2">
        <f>TableBRE[[#This Row],[ARIMAPP]]*$I$2+TableBRE[[#This Row],[LSTMPP]]*$I$3</f>
        <v>26.264002754251571</v>
      </c>
      <c r="E2">
        <v>30</v>
      </c>
      <c r="F2">
        <f>ABS(TableBRE[[#This Row],[PP]]-TableBRE[[#This Row],[AP]])</f>
        <v>3.735997245748429</v>
      </c>
      <c r="H2" t="s">
        <v>0</v>
      </c>
      <c r="I2">
        <v>0.56667698904778352</v>
      </c>
    </row>
    <row r="3" spans="1:9" x14ac:dyDescent="0.2">
      <c r="A3" t="s">
        <v>43</v>
      </c>
      <c r="B3">
        <v>30.50847457627118</v>
      </c>
      <c r="C3">
        <v>31.730602893037819</v>
      </c>
      <c r="D3">
        <f>TableBRE[[#This Row],[ARIMAPP]]*$I$2+TableBRE[[#This Row],[LSTMPP]]*$I$3</f>
        <v>35.653965368930344</v>
      </c>
      <c r="E3">
        <v>24</v>
      </c>
      <c r="F3">
        <f>ABS(TableBRE[[#This Row],[PP]]-TableBRE[[#This Row],[AP]])</f>
        <v>11.653965368930344</v>
      </c>
      <c r="H3" t="s">
        <v>1</v>
      </c>
      <c r="I3">
        <v>0.57879501746365536</v>
      </c>
    </row>
    <row r="4" spans="1:9" x14ac:dyDescent="0.2">
      <c r="A4" t="s">
        <v>44</v>
      </c>
      <c r="B4">
        <v>31.692307692307718</v>
      </c>
      <c r="C4">
        <v>29.13461538461539</v>
      </c>
      <c r="D4">
        <f>TableBRE[[#This Row],[ARIMAPP]]*$I$2+TableBRE[[#This Row],[LSTMPP]]*$I$3</f>
        <v>34.822271719388191</v>
      </c>
      <c r="E4">
        <v>33</v>
      </c>
      <c r="F4">
        <f>ABS(TableBRE[[#This Row],[PP]]-TableBRE[[#This Row],[AP]])</f>
        <v>1.8222717193881905</v>
      </c>
    </row>
    <row r="5" spans="1:9" x14ac:dyDescent="0.2">
      <c r="A5" t="s">
        <v>45</v>
      </c>
      <c r="B5">
        <v>26.85714285714284</v>
      </c>
      <c r="C5">
        <v>26.964285714285719</v>
      </c>
      <c r="D5">
        <f>TableBRE[[#This Row],[ARIMAPP]]*$I$2+TableBRE[[#This Row],[LSTMPP]]*$I$3</f>
        <v>30.826119069606886</v>
      </c>
      <c r="E5">
        <v>23</v>
      </c>
      <c r="F5">
        <f>ABS(TableBRE[[#This Row],[PP]]-TableBRE[[#This Row],[AP]])</f>
        <v>7.8261190696068859</v>
      </c>
      <c r="H5" t="s">
        <v>2</v>
      </c>
      <c r="I5" cm="1">
        <f t="array" ref="I5">(SUM(TableBRE[PP]-TableBRE[AP]))^2</f>
        <v>1.5272347125078789E-27</v>
      </c>
    </row>
    <row r="6" spans="1:9" x14ac:dyDescent="0.2">
      <c r="A6" t="s">
        <v>46</v>
      </c>
      <c r="B6">
        <v>38.799999999999983</v>
      </c>
      <c r="C6">
        <v>33.946341614795557</v>
      </c>
      <c r="D6">
        <f>TableBRE[[#This Row],[ARIMAPP]]*$I$2+TableBRE[[#This Row],[LSTMPP]]*$I$3</f>
        <v>41.635040562816798</v>
      </c>
      <c r="E6">
        <v>52</v>
      </c>
      <c r="F6">
        <f>ABS(TableBRE[[#This Row],[PP]]-TableBRE[[#This Row],[AP]])</f>
        <v>10.364959437183202</v>
      </c>
    </row>
    <row r="7" spans="1:9" x14ac:dyDescent="0.2">
      <c r="A7" t="s">
        <v>47</v>
      </c>
      <c r="B7">
        <v>30.778512164030829</v>
      </c>
      <c r="C7">
        <v>28.482142857142851</v>
      </c>
      <c r="D7">
        <f>TableBRE[[#This Row],[ARIMAPP]]*$I$2+TableBRE[[#This Row],[LSTMPP]]*$I$3</f>
        <v>33.926796972885896</v>
      </c>
      <c r="E7">
        <v>27</v>
      </c>
      <c r="F7">
        <f>ABS(TableBRE[[#This Row],[PP]]-TableBRE[[#This Row],[AP]])</f>
        <v>6.9267969728858958</v>
      </c>
      <c r="H7" t="s">
        <v>3</v>
      </c>
      <c r="I7">
        <f>AVERAGE(TableBRE[DIFF])/10</f>
        <v>0.72587909352120017</v>
      </c>
    </row>
    <row r="8" spans="1:9" x14ac:dyDescent="0.2">
      <c r="A8" t="s">
        <v>48</v>
      </c>
      <c r="B8">
        <v>33.622288381029179</v>
      </c>
      <c r="C8">
        <v>26.53846153846154</v>
      </c>
      <c r="D8">
        <f>TableBRE[[#This Row],[ARIMAPP]]*$I$2+TableBRE[[#This Row],[LSTMPP]]*$I$3</f>
        <v>34.413306454270284</v>
      </c>
      <c r="E8">
        <v>51</v>
      </c>
      <c r="F8">
        <f>ABS(TableBRE[[#This Row],[PP]]-TableBRE[[#This Row],[AP]])</f>
        <v>16.586693545729716</v>
      </c>
    </row>
    <row r="9" spans="1:9" x14ac:dyDescent="0.2">
      <c r="A9" t="s">
        <v>49</v>
      </c>
      <c r="B9">
        <v>23.69565217391305</v>
      </c>
      <c r="C9">
        <v>26.944444444444439</v>
      </c>
      <c r="D9">
        <f>TableBRE[[#This Row],[ARIMAPP]]*$I$2+TableBRE[[#This Row],[LSTMPP]]*$I$3</f>
        <v>29.023091020207325</v>
      </c>
      <c r="E9">
        <v>31</v>
      </c>
      <c r="F9">
        <f>ABS(TableBRE[[#This Row],[PP]]-TableBRE[[#This Row],[AP]])</f>
        <v>1.9769089797926753</v>
      </c>
    </row>
    <row r="10" spans="1:9" x14ac:dyDescent="0.2">
      <c r="A10" t="s">
        <v>50</v>
      </c>
      <c r="B10">
        <v>28.333333333333339</v>
      </c>
      <c r="C10">
        <v>30.027138330909111</v>
      </c>
      <c r="D10">
        <f>TableBRE[[#This Row],[ARIMAPP]]*$I$2+TableBRE[[#This Row],[LSTMPP]]*$I$3</f>
        <v>33.435406077642668</v>
      </c>
      <c r="E10">
        <v>29</v>
      </c>
      <c r="F10">
        <f>ABS(TableBRE[[#This Row],[PP]]-TableBRE[[#This Row],[AP]])</f>
        <v>4.4354060776426678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51</v>
      </c>
      <c r="B2">
        <v>34.437086092715248</v>
      </c>
      <c r="C2">
        <v>33.125516958289587</v>
      </c>
      <c r="D2">
        <f>TableBHA[[#This Row],[ARIMAPP]]*$I$2+TableBHA[[#This Row],[LSTMPP]]*$I$3</f>
        <v>32.768424675584335</v>
      </c>
      <c r="E2">
        <v>49</v>
      </c>
      <c r="F2">
        <f>ABS(TableBHA[[#This Row],[PP]]-TableBHA[[#This Row],[AP]])</f>
        <v>16.231575324415665</v>
      </c>
      <c r="H2" t="s">
        <v>0</v>
      </c>
      <c r="I2">
        <v>0.49477282327323757</v>
      </c>
    </row>
    <row r="3" spans="1:9" x14ac:dyDescent="0.2">
      <c r="A3" t="s">
        <v>52</v>
      </c>
      <c r="B3">
        <v>22.368421052631589</v>
      </c>
      <c r="C3">
        <v>24.833333333333339</v>
      </c>
      <c r="D3">
        <f>TableBHA[[#This Row],[ARIMAPP]]*$I$2+TableBHA[[#This Row],[LSTMPP]]*$I$3</f>
        <v>22.859574069281688</v>
      </c>
      <c r="E3">
        <v>29</v>
      </c>
      <c r="F3">
        <f>ABS(TableBHA[[#This Row],[PP]]-TableBHA[[#This Row],[AP]])</f>
        <v>6.1404259307183118</v>
      </c>
      <c r="H3" t="s">
        <v>1</v>
      </c>
      <c r="I3">
        <v>0.47485720400966291</v>
      </c>
    </row>
    <row r="4" spans="1:9" x14ac:dyDescent="0.2">
      <c r="A4" t="s">
        <v>53</v>
      </c>
      <c r="B4">
        <v>33.043478260869563</v>
      </c>
      <c r="C4">
        <v>29.719487443072168</v>
      </c>
      <c r="D4">
        <f>TableBHA[[#This Row],[ARIMAPP]]*$I$2+TableBHA[[#This Row],[LSTMPP]]*$I$3</f>
        <v>30.46152774171582</v>
      </c>
      <c r="E4">
        <v>25</v>
      </c>
      <c r="F4">
        <f>ABS(TableBHA[[#This Row],[PP]]-TableBHA[[#This Row],[AP]])</f>
        <v>5.4615277417158197</v>
      </c>
    </row>
    <row r="5" spans="1:9" x14ac:dyDescent="0.2">
      <c r="A5" t="s">
        <v>54</v>
      </c>
      <c r="B5">
        <v>44.571428571428562</v>
      </c>
      <c r="C5">
        <v>42.865948612598572</v>
      </c>
      <c r="D5">
        <f>TableBHA[[#This Row],[ARIMAPP]]*$I$2+TableBHA[[#This Row],[LSTMPP]]*$I$3</f>
        <v>42.407936057007603</v>
      </c>
      <c r="E5">
        <v>23</v>
      </c>
      <c r="F5">
        <f>ABS(TableBHA[[#This Row],[PP]]-TableBHA[[#This Row],[AP]])</f>
        <v>19.407936057007603</v>
      </c>
      <c r="H5" t="s">
        <v>2</v>
      </c>
      <c r="I5" cm="1">
        <f t="array" ref="I5">(SUM(TableBHA[PP]-TableBHA[AP]))^2</f>
        <v>5.0487097934144756E-29</v>
      </c>
    </row>
    <row r="6" spans="1:9" x14ac:dyDescent="0.2">
      <c r="A6" t="s">
        <v>55</v>
      </c>
      <c r="B6">
        <v>32.857142857142847</v>
      </c>
      <c r="C6">
        <v>30</v>
      </c>
      <c r="D6">
        <f>TableBHA[[#This Row],[ARIMAPP]]*$I$2+TableBHA[[#This Row],[LSTMPP]]*$I$3</f>
        <v>30.502537456410547</v>
      </c>
      <c r="E6">
        <v>33</v>
      </c>
      <c r="F6">
        <f>ABS(TableBHA[[#This Row],[PP]]-TableBHA[[#This Row],[AP]])</f>
        <v>2.4974625435894531</v>
      </c>
    </row>
    <row r="7" spans="1:9" x14ac:dyDescent="0.2">
      <c r="H7" t="s">
        <v>3</v>
      </c>
      <c r="I7">
        <f>AVERAGE(TableBHA[DIFF])/10</f>
        <v>0.99477855194893683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56</v>
      </c>
      <c r="B2">
        <v>27.166666666666671</v>
      </c>
      <c r="C2">
        <v>28.229166666666671</v>
      </c>
      <c r="D2">
        <f>TableBUR[[#This Row],[ARIMAPP]]*$I$2+TableBUR[[#This Row],[LSTMPP]]*$I$3</f>
        <v>31.423495741302208</v>
      </c>
      <c r="E2">
        <v>28</v>
      </c>
      <c r="F2">
        <f>ABS(TableBUR[[#This Row],[PP]]-TableBUR[[#This Row],[AP]])</f>
        <v>3.423495741302208</v>
      </c>
      <c r="H2" t="s">
        <v>0</v>
      </c>
      <c r="I2">
        <v>0.5391142071042665</v>
      </c>
    </row>
    <row r="3" spans="1:9" x14ac:dyDescent="0.2">
      <c r="A3" t="s">
        <v>57</v>
      </c>
      <c r="B3">
        <v>23.714285714285701</v>
      </c>
      <c r="C3">
        <v>27.321428571428569</v>
      </c>
      <c r="D3">
        <f>TableBUR[[#This Row],[ARIMAPP]]*$I$2+TableBUR[[#This Row],[LSTMPP]]*$I$3</f>
        <v>29.022768307789541</v>
      </c>
      <c r="E3">
        <v>25</v>
      </c>
      <c r="F3">
        <f>ABS(TableBUR[[#This Row],[PP]]-TableBUR[[#This Row],[AP]])</f>
        <v>4.0227683077895406</v>
      </c>
      <c r="H3" t="s">
        <v>1</v>
      </c>
      <c r="I3">
        <v>0.5943342210468946</v>
      </c>
    </row>
    <row r="4" spans="1:9" x14ac:dyDescent="0.2">
      <c r="A4" t="s">
        <v>58</v>
      </c>
      <c r="B4">
        <v>23.506493506493509</v>
      </c>
      <c r="C4">
        <v>25.57377049180328</v>
      </c>
      <c r="D4">
        <f>TableBUR[[#This Row],[ARIMAPP]]*$I$2+TableBUR[[#This Row],[LSTMPP]]*$I$3</f>
        <v>27.872051573032799</v>
      </c>
      <c r="E4">
        <v>30</v>
      </c>
      <c r="F4">
        <f>ABS(TableBUR[[#This Row],[PP]]-TableBUR[[#This Row],[AP]])</f>
        <v>2.1279484269672011</v>
      </c>
    </row>
    <row r="5" spans="1:9" x14ac:dyDescent="0.2">
      <c r="A5" t="s">
        <v>59</v>
      </c>
      <c r="B5">
        <v>27.5</v>
      </c>
      <c r="C5">
        <v>28.333333333333329</v>
      </c>
      <c r="D5">
        <f>TableBUR[[#This Row],[ARIMAPP]]*$I$2+TableBUR[[#This Row],[LSTMPP]]*$I$3</f>
        <v>31.665110291696003</v>
      </c>
      <c r="E5">
        <v>28</v>
      </c>
      <c r="F5">
        <f>ABS(TableBUR[[#This Row],[PP]]-TableBUR[[#This Row],[AP]])</f>
        <v>3.6651102916960028</v>
      </c>
      <c r="H5" t="s">
        <v>2</v>
      </c>
      <c r="I5" cm="1">
        <f t="array" ref="I5">(SUM(TableBUR[PP]-TableBUR[AP]))^2</f>
        <v>0</v>
      </c>
    </row>
    <row r="6" spans="1:9" x14ac:dyDescent="0.2">
      <c r="A6" t="s">
        <v>60</v>
      </c>
      <c r="B6">
        <v>17.142857142857149</v>
      </c>
      <c r="C6">
        <v>23</v>
      </c>
      <c r="D6">
        <f>TableBUR[[#This Row],[ARIMAPP]]*$I$2+TableBUR[[#This Row],[LSTMPP]]*$I$3</f>
        <v>22.911644920151719</v>
      </c>
      <c r="E6">
        <v>37</v>
      </c>
      <c r="F6">
        <f>ABS(TableBUR[[#This Row],[PP]]-TableBUR[[#This Row],[AP]])</f>
        <v>14.088355079848281</v>
      </c>
    </row>
    <row r="7" spans="1:9" x14ac:dyDescent="0.2">
      <c r="A7" t="s">
        <v>61</v>
      </c>
      <c r="B7">
        <v>28.33333333333335</v>
      </c>
      <c r="C7">
        <v>30</v>
      </c>
      <c r="D7">
        <f>TableBUR[[#This Row],[ARIMAPP]]*$I$2+TableBUR[[#This Row],[LSTMPP]]*$I$3</f>
        <v>33.104929166027731</v>
      </c>
      <c r="E7">
        <v>28</v>
      </c>
      <c r="F7">
        <f>ABS(TableBUR[[#This Row],[PP]]-TableBUR[[#This Row],[AP]])</f>
        <v>5.1049291660277305</v>
      </c>
      <c r="H7" t="s">
        <v>3</v>
      </c>
      <c r="I7">
        <f>AVERAGE(TableBUR[DIFF])/10</f>
        <v>0.54054345022718275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62</v>
      </c>
      <c r="B2">
        <v>46.540181708881441</v>
      </c>
      <c r="C2">
        <v>58.761022735024142</v>
      </c>
      <c r="D2">
        <f>TableCHE[[#This Row],[ARIMAPP]]*$I$2+TableCHE[[#This Row],[LSTMPP]]*$I$3</f>
        <v>53.704860811008473</v>
      </c>
      <c r="E2">
        <v>36</v>
      </c>
      <c r="F2">
        <f>ABS(TableCHE[[#This Row],[PP]]-TableCHE[[#This Row],[AP]])</f>
        <v>17.704860811008473</v>
      </c>
      <c r="H2" t="s">
        <v>0</v>
      </c>
      <c r="I2">
        <v>0.53267284626009626</v>
      </c>
    </row>
    <row r="3" spans="1:9" x14ac:dyDescent="0.2">
      <c r="A3" t="s">
        <v>63</v>
      </c>
      <c r="B3">
        <v>28.284544337454719</v>
      </c>
      <c r="C3">
        <v>28.812500000000011</v>
      </c>
      <c r="D3">
        <f>TableCHE[[#This Row],[ARIMAPP]]*$I$2+TableCHE[[#This Row],[LSTMPP]]*$I$3</f>
        <v>29.24399580584582</v>
      </c>
      <c r="E3">
        <v>34</v>
      </c>
      <c r="F3">
        <f>ABS(TableCHE[[#This Row],[PP]]-TableCHE[[#This Row],[AP]])</f>
        <v>4.7560041941541797</v>
      </c>
      <c r="H3" t="s">
        <v>1</v>
      </c>
      <c r="I3">
        <v>0.49206375942538549</v>
      </c>
    </row>
    <row r="4" spans="1:9" x14ac:dyDescent="0.2">
      <c r="A4" t="s">
        <v>64</v>
      </c>
      <c r="B4">
        <v>35.730337078651672</v>
      </c>
      <c r="C4">
        <v>32.271872130428712</v>
      </c>
      <c r="D4">
        <f>TableCHE[[#This Row],[ARIMAPP]]*$I$2+TableCHE[[#This Row],[LSTMPP]]*$I$3</f>
        <v>34.912399073712116</v>
      </c>
      <c r="E4">
        <v>33</v>
      </c>
      <c r="F4">
        <f>ABS(TableCHE[[#This Row],[PP]]-TableCHE[[#This Row],[AP]])</f>
        <v>1.9123990737121161</v>
      </c>
    </row>
    <row r="5" spans="1:9" x14ac:dyDescent="0.2">
      <c r="A5" t="s">
        <v>65</v>
      </c>
      <c r="B5">
        <v>47.327410169784628</v>
      </c>
      <c r="C5">
        <v>18.888888888888889</v>
      </c>
      <c r="D5">
        <f>TableCHE[[#This Row],[ARIMAPP]]*$I$2+TableCHE[[#This Row],[LSTMPP]]*$I$3</f>
        <v>34.504563959293264</v>
      </c>
      <c r="E5">
        <v>53</v>
      </c>
      <c r="F5">
        <f>ABS(TableCHE[[#This Row],[PP]]-TableCHE[[#This Row],[AP]])</f>
        <v>18.495436040706736</v>
      </c>
      <c r="H5" t="s">
        <v>2</v>
      </c>
      <c r="I5" cm="1">
        <f t="array" ref="I5">(SUM(TableCHE[PP]-TableCHE[AP]))^2</f>
        <v>2.0194839173657902E-28</v>
      </c>
    </row>
    <row r="6" spans="1:9" x14ac:dyDescent="0.2">
      <c r="A6" t="s">
        <v>66</v>
      </c>
      <c r="B6">
        <v>35.483870967741922</v>
      </c>
      <c r="C6">
        <v>33.24774901398515</v>
      </c>
      <c r="D6">
        <f>TableCHE[[#This Row],[ARIMAPP]]*$I$2+TableCHE[[#This Row],[LSTMPP]]*$I$3</f>
        <v>35.261306916966277</v>
      </c>
      <c r="E6">
        <v>22</v>
      </c>
      <c r="F6">
        <f>ABS(TableCHE[[#This Row],[PP]]-TableCHE[[#This Row],[AP]])</f>
        <v>13.261306916966277</v>
      </c>
    </row>
    <row r="7" spans="1:9" x14ac:dyDescent="0.2">
      <c r="A7" t="s">
        <v>67</v>
      </c>
      <c r="B7">
        <v>30.869565217391301</v>
      </c>
      <c r="C7">
        <v>26.835705050746739</v>
      </c>
      <c r="D7">
        <f>TableCHE[[#This Row],[ARIMAPP]]*$I$2+TableCHE[[#This Row],[LSTMPP]]*$I$3</f>
        <v>29.648257081260738</v>
      </c>
      <c r="E7">
        <v>21</v>
      </c>
      <c r="F7">
        <f>ABS(TableCHE[[#This Row],[PP]]-TableCHE[[#This Row],[AP]])</f>
        <v>8.6482570812607378</v>
      </c>
      <c r="H7" t="s">
        <v>3</v>
      </c>
      <c r="I7">
        <f>AVERAGE(TableCHE[DIFF])/10</f>
        <v>1.1372762924561537</v>
      </c>
    </row>
    <row r="8" spans="1:9" x14ac:dyDescent="0.2">
      <c r="A8" t="s">
        <v>68</v>
      </c>
      <c r="B8">
        <v>19.473684210526329</v>
      </c>
      <c r="C8">
        <v>23.333333333333329</v>
      </c>
      <c r="D8">
        <f>TableCHE[[#This Row],[ARIMAPP]]*$I$2+TableCHE[[#This Row],[LSTMPP]]*$I$3</f>
        <v>21.854590515517017</v>
      </c>
      <c r="E8">
        <v>32</v>
      </c>
      <c r="F8">
        <f>ABS(TableCHE[[#This Row],[PP]]-TableCHE[[#This Row],[AP]])</f>
        <v>10.145409484482983</v>
      </c>
    </row>
    <row r="9" spans="1:9" x14ac:dyDescent="0.2">
      <c r="A9" t="s">
        <v>69</v>
      </c>
      <c r="B9">
        <v>23.18181818181818</v>
      </c>
      <c r="C9">
        <v>26.764705882352938</v>
      </c>
      <c r="D9">
        <f>TableCHE[[#This Row],[ARIMAPP]]*$I$2+TableCHE[[#This Row],[LSTMPP]]*$I$3</f>
        <v>25.518266868778454</v>
      </c>
      <c r="E9">
        <v>33</v>
      </c>
      <c r="F9">
        <f>ABS(TableCHE[[#This Row],[PP]]-TableCHE[[#This Row],[AP]])</f>
        <v>7.4817331312215458</v>
      </c>
    </row>
    <row r="10" spans="1:9" x14ac:dyDescent="0.2">
      <c r="A10" t="s">
        <v>70</v>
      </c>
      <c r="B10">
        <v>25.714285714285712</v>
      </c>
      <c r="C10">
        <v>23</v>
      </c>
      <c r="D10">
        <f>TableCHE[[#This Row],[ARIMAPP]]*$I$2+TableCHE[[#This Row],[LSTMPP]]*$I$3</f>
        <v>25.01476822775777</v>
      </c>
      <c r="E10">
        <v>41</v>
      </c>
      <c r="F10">
        <f>ABS(TableCHE[[#This Row],[PP]]-TableCHE[[#This Row],[AP]])</f>
        <v>15.98523177224223</v>
      </c>
    </row>
    <row r="11" spans="1:9" x14ac:dyDescent="0.2">
      <c r="A11" t="s">
        <v>71</v>
      </c>
      <c r="B11">
        <v>39.639263214219788</v>
      </c>
      <c r="C11">
        <v>35</v>
      </c>
      <c r="D11">
        <f>TableCHE[[#This Row],[ARIMAPP]]*$I$2+TableCHE[[#This Row],[LSTMPP]]*$I$3</f>
        <v>38.336990739860084</v>
      </c>
      <c r="E11">
        <v>23</v>
      </c>
      <c r="F11">
        <f>ABS(TableCHE[[#This Row],[PP]]-TableCHE[[#This Row],[AP]])</f>
        <v>15.336990739860084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72</v>
      </c>
      <c r="B2">
        <v>26.71428571428569</v>
      </c>
      <c r="C2">
        <v>28.482142857142851</v>
      </c>
      <c r="D2">
        <f>TableCRY[[#This Row],[ARIMAPP]]*$I$2+TableCRY[[#This Row],[LSTMPP]]*$I$3</f>
        <v>27.523452996791143</v>
      </c>
      <c r="E2">
        <v>30</v>
      </c>
      <c r="F2">
        <f>ABS(TableCRY[[#This Row],[PP]]-TableCRY[[#This Row],[AP]])</f>
        <v>2.4765470032088572</v>
      </c>
      <c r="H2" t="s">
        <v>0</v>
      </c>
      <c r="I2">
        <v>0.49590934585794755</v>
      </c>
    </row>
    <row r="3" spans="1:9" x14ac:dyDescent="0.2">
      <c r="A3" t="s">
        <v>73</v>
      </c>
      <c r="B3">
        <v>23.067391592793879</v>
      </c>
      <c r="C3">
        <v>27.57731958762886</v>
      </c>
      <c r="D3">
        <f>TableCRY[[#This Row],[ARIMAPP]]*$I$2+TableCRY[[#This Row],[LSTMPP]]*$I$3</f>
        <v>25.261415925155092</v>
      </c>
      <c r="E3">
        <v>20</v>
      </c>
      <c r="F3">
        <f>ABS(TableCRY[[#This Row],[PP]]-TableCRY[[#This Row],[AP]])</f>
        <v>5.2614159251550916</v>
      </c>
      <c r="H3" t="s">
        <v>1</v>
      </c>
      <c r="I3">
        <v>0.50121190370960211</v>
      </c>
    </row>
    <row r="4" spans="1:9" x14ac:dyDescent="0.2">
      <c r="A4" t="s">
        <v>74</v>
      </c>
      <c r="B4">
        <v>27.288923318956218</v>
      </c>
      <c r="C4">
        <v>28.6328125</v>
      </c>
      <c r="D4">
        <f>TableCRY[[#This Row],[ARIMAPP]]*$I$2+TableCRY[[#This Row],[LSTMPP]]*$I$3</f>
        <v>27.88393857395636</v>
      </c>
      <c r="E4">
        <v>30</v>
      </c>
      <c r="F4">
        <f>ABS(TableCRY[[#This Row],[PP]]-TableCRY[[#This Row],[AP]])</f>
        <v>2.1160614260436397</v>
      </c>
    </row>
    <row r="5" spans="1:9" x14ac:dyDescent="0.2">
      <c r="A5" t="s">
        <v>75</v>
      </c>
      <c r="B5">
        <v>27.272067518623501</v>
      </c>
      <c r="C5">
        <v>28.961038961038959</v>
      </c>
      <c r="D5">
        <f>TableCRY[[#This Row],[ARIMAPP]]*$I$2+TableCRY[[#This Row],[LSTMPP]]*$I$3</f>
        <v>28.040090634424654</v>
      </c>
      <c r="E5">
        <v>28</v>
      </c>
      <c r="F5">
        <f>ABS(TableCRY[[#This Row],[PP]]-TableCRY[[#This Row],[AP]])</f>
        <v>4.0090634424654326E-2</v>
      </c>
      <c r="H5" t="s">
        <v>2</v>
      </c>
      <c r="I5" cm="1">
        <f t="array" ref="I5">(SUM(TableCRY[PP]-TableCRY[AP]))^2</f>
        <v>1.0223637331664313E-27</v>
      </c>
    </row>
    <row r="6" spans="1:9" x14ac:dyDescent="0.2">
      <c r="A6" t="s">
        <v>76</v>
      </c>
      <c r="B6">
        <v>36.463414634146339</v>
      </c>
      <c r="C6">
        <v>31.30769230769231</v>
      </c>
      <c r="D6">
        <f>TableCRY[[#This Row],[ARIMAPP]]*$I$2+TableCRY[[#This Row],[LSTMPP]]*$I$3</f>
        <v>33.774336161259555</v>
      </c>
      <c r="E6">
        <v>33</v>
      </c>
      <c r="F6">
        <f>ABS(TableCRY[[#This Row],[PP]]-TableCRY[[#This Row],[AP]])</f>
        <v>0.77433616125955496</v>
      </c>
    </row>
    <row r="7" spans="1:9" x14ac:dyDescent="0.2">
      <c r="A7" t="s">
        <v>77</v>
      </c>
      <c r="B7">
        <v>36.470588235294123</v>
      </c>
      <c r="C7">
        <v>33.625</v>
      </c>
      <c r="D7">
        <f>TableCRY[[#This Row],[ARIMAPP]]*$I$2+TableCRY[[#This Row],[LSTMPP]]*$I$3</f>
        <v>34.939355817054633</v>
      </c>
      <c r="E7">
        <v>36</v>
      </c>
      <c r="F7">
        <f>ABS(TableCRY[[#This Row],[PP]]-TableCRY[[#This Row],[AP]])</f>
        <v>1.0606441829453672</v>
      </c>
      <c r="H7" t="s">
        <v>3</v>
      </c>
      <c r="I7">
        <f>AVERAGE(TableCRY[DIFF])/10</f>
        <v>0.23362474792922244</v>
      </c>
    </row>
    <row r="8" spans="1:9" x14ac:dyDescent="0.2">
      <c r="A8" t="s">
        <v>78</v>
      </c>
      <c r="B8">
        <v>21.5</v>
      </c>
      <c r="C8">
        <v>24.895833333333329</v>
      </c>
      <c r="D8">
        <f>TableCRY[[#This Row],[ARIMAPP]]*$I$2+TableCRY[[#This Row],[LSTMPP]]*$I$3</f>
        <v>23.140138955382838</v>
      </c>
      <c r="E8">
        <v>28</v>
      </c>
      <c r="F8">
        <f>ABS(TableCRY[[#This Row],[PP]]-TableCRY[[#This Row],[AP]])</f>
        <v>4.859861044617162</v>
      </c>
    </row>
    <row r="9" spans="1:9" x14ac:dyDescent="0.2">
      <c r="A9" t="s">
        <v>79</v>
      </c>
      <c r="B9">
        <v>30.151515151515159</v>
      </c>
      <c r="C9">
        <v>28.36538461538461</v>
      </c>
      <c r="D9">
        <f>TableCRY[[#This Row],[ARIMAPP]]*$I$2+TableCRY[[#This Row],[LSTMPP]]*$I$3</f>
        <v>29.169486577945857</v>
      </c>
      <c r="E9">
        <v>27</v>
      </c>
      <c r="F9">
        <f>ABS(TableCRY[[#This Row],[PP]]-TableCRY[[#This Row],[AP]])</f>
        <v>2.1694865779458574</v>
      </c>
    </row>
    <row r="10" spans="1:9" x14ac:dyDescent="0.2">
      <c r="A10" t="s">
        <v>80</v>
      </c>
      <c r="B10">
        <v>27.435897435897449</v>
      </c>
      <c r="C10">
        <v>27.258064516129039</v>
      </c>
      <c r="D10">
        <f>TableCRY[[#This Row],[ARIMAPP]]*$I$2+TableCRY[[#This Row],[LSTMPP]]*$I$3</f>
        <v>27.267784358029836</v>
      </c>
      <c r="E10">
        <v>25</v>
      </c>
      <c r="F10">
        <f>ABS(TableCRY[[#This Row],[PP]]-TableCRY[[#This Row],[AP]])</f>
        <v>2.2677843580298358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81</v>
      </c>
      <c r="B2">
        <v>33.405053160777832</v>
      </c>
      <c r="C2">
        <v>30.203252032520322</v>
      </c>
      <c r="D2">
        <f>TableEVE[[#This Row],[ARIMAPP]]*$I$2+TableEVE[[#This Row],[LSTMPP]]*$I$3</f>
        <v>42.074999391870946</v>
      </c>
      <c r="E2">
        <v>49</v>
      </c>
      <c r="F2">
        <f>ABS(TableEVE[[#This Row],[PP]]-TableEVE[[#This Row],[AP]])</f>
        <v>6.9250006081290536</v>
      </c>
      <c r="H2" t="s">
        <v>0</v>
      </c>
      <c r="I2">
        <v>0.65014057998711383</v>
      </c>
    </row>
    <row r="3" spans="1:9" x14ac:dyDescent="0.2">
      <c r="A3" t="s">
        <v>82</v>
      </c>
      <c r="B3">
        <v>27.810193580932442</v>
      </c>
      <c r="C3">
        <v>29.6551724137931</v>
      </c>
      <c r="D3">
        <f>TableEVE[[#This Row],[ARIMAPP]]*$I$2+TableEVE[[#This Row],[LSTMPP]]*$I$3</f>
        <v>38.068147988787146</v>
      </c>
      <c r="E3">
        <v>36</v>
      </c>
      <c r="F3">
        <f>ABS(TableEVE[[#This Row],[PP]]-TableEVE[[#This Row],[AP]])</f>
        <v>2.0681479887871461</v>
      </c>
      <c r="H3" t="s">
        <v>1</v>
      </c>
      <c r="I3">
        <v>0.674000890152615</v>
      </c>
    </row>
    <row r="4" spans="1:9" x14ac:dyDescent="0.2">
      <c r="A4" t="s">
        <v>83</v>
      </c>
      <c r="B4">
        <v>34.8333333333333</v>
      </c>
      <c r="C4">
        <v>32.5</v>
      </c>
      <c r="D4">
        <f>TableEVE[[#This Row],[ARIMAPP]]*$I$2+TableEVE[[#This Row],[LSTMPP]]*$I$3</f>
        <v>44.551592466177766</v>
      </c>
      <c r="E4">
        <v>44</v>
      </c>
      <c r="F4">
        <f>ABS(TableEVE[[#This Row],[PP]]-TableEVE[[#This Row],[AP]])</f>
        <v>0.55159246617776603</v>
      </c>
    </row>
    <row r="5" spans="1:9" x14ac:dyDescent="0.2">
      <c r="A5" t="s">
        <v>84</v>
      </c>
      <c r="B5">
        <v>35.266386823199319</v>
      </c>
      <c r="C5">
        <v>35.081315893296633</v>
      </c>
      <c r="D5">
        <f>TableEVE[[#This Row],[ARIMAPP]]*$I$2+TableEVE[[#This Row],[LSTMPP]]*$I$3</f>
        <v>46.572947323091725</v>
      </c>
      <c r="E5">
        <v>29</v>
      </c>
      <c r="F5">
        <f>ABS(TableEVE[[#This Row],[PP]]-TableEVE[[#This Row],[AP]])</f>
        <v>17.572947323091725</v>
      </c>
      <c r="H5" t="s">
        <v>2</v>
      </c>
      <c r="I5" cm="1">
        <f t="array" ref="I5">(SUM(TableEVE[PP]-TableEVE[AP]))^2</f>
        <v>1.135959703518257E-28</v>
      </c>
    </row>
    <row r="6" spans="1:9" x14ac:dyDescent="0.2">
      <c r="A6" t="s">
        <v>85</v>
      </c>
      <c r="B6">
        <v>30.89421206193369</v>
      </c>
      <c r="C6">
        <v>29.403064063391259</v>
      </c>
      <c r="D6">
        <f>TableEVE[[#This Row],[ARIMAPP]]*$I$2+TableEVE[[#This Row],[LSTMPP]]*$I$3</f>
        <v>39.903272300130531</v>
      </c>
      <c r="E6">
        <v>43</v>
      </c>
      <c r="F6">
        <f>ABS(TableEVE[[#This Row],[PP]]-TableEVE[[#This Row],[AP]])</f>
        <v>3.0967276998694686</v>
      </c>
    </row>
    <row r="7" spans="1:9" x14ac:dyDescent="0.2">
      <c r="A7" t="s">
        <v>86</v>
      </c>
      <c r="B7">
        <v>17.600000000000001</v>
      </c>
      <c r="C7">
        <v>21.75</v>
      </c>
      <c r="D7">
        <f>TableEVE[[#This Row],[ARIMAPP]]*$I$2+TableEVE[[#This Row],[LSTMPP]]*$I$3</f>
        <v>26.101993568592579</v>
      </c>
      <c r="E7">
        <v>28</v>
      </c>
      <c r="F7">
        <f>ABS(TableEVE[[#This Row],[PP]]-TableEVE[[#This Row],[AP]])</f>
        <v>1.8980064314074205</v>
      </c>
      <c r="H7" t="s">
        <v>3</v>
      </c>
      <c r="I7">
        <f>AVERAGE(TableEVE[DIFF])/10</f>
        <v>0.96866312927608023</v>
      </c>
    </row>
    <row r="8" spans="1:9" x14ac:dyDescent="0.2">
      <c r="A8" t="s">
        <v>87</v>
      </c>
      <c r="B8">
        <v>15.33333333333333</v>
      </c>
      <c r="C8">
        <v>22.083333333333329</v>
      </c>
      <c r="D8">
        <f>TableEVE[[#This Row],[ARIMAPP]]*$I$2+TableEVE[[#This Row],[LSTMPP]]*$I$3</f>
        <v>24.853008550672655</v>
      </c>
      <c r="E8">
        <v>39</v>
      </c>
      <c r="F8">
        <f>ABS(TableEVE[[#This Row],[PP]]-TableEVE[[#This Row],[AP]])</f>
        <v>14.146991449327345</v>
      </c>
    </row>
    <row r="9" spans="1:9" x14ac:dyDescent="0.2">
      <c r="A9" t="s">
        <v>88</v>
      </c>
      <c r="B9">
        <v>40.291262135922331</v>
      </c>
      <c r="C9">
        <v>38.230886690530298</v>
      </c>
      <c r="D9">
        <f>TableEVE[[#This Row],[ARIMAPP]]*$I$2+TableEVE[[#This Row],[LSTMPP]]*$I$3</f>
        <v>51.962636194202567</v>
      </c>
      <c r="E9">
        <v>30</v>
      </c>
      <c r="F9">
        <f>ABS(TableEVE[[#This Row],[PP]]-TableEVE[[#This Row],[AP]])</f>
        <v>21.962636194202567</v>
      </c>
    </row>
    <row r="10" spans="1:9" x14ac:dyDescent="0.2">
      <c r="A10" t="s">
        <v>89</v>
      </c>
      <c r="B10">
        <v>24.34782608695652</v>
      </c>
      <c r="C10">
        <v>27.899161894388818</v>
      </c>
      <c r="D10">
        <f>TableEVE[[#This Row],[ARIMAPP]]*$I$2+TableEVE[[#This Row],[LSTMPP]]*$I$3</f>
        <v>34.633569724929274</v>
      </c>
      <c r="E10">
        <v>57</v>
      </c>
      <c r="F10">
        <f>ABS(TableEVE[[#This Row],[PP]]-TableEVE[[#This Row],[AP]])</f>
        <v>22.366430275070726</v>
      </c>
    </row>
    <row r="11" spans="1:9" x14ac:dyDescent="0.2">
      <c r="A11" t="s">
        <v>90</v>
      </c>
      <c r="B11">
        <v>23.41683889336905</v>
      </c>
      <c r="C11">
        <v>26.785714285714281</v>
      </c>
      <c r="D11">
        <f>TableEVE[[#This Row],[ARIMAPP]]*$I$2+TableEVE[[#This Row],[LSTMPP]]*$I$3</f>
        <v>33.2778324915448</v>
      </c>
      <c r="E11">
        <v>27</v>
      </c>
      <c r="F11">
        <f>ABS(TableEVE[[#This Row],[PP]]-TableEVE[[#This Row],[AP]])</f>
        <v>6.2778324915447996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91</v>
      </c>
      <c r="B2">
        <v>19.313404073153499</v>
      </c>
      <c r="C2">
        <v>42.01074122255784</v>
      </c>
      <c r="D2">
        <f>TableFUL[[#This Row],[ARIMAPP]]*$I$2+TableFUL[[#This Row],[LSTMPP]]*$I$3</f>
        <v>33.600651410896383</v>
      </c>
      <c r="E2">
        <v>35</v>
      </c>
      <c r="F2">
        <f>ABS(TableFUL[[#This Row],[PP]]-TableFUL[[#This Row],[AP]])</f>
        <v>1.3993485891036173</v>
      </c>
      <c r="H2" t="s">
        <v>0</v>
      </c>
      <c r="I2">
        <v>0.51315899132695997</v>
      </c>
    </row>
    <row r="3" spans="1:9" x14ac:dyDescent="0.2">
      <c r="A3" t="s">
        <v>92</v>
      </c>
      <c r="B3">
        <v>20.38961038961039</v>
      </c>
      <c r="C3">
        <v>24.508196721311471</v>
      </c>
      <c r="D3">
        <f>TableFUL[[#This Row],[ARIMAPP]]*$I$2+TableFUL[[#This Row],[LSTMPP]]*$I$3</f>
        <v>24.283253394447915</v>
      </c>
      <c r="E3">
        <v>31</v>
      </c>
      <c r="F3">
        <f>ABS(TableFUL[[#This Row],[PP]]-TableFUL[[#This Row],[AP]])</f>
        <v>6.7167466055520855</v>
      </c>
      <c r="H3" t="s">
        <v>1</v>
      </c>
      <c r="I3">
        <v>0.56389874989652877</v>
      </c>
    </row>
    <row r="4" spans="1:9" x14ac:dyDescent="0.2">
      <c r="A4" t="s">
        <v>93</v>
      </c>
      <c r="B4">
        <v>26.602564102564081</v>
      </c>
      <c r="C4">
        <v>27.58064516129032</v>
      </c>
      <c r="D4">
        <f>TableFUL[[#This Row],[ARIMAPP]]*$I$2+TableFUL[[#This Row],[LSTMPP]]*$I$3</f>
        <v>29.204036289373931</v>
      </c>
      <c r="E4">
        <v>41</v>
      </c>
      <c r="F4">
        <f>ABS(TableFUL[[#This Row],[PP]]-TableFUL[[#This Row],[AP]])</f>
        <v>11.795963710626069</v>
      </c>
    </row>
    <row r="5" spans="1:9" x14ac:dyDescent="0.2">
      <c r="A5" t="s">
        <v>94</v>
      </c>
      <c r="B5">
        <v>37.335262574254827</v>
      </c>
      <c r="C5">
        <v>32.857142857142847</v>
      </c>
      <c r="D5">
        <f>TableFUL[[#This Row],[ARIMAPP]]*$I$2+TableFUL[[#This Row],[LSTMPP]]*$I$3</f>
        <v>37.687027465846313</v>
      </c>
      <c r="E5">
        <v>32</v>
      </c>
      <c r="F5">
        <f>ABS(TableFUL[[#This Row],[PP]]-TableFUL[[#This Row],[AP]])</f>
        <v>5.6870274658463131</v>
      </c>
      <c r="H5" t="s">
        <v>2</v>
      </c>
      <c r="I5" cm="1">
        <f t="array" ref="I5">(SUM(TableFUL[PP]-TableFUL[AP]))^2</f>
        <v>2.0194839173657902E-28</v>
      </c>
    </row>
    <row r="6" spans="1:9" x14ac:dyDescent="0.2">
      <c r="A6" t="s">
        <v>95</v>
      </c>
      <c r="B6">
        <v>23.67647058823529</v>
      </c>
      <c r="C6">
        <v>25.555555555555561</v>
      </c>
      <c r="D6">
        <f>TableFUL[[#This Row],[ARIMAPP]]*$I$2+TableFUL[[#This Row],[LSTMPP]]*$I$3</f>
        <v>26.560539595930329</v>
      </c>
      <c r="E6">
        <v>22</v>
      </c>
      <c r="F6">
        <f>ABS(TableFUL[[#This Row],[PP]]-TableFUL[[#This Row],[AP]])</f>
        <v>4.5605395959303294</v>
      </c>
    </row>
    <row r="7" spans="1:9" x14ac:dyDescent="0.2">
      <c r="A7" t="s">
        <v>96</v>
      </c>
      <c r="B7">
        <v>25.45454545454545</v>
      </c>
      <c r="C7">
        <v>26.63461538461539</v>
      </c>
      <c r="D7">
        <f>TableFUL[[#This Row],[ARIMAPP]]*$I$2+TableFUL[[#This Row],[LSTMPP]]*$I$3</f>
        <v>28.081455189500268</v>
      </c>
      <c r="E7">
        <v>35</v>
      </c>
      <c r="F7">
        <f>ABS(TableFUL[[#This Row],[PP]]-TableFUL[[#This Row],[AP]])</f>
        <v>6.918544810499732</v>
      </c>
      <c r="H7" t="s">
        <v>3</v>
      </c>
      <c r="I7">
        <f>AVERAGE(TableFUL[DIFF])/10</f>
        <v>0.54595276382308744</v>
      </c>
    </row>
    <row r="8" spans="1:9" x14ac:dyDescent="0.2">
      <c r="A8" t="s">
        <v>97</v>
      </c>
      <c r="B8">
        <v>31.795185569234469</v>
      </c>
      <c r="C8">
        <v>31.111111111111111</v>
      </c>
      <c r="D8">
        <f>TableFUL[[#This Row],[ARIMAPP]]*$I$2+TableFUL[[#This Row],[LSTMPP]]*$I$3</f>
        <v>33.859502019209437</v>
      </c>
      <c r="E8">
        <v>22</v>
      </c>
      <c r="F8">
        <f>ABS(TableFUL[[#This Row],[PP]]-TableFUL[[#This Row],[AP]])</f>
        <v>11.859502019209437</v>
      </c>
    </row>
    <row r="9" spans="1:9" x14ac:dyDescent="0.2">
      <c r="A9" t="s">
        <v>98</v>
      </c>
      <c r="B9">
        <v>23.432835820895519</v>
      </c>
      <c r="C9">
        <v>26.509433962264151</v>
      </c>
      <c r="D9">
        <f>TableFUL[[#This Row],[ARIMAPP]]*$I$2+TableFUL[[#This Row],[LSTMPP]]*$I$3</f>
        <v>26.973407065566338</v>
      </c>
      <c r="E9">
        <v>27</v>
      </c>
      <c r="F9">
        <f>ABS(TableFUL[[#This Row],[PP]]-TableFUL[[#This Row],[AP]])</f>
        <v>2.6592934433661952E-2</v>
      </c>
    </row>
    <row r="10" spans="1:9" x14ac:dyDescent="0.2">
      <c r="A10" t="s">
        <v>99</v>
      </c>
      <c r="B10">
        <v>25.26315789473685</v>
      </c>
      <c r="C10">
        <v>25.833333333333329</v>
      </c>
      <c r="D10">
        <f>TableFUL[[#This Row],[ARIMAPP]]*$I$2+TableFUL[[#This Row],[LSTMPP]]*$I$3</f>
        <v>27.531400995323878</v>
      </c>
      <c r="E10">
        <v>27</v>
      </c>
      <c r="F10">
        <f>ABS(TableFUL[[#This Row],[PP]]-TableFUL[[#This Row],[AP]])</f>
        <v>0.53140099532387808</v>
      </c>
    </row>
    <row r="11" spans="1:9" x14ac:dyDescent="0.2">
      <c r="A11" t="s">
        <v>100</v>
      </c>
      <c r="B11">
        <v>37.402388432445953</v>
      </c>
      <c r="C11">
        <v>38.696713629426817</v>
      </c>
      <c r="D11">
        <f>TableFUL[[#This Row],[ARIMAPP]]*$I$2+TableFUL[[#This Row],[LSTMPP]]*$I$3</f>
        <v>41.014400361950869</v>
      </c>
      <c r="E11">
        <v>36</v>
      </c>
      <c r="F11">
        <f>ABS(TableFUL[[#This Row],[PP]]-TableFUL[[#This Row],[AP]])</f>
        <v>5.0144003619508695</v>
      </c>
    </row>
    <row r="12" spans="1:9" x14ac:dyDescent="0.2">
      <c r="A12" t="s">
        <v>101</v>
      </c>
      <c r="B12">
        <v>25.75</v>
      </c>
      <c r="C12">
        <v>26.40625</v>
      </c>
      <c r="D12">
        <f>TableFUL[[#This Row],[ARIMAPP]]*$I$2+TableFUL[[#This Row],[LSTMPP]]*$I$3</f>
        <v>28.104295391124431</v>
      </c>
      <c r="E12">
        <v>23</v>
      </c>
      <c r="F12">
        <f>ABS(TableFUL[[#This Row],[PP]]-TableFUL[[#This Row],[AP]])</f>
        <v>5.1042953911244311</v>
      </c>
    </row>
    <row r="13" spans="1:9" x14ac:dyDescent="0.2">
      <c r="A13" t="s">
        <v>102</v>
      </c>
      <c r="B13">
        <v>39.032258064516128</v>
      </c>
      <c r="C13">
        <v>40.912090419534451</v>
      </c>
      <c r="D13">
        <f>TableFUL[[#This Row],[ARIMAPP]]*$I$2+TableFUL[[#This Row],[LSTMPP]]*$I$3</f>
        <v>43.100030820829922</v>
      </c>
      <c r="E13">
        <v>49</v>
      </c>
      <c r="F13">
        <f>ABS(TableFUL[[#This Row],[PP]]-TableFUL[[#This Row],[AP]])</f>
        <v>5.8999691791700783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103</v>
      </c>
      <c r="B2">
        <v>44.024491774302049</v>
      </c>
      <c r="C2">
        <v>36.866162285150047</v>
      </c>
      <c r="D2">
        <f>TableLIV[[#This Row],[ARIMAPP]]*$I$2+TableLIV[[#This Row],[LSTMPP]]*$I$3</f>
        <v>42.922897788378108</v>
      </c>
      <c r="E2">
        <v>47</v>
      </c>
      <c r="F2">
        <f>ABS(TableLIV[[#This Row],[PP]]-TableLIV[[#This Row],[AP]])</f>
        <v>4.0771022116218916</v>
      </c>
      <c r="H2" t="s">
        <v>0</v>
      </c>
      <c r="I2">
        <v>0.5464349919713426</v>
      </c>
    </row>
    <row r="3" spans="1:9" x14ac:dyDescent="0.2">
      <c r="A3" t="s">
        <v>104</v>
      </c>
      <c r="B3">
        <v>68.611111111111057</v>
      </c>
      <c r="C3">
        <v>66.669678792883474</v>
      </c>
      <c r="D3">
        <f>TableLIV[[#This Row],[ARIMAPP]]*$I$2+TableLIV[[#This Row],[LSTMPP]]*$I$3</f>
        <v>71.609930625784372</v>
      </c>
      <c r="E3">
        <v>78</v>
      </c>
      <c r="F3">
        <f>ABS(TableLIV[[#This Row],[PP]]-TableLIV[[#This Row],[AP]])</f>
        <v>6.3900693742156278</v>
      </c>
      <c r="H3" t="s">
        <v>1</v>
      </c>
      <c r="I3">
        <v>0.51175315817302858</v>
      </c>
    </row>
    <row r="4" spans="1:9" x14ac:dyDescent="0.2">
      <c r="A4" t="s">
        <v>105</v>
      </c>
      <c r="B4">
        <v>51.966522084199653</v>
      </c>
      <c r="C4">
        <v>48.05691712609535</v>
      </c>
      <c r="D4">
        <f>TableLIV[[#This Row],[ARIMAPP]]*$I$2+TableLIV[[#This Row],[LSTMPP]]*$I$3</f>
        <v>52.989605189197036</v>
      </c>
      <c r="E4">
        <v>71</v>
      </c>
      <c r="F4">
        <f>ABS(TableLIV[[#This Row],[PP]]-TableLIV[[#This Row],[AP]])</f>
        <v>18.010394810802964</v>
      </c>
    </row>
    <row r="5" spans="1:9" x14ac:dyDescent="0.2">
      <c r="A5" t="s">
        <v>106</v>
      </c>
      <c r="B5">
        <v>47.267001725023832</v>
      </c>
      <c r="C5">
        <v>44.180617120480491</v>
      </c>
      <c r="D5">
        <f>TableLIV[[#This Row],[ARIMAPP]]*$I$2+TableLIV[[#This Row],[LSTMPP]]*$I$3</f>
        <v>48.437914049562096</v>
      </c>
      <c r="E5">
        <v>50</v>
      </c>
      <c r="F5">
        <f>ABS(TableLIV[[#This Row],[PP]]-TableLIV[[#This Row],[AP]])</f>
        <v>1.5620859504379041</v>
      </c>
      <c r="H5" t="s">
        <v>2</v>
      </c>
      <c r="I5" cm="1">
        <f t="array" ref="I5">(SUM(TableLIV[PP]-TableLIV[AP]))^2</f>
        <v>2.0194839173657902E-28</v>
      </c>
    </row>
    <row r="6" spans="1:9" x14ac:dyDescent="0.2">
      <c r="A6" t="s">
        <v>107</v>
      </c>
      <c r="B6">
        <v>28.707786528370772</v>
      </c>
      <c r="C6">
        <v>28.851351351351351</v>
      </c>
      <c r="D6">
        <f>TableLIV[[#This Row],[ARIMAPP]]*$I$2+TableLIV[[#This Row],[LSTMPP]]*$I$3</f>
        <v>30.451709272759029</v>
      </c>
      <c r="E6">
        <v>27</v>
      </c>
      <c r="F6">
        <f>ABS(TableLIV[[#This Row],[PP]]-TableLIV[[#This Row],[AP]])</f>
        <v>3.4517092727590288</v>
      </c>
    </row>
    <row r="7" spans="1:9" x14ac:dyDescent="0.2">
      <c r="A7" t="s">
        <v>108</v>
      </c>
      <c r="B7">
        <v>28.999999999999989</v>
      </c>
      <c r="C7">
        <v>29.86611959216863</v>
      </c>
      <c r="D7">
        <f>TableLIV[[#This Row],[ARIMAPP]]*$I$2+TableLIV[[#This Row],[LSTMPP]]*$I$3</f>
        <v>31.13069579083459</v>
      </c>
      <c r="E7">
        <v>30</v>
      </c>
      <c r="F7">
        <f>ABS(TableLIV[[#This Row],[PP]]-TableLIV[[#This Row],[AP]])</f>
        <v>1.13069579083459</v>
      </c>
      <c r="H7" t="s">
        <v>3</v>
      </c>
      <c r="I7">
        <f>AVERAGE(TableLIV[DIFF])/10</f>
        <v>0.62908011359079641</v>
      </c>
    </row>
    <row r="8" spans="1:9" x14ac:dyDescent="0.2">
      <c r="A8" t="s">
        <v>109</v>
      </c>
      <c r="B8">
        <v>34.242424242424228</v>
      </c>
      <c r="C8">
        <v>36.205883801740541</v>
      </c>
      <c r="D8">
        <f>TableLIV[[#This Row],[ARIMAPP]]*$I$2+TableLIV[[#This Row],[LSTMPP]]*$I$3</f>
        <v>37.239734195974812</v>
      </c>
      <c r="E8">
        <v>27</v>
      </c>
      <c r="F8">
        <f>ABS(TableLIV[[#This Row],[PP]]-TableLIV[[#This Row],[AP]])</f>
        <v>10.239734195974812</v>
      </c>
    </row>
    <row r="9" spans="1:9" x14ac:dyDescent="0.2">
      <c r="A9" t="s">
        <v>110</v>
      </c>
      <c r="B9">
        <v>38.529411764705877</v>
      </c>
      <c r="C9">
        <v>32.037037037037031</v>
      </c>
      <c r="D9">
        <f>TableLIV[[#This Row],[ARIMAPP]]*$I$2+TableLIV[[#This Row],[LSTMPP]]*$I$3</f>
        <v>37.448873690517594</v>
      </c>
      <c r="E9">
        <v>31</v>
      </c>
      <c r="F9">
        <f>ABS(TableLIV[[#This Row],[PP]]-TableLIV[[#This Row],[AP]])</f>
        <v>6.4488736905175941</v>
      </c>
    </row>
    <row r="10" spans="1:9" x14ac:dyDescent="0.2">
      <c r="A10" t="s">
        <v>111</v>
      </c>
      <c r="B10">
        <v>39.047619047619037</v>
      </c>
      <c r="C10">
        <v>31.875</v>
      </c>
      <c r="D10">
        <f>TableLIV[[#This Row],[ARIMAPP]]*$I$2+TableLIV[[#This Row],[LSTMPP]]*$I$3</f>
        <v>37.649117317551038</v>
      </c>
      <c r="E10">
        <v>31</v>
      </c>
      <c r="F10">
        <f>ABS(TableLIV[[#This Row],[PP]]-TableLIV[[#This Row],[AP]])</f>
        <v>6.6491173175510383</v>
      </c>
    </row>
    <row r="11" spans="1:9" x14ac:dyDescent="0.2">
      <c r="A11" t="s">
        <v>112</v>
      </c>
      <c r="B11">
        <v>36.249999999999993</v>
      </c>
      <c r="C11">
        <v>32.5</v>
      </c>
      <c r="D11">
        <f>TableLIV[[#This Row],[ARIMAPP]]*$I$2+TableLIV[[#This Row],[LSTMPP]]*$I$3</f>
        <v>36.440246099584598</v>
      </c>
      <c r="E11">
        <v>41</v>
      </c>
      <c r="F11">
        <f>ABS(TableLIV[[#This Row],[PP]]-TableLIV[[#This Row],[AP]])</f>
        <v>4.5597539004154015</v>
      </c>
    </row>
    <row r="12" spans="1:9" x14ac:dyDescent="0.2">
      <c r="A12" t="s">
        <v>113</v>
      </c>
      <c r="B12">
        <v>23.999999999999989</v>
      </c>
      <c r="C12">
        <v>26.50659982435932</v>
      </c>
      <c r="D12">
        <f>TableLIV[[#This Row],[ARIMAPP]]*$I$2+TableLIV[[#This Row],[LSTMPP]]*$I$3</f>
        <v>26.67927597985674</v>
      </c>
      <c r="E12">
        <v>20</v>
      </c>
      <c r="F12">
        <f>ABS(TableLIV[[#This Row],[PP]]-TableLIV[[#This Row],[AP]])</f>
        <v>6.6792759798567403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114</v>
      </c>
      <c r="B2">
        <v>16.66666664262868</v>
      </c>
      <c r="C2">
        <v>20</v>
      </c>
      <c r="D2">
        <f>TableLUT[[#This Row],[ARIMAPP]]*$I$2+TableLUT[[#This Row],[LSTMPP]]*$I$3</f>
        <v>27.005456838487426</v>
      </c>
      <c r="E2">
        <v>27</v>
      </c>
      <c r="F2">
        <f>ABS(TableLUT[[#This Row],[PP]]-TableLUT[[#This Row],[AP]])</f>
        <v>5.4568384874258413E-3</v>
      </c>
      <c r="H2" t="s">
        <v>0</v>
      </c>
      <c r="I2">
        <v>0.70555663410527936</v>
      </c>
    </row>
    <row r="3" spans="1:9" x14ac:dyDescent="0.2">
      <c r="A3" t="s">
        <v>115</v>
      </c>
      <c r="B3">
        <v>25</v>
      </c>
      <c r="C3">
        <v>20</v>
      </c>
      <c r="D3">
        <f>TableLUT[[#This Row],[ARIMAPP]]*$I$2+TableLUT[[#This Row],[LSTMPP]]*$I$3</f>
        <v>32.88509547299158</v>
      </c>
      <c r="E3">
        <v>26</v>
      </c>
      <c r="F3">
        <f>ABS(TableLUT[[#This Row],[PP]]-TableLUT[[#This Row],[AP]])</f>
        <v>6.8850954729915799</v>
      </c>
      <c r="H3" t="s">
        <v>1</v>
      </c>
      <c r="I3">
        <v>0.76230898101797995</v>
      </c>
    </row>
    <row r="4" spans="1:9" x14ac:dyDescent="0.2">
      <c r="A4" t="s">
        <v>116</v>
      </c>
      <c r="B4">
        <v>11.999999999993401</v>
      </c>
      <c r="C4">
        <v>16.25</v>
      </c>
      <c r="D4">
        <f>TableLUT[[#This Row],[ARIMAPP]]*$I$2+TableLUT[[#This Row],[LSTMPP]]*$I$3</f>
        <v>20.854200550800869</v>
      </c>
      <c r="E4">
        <v>26</v>
      </c>
      <c r="F4">
        <f>ABS(TableLUT[[#This Row],[PP]]-TableLUT[[#This Row],[AP]])</f>
        <v>5.1457994491991315</v>
      </c>
    </row>
    <row r="5" spans="1:9" x14ac:dyDescent="0.2">
      <c r="A5" t="s">
        <v>117</v>
      </c>
      <c r="B5">
        <v>14</v>
      </c>
      <c r="C5">
        <v>16.30737081096829</v>
      </c>
      <c r="D5">
        <f>TableLUT[[#This Row],[ARIMAPP]]*$I$2+TableLUT[[#This Row],[LSTMPP]]*$I$3</f>
        <v>22.3090481034655</v>
      </c>
      <c r="E5">
        <v>27</v>
      </c>
      <c r="F5">
        <f>ABS(TableLUT[[#This Row],[PP]]-TableLUT[[#This Row],[AP]])</f>
        <v>4.6909518965345001</v>
      </c>
      <c r="H5" t="s">
        <v>2</v>
      </c>
      <c r="I5" cm="1">
        <f t="array" ref="I5">(SUM(TableLUT[PP]-TableLUT[AP]))^2</f>
        <v>0</v>
      </c>
    </row>
    <row r="6" spans="1:9" x14ac:dyDescent="0.2">
      <c r="A6" t="s">
        <v>118</v>
      </c>
      <c r="B6">
        <v>18</v>
      </c>
      <c r="C6">
        <v>20</v>
      </c>
      <c r="D6">
        <f>TableLUT[[#This Row],[ARIMAPP]]*$I$2+TableLUT[[#This Row],[LSTMPP]]*$I$3</f>
        <v>27.946199034254626</v>
      </c>
      <c r="E6">
        <v>25</v>
      </c>
      <c r="F6">
        <f>ABS(TableLUT[[#This Row],[PP]]-TableLUT[[#This Row],[AP]])</f>
        <v>2.9461990342546258</v>
      </c>
    </row>
    <row r="7" spans="1:9" x14ac:dyDescent="0.2">
      <c r="H7" t="s">
        <v>3</v>
      </c>
      <c r="I7">
        <f>AVERAGE(TableLUT[DIFF])/10</f>
        <v>0.3934700538293453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119</v>
      </c>
      <c r="B2">
        <v>39.890987835319322</v>
      </c>
      <c r="C2">
        <v>35.068689073173303</v>
      </c>
      <c r="D2">
        <f>TableMCI[[#This Row],[ARIMAPP]]*$I$2+TableMCI[[#This Row],[LSTMPP]]*$I$3</f>
        <v>32.446555894482849</v>
      </c>
      <c r="E2">
        <v>21</v>
      </c>
      <c r="F2">
        <f>ABS(TableMCI[[#This Row],[PP]]-TableMCI[[#This Row],[AP]])</f>
        <v>11.446555894482849</v>
      </c>
      <c r="H2" t="s">
        <v>0</v>
      </c>
      <c r="I2">
        <v>0.46634960088672028</v>
      </c>
    </row>
    <row r="3" spans="1:9" x14ac:dyDescent="0.2">
      <c r="A3" t="s">
        <v>120</v>
      </c>
      <c r="B3">
        <v>38.846153846153832</v>
      </c>
      <c r="C3">
        <v>36.30335449869991</v>
      </c>
      <c r="D3">
        <f>TableMCI[[#This Row],[ARIMAPP]]*$I$2+TableMCI[[#This Row],[LSTMPP]]*$I$3</f>
        <v>32.446683728550127</v>
      </c>
      <c r="E3">
        <v>22</v>
      </c>
      <c r="F3">
        <f>ABS(TableMCI[[#This Row],[PP]]-TableMCI[[#This Row],[AP]])</f>
        <v>10.446683728550127</v>
      </c>
      <c r="H3" t="s">
        <v>1</v>
      </c>
      <c r="I3">
        <v>0.39475127255596615</v>
      </c>
    </row>
    <row r="4" spans="1:9" x14ac:dyDescent="0.2">
      <c r="A4" t="s">
        <v>121</v>
      </c>
      <c r="B4">
        <v>32.966101694915253</v>
      </c>
      <c r="C4">
        <v>30.106382978723399</v>
      </c>
      <c r="D4">
        <f>TableMCI[[#This Row],[ARIMAPP]]*$I$2+TableMCI[[#This Row],[LSTMPP]]*$I$3</f>
        <v>27.258261361123104</v>
      </c>
      <c r="E4">
        <v>26</v>
      </c>
      <c r="F4">
        <f>ABS(TableMCI[[#This Row],[PP]]-TableMCI[[#This Row],[AP]])</f>
        <v>1.2582613611231039</v>
      </c>
    </row>
    <row r="5" spans="1:9" x14ac:dyDescent="0.2">
      <c r="A5" t="s">
        <v>122</v>
      </c>
      <c r="B5">
        <v>48.217828997534802</v>
      </c>
      <c r="C5">
        <v>40.289479011002463</v>
      </c>
      <c r="D5">
        <f>TableMCI[[#This Row],[ARIMAPP]]*$I$2+TableMCI[[#This Row],[LSTMPP]]*$I$3</f>
        <v>38.390688418834593</v>
      </c>
      <c r="E5">
        <v>40</v>
      </c>
      <c r="F5">
        <f>ABS(TableMCI[[#This Row],[PP]]-TableMCI[[#This Row],[AP]])</f>
        <v>1.6093115811654073</v>
      </c>
      <c r="H5" t="s">
        <v>2</v>
      </c>
      <c r="I5" cm="1">
        <f t="array" ref="I5">(SUM(TableMCI[PP]-TableMCI[AP]))^2</f>
        <v>5.0487097934144756E-29</v>
      </c>
    </row>
    <row r="6" spans="1:9" x14ac:dyDescent="0.2">
      <c r="A6" t="s">
        <v>123</v>
      </c>
      <c r="B6">
        <v>34.275388460898071</v>
      </c>
      <c r="C6">
        <v>30.219010232627131</v>
      </c>
      <c r="D6">
        <f>TableMCI[[#This Row],[ARIMAPP]]*$I$2+TableMCI[[#This Row],[LSTMPP]]*$I$3</f>
        <v>27.913306473688436</v>
      </c>
      <c r="E6">
        <v>24</v>
      </c>
      <c r="F6">
        <f>ABS(TableMCI[[#This Row],[PP]]-TableMCI[[#This Row],[AP]])</f>
        <v>3.9133064736884364</v>
      </c>
    </row>
    <row r="7" spans="1:9" x14ac:dyDescent="0.2">
      <c r="A7" t="s">
        <v>124</v>
      </c>
      <c r="B7">
        <v>82.344849188075159</v>
      </c>
      <c r="C7">
        <v>57.385785258158748</v>
      </c>
      <c r="D7">
        <f>TableMCI[[#This Row],[ARIMAPP]]*$I$2+TableMCI[[#This Row],[LSTMPP]]*$I$3</f>
        <v>61.054599311217586</v>
      </c>
      <c r="E7">
        <v>67</v>
      </c>
      <c r="F7">
        <f>ABS(TableMCI[[#This Row],[PP]]-TableMCI[[#This Row],[AP]])</f>
        <v>5.9454006887824136</v>
      </c>
      <c r="H7" t="s">
        <v>3</v>
      </c>
      <c r="I7">
        <f>AVERAGE(TableMCI[DIFF])/10</f>
        <v>0.69302013175972266</v>
      </c>
    </row>
    <row r="8" spans="1:9" x14ac:dyDescent="0.2">
      <c r="A8" t="s">
        <v>125</v>
      </c>
      <c r="B8">
        <v>33.999999999999993</v>
      </c>
      <c r="C8">
        <v>31.25</v>
      </c>
      <c r="D8">
        <f>TableMCI[[#This Row],[ARIMAPP]]*$I$2+TableMCI[[#This Row],[LSTMPP]]*$I$3</f>
        <v>28.191863697522429</v>
      </c>
      <c r="E8">
        <v>47</v>
      </c>
      <c r="F8">
        <f>ABS(TableMCI[[#This Row],[PP]]-TableMCI[[#This Row],[AP]])</f>
        <v>18.808136302477571</v>
      </c>
    </row>
    <row r="9" spans="1:9" x14ac:dyDescent="0.2">
      <c r="A9" t="s">
        <v>126</v>
      </c>
      <c r="B9">
        <v>35.833333333333329</v>
      </c>
      <c r="C9">
        <v>29.249698780901571</v>
      </c>
      <c r="D9">
        <f>TableMCI[[#This Row],[ARIMAPP]]*$I$2+TableMCI[[#This Row],[LSTMPP]]*$I$3</f>
        <v>28.257216514080394</v>
      </c>
      <c r="E9">
        <v>36</v>
      </c>
      <c r="F9">
        <f>ABS(TableMCI[[#This Row],[PP]]-TableMCI[[#This Row],[AP]])</f>
        <v>7.7427834859196061</v>
      </c>
    </row>
    <row r="10" spans="1:9" x14ac:dyDescent="0.2">
      <c r="A10" t="s">
        <v>127</v>
      </c>
      <c r="B10">
        <v>32.068965517241359</v>
      </c>
      <c r="C10">
        <v>29.130434782608699</v>
      </c>
      <c r="D10">
        <f>TableMCI[[#This Row],[ARIMAPP]]*$I$2+TableMCI[[#This Row],[LSTMPP]]*$I$3</f>
        <v>26.454625470358867</v>
      </c>
      <c r="E10">
        <v>27</v>
      </c>
      <c r="F10">
        <f>ABS(TableMCI[[#This Row],[PP]]-TableMCI[[#This Row],[AP]])</f>
        <v>0.54537452964113342</v>
      </c>
    </row>
    <row r="11" spans="1:9" x14ac:dyDescent="0.2">
      <c r="A11" t="s">
        <v>128</v>
      </c>
      <c r="B11">
        <v>37.54900633946319</v>
      </c>
      <c r="C11">
        <v>33.122717820209871</v>
      </c>
      <c r="D11">
        <f>TableMCI[[#This Row],[ARIMAPP]]*$I$2+TableMCI[[#This Row],[LSTMPP]]*$I$3</f>
        <v>30.586199130141608</v>
      </c>
      <c r="E11">
        <v>23</v>
      </c>
      <c r="F11">
        <f>ABS(TableMCI[[#This Row],[PP]]-TableMCI[[#This Row],[AP]])</f>
        <v>7.5861991301416083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129</v>
      </c>
      <c r="B2">
        <v>36.956521739130459</v>
      </c>
      <c r="C2">
        <v>37.074150395841208</v>
      </c>
      <c r="D2">
        <f>TableMUN[[#This Row],[ARIMAPP]]*$I$2+TableMUN[[#This Row],[LSTMPP]]*$I$3</f>
        <v>37.080842000764861</v>
      </c>
      <c r="E2">
        <v>28</v>
      </c>
      <c r="F2">
        <f>ABS(TableMUN[[#This Row],[PP]]-TableMUN[[#This Row],[AP]])</f>
        <v>9.0808420007648607</v>
      </c>
      <c r="H2" t="s">
        <v>0</v>
      </c>
      <c r="I2">
        <v>0.50072293958009573</v>
      </c>
    </row>
    <row r="3" spans="1:9" x14ac:dyDescent="0.2">
      <c r="A3" t="s">
        <v>130</v>
      </c>
      <c r="B3">
        <v>30.14229593705026</v>
      </c>
      <c r="C3">
        <v>30.3448275862069</v>
      </c>
      <c r="D3">
        <f>TableMUN[[#This Row],[ARIMAPP]]*$I$2+TableMUN[[#This Row],[LSTMPP]]*$I$3</f>
        <v>30.297100908922054</v>
      </c>
      <c r="E3">
        <v>36</v>
      </c>
      <c r="F3">
        <f>ABS(TableMUN[[#This Row],[PP]]-TableMUN[[#This Row],[AP]])</f>
        <v>5.7028990910779456</v>
      </c>
      <c r="H3" t="s">
        <v>1</v>
      </c>
      <c r="I3">
        <v>0.5010462438264125</v>
      </c>
    </row>
    <row r="4" spans="1:9" x14ac:dyDescent="0.2">
      <c r="A4" t="s">
        <v>131</v>
      </c>
      <c r="B4">
        <v>46.00503153728198</v>
      </c>
      <c r="C4">
        <v>37.217741935483872</v>
      </c>
      <c r="D4">
        <f>TableMUN[[#This Row],[ARIMAPP]]*$I$2+TableMUN[[#This Row],[LSTMPP]]*$I$3</f>
        <v>41.683584427297788</v>
      </c>
      <c r="E4">
        <v>22</v>
      </c>
      <c r="F4">
        <f>ABS(TableMUN[[#This Row],[PP]]-TableMUN[[#This Row],[AP]])</f>
        <v>19.683584427297788</v>
      </c>
    </row>
    <row r="5" spans="1:9" x14ac:dyDescent="0.2">
      <c r="A5" t="s">
        <v>132</v>
      </c>
      <c r="B5">
        <v>24.841269841269821</v>
      </c>
      <c r="C5">
        <v>27.15</v>
      </c>
      <c r="D5">
        <f>TableMUN[[#This Row],[ARIMAPP]]*$I$2+TableMUN[[#This Row],[LSTMPP]]*$I$3</f>
        <v>26.041999177710103</v>
      </c>
      <c r="E5">
        <v>41</v>
      </c>
      <c r="F5">
        <f>ABS(TableMUN[[#This Row],[PP]]-TableMUN[[#This Row],[AP]])</f>
        <v>14.958000822289897</v>
      </c>
      <c r="H5" t="s">
        <v>2</v>
      </c>
      <c r="I5" cm="1">
        <f t="array" ref="I5">(SUM(TableMUN[PP]-TableMUN[AP]))^2</f>
        <v>2.0194839173657902E-28</v>
      </c>
    </row>
    <row r="6" spans="1:9" x14ac:dyDescent="0.2">
      <c r="A6" t="s">
        <v>133</v>
      </c>
      <c r="B6">
        <v>29.984571264041019</v>
      </c>
      <c r="C6">
        <v>31.82050722070862</v>
      </c>
      <c r="D6">
        <f>TableMUN[[#This Row],[ARIMAPP]]*$I$2+TableMUN[[#This Row],[LSTMPP]]*$I$3</f>
        <v>30.957508284966778</v>
      </c>
      <c r="E6">
        <v>40</v>
      </c>
      <c r="F6">
        <f>ABS(TableMUN[[#This Row],[PP]]-TableMUN[[#This Row],[AP]])</f>
        <v>9.042491715033222</v>
      </c>
    </row>
    <row r="7" spans="1:9" x14ac:dyDescent="0.2">
      <c r="A7" t="s">
        <v>134</v>
      </c>
      <c r="B7">
        <v>43.4579439252336</v>
      </c>
      <c r="C7">
        <v>43.457800211603811</v>
      </c>
      <c r="D7">
        <f>TableMUN[[#This Row],[ARIMAPP]]*$I$2+TableMUN[[#This Row],[LSTMPP]]*$I$3</f>
        <v>43.534756991332699</v>
      </c>
      <c r="E7">
        <v>21</v>
      </c>
      <c r="F7">
        <f>ABS(TableMUN[[#This Row],[PP]]-TableMUN[[#This Row],[AP]])</f>
        <v>22.534756991332699</v>
      </c>
      <c r="H7" t="s">
        <v>3</v>
      </c>
      <c r="I7">
        <f>AVERAGE(TableMUN[DIFF])/10</f>
        <v>1.1505147954903892</v>
      </c>
    </row>
    <row r="8" spans="1:9" x14ac:dyDescent="0.2">
      <c r="A8" t="s">
        <v>135</v>
      </c>
      <c r="B8">
        <v>30.847457627118651</v>
      </c>
      <c r="C8">
        <v>31.755319148936181</v>
      </c>
      <c r="D8">
        <f>TableMUN[[#This Row],[ARIMAPP]]*$I$2+TableMUN[[#This Row],[LSTMPP]]*$I$3</f>
        <v>31.356913042706719</v>
      </c>
      <c r="E8">
        <v>30</v>
      </c>
      <c r="F8">
        <f>ABS(TableMUN[[#This Row],[PP]]-TableMUN[[#This Row],[AP]])</f>
        <v>1.3569130427067186</v>
      </c>
    </row>
    <row r="9" spans="1:9" x14ac:dyDescent="0.2">
      <c r="A9" t="s">
        <v>136</v>
      </c>
      <c r="B9">
        <v>44.232566292935751</v>
      </c>
      <c r="C9">
        <v>44.854056781004807</v>
      </c>
      <c r="D9">
        <f>TableMUN[[#This Row],[ARIMAPP]]*$I$2+TableMUN[[#This Row],[LSTMPP]]*$I$3</f>
        <v>44.622217289869333</v>
      </c>
      <c r="E9">
        <v>34</v>
      </c>
      <c r="F9">
        <f>ABS(TableMUN[[#This Row],[PP]]-TableMUN[[#This Row],[AP]])</f>
        <v>10.622217289869333</v>
      </c>
    </row>
    <row r="10" spans="1:9" x14ac:dyDescent="0.2">
      <c r="A10" t="s">
        <v>137</v>
      </c>
      <c r="B10">
        <v>34.666666666666657</v>
      </c>
      <c r="C10">
        <v>34.142811107237677</v>
      </c>
      <c r="D10">
        <f>TableMUN[[#This Row],[ARIMAPP]]*$I$2+TableMUN[[#This Row],[LSTMPP]]*$I$3</f>
        <v>34.465522497732806</v>
      </c>
      <c r="E10">
        <v>45</v>
      </c>
      <c r="F10">
        <f>ABS(TableMUN[[#This Row],[PP]]-TableMUN[[#This Row],[AP]])</f>
        <v>10.534477502267194</v>
      </c>
    </row>
    <row r="11" spans="1:9" x14ac:dyDescent="0.2">
      <c r="A11" t="s">
        <v>138</v>
      </c>
      <c r="B11">
        <v>19.09090909090909</v>
      </c>
      <c r="C11">
        <v>22.64705882352942</v>
      </c>
      <c r="D11">
        <f>TableMUN[[#This Row],[ARIMAPP]]*$I$2+TableMUN[[#This Row],[LSTMPP]]*$I$3</f>
        <v>20.906479876501599</v>
      </c>
      <c r="E11">
        <v>28</v>
      </c>
      <c r="F11">
        <f>ABS(TableMUN[[#This Row],[PP]]-TableMUN[[#This Row],[AP]])</f>
        <v>7.0935201234984007</v>
      </c>
    </row>
    <row r="12" spans="1:9" x14ac:dyDescent="0.2">
      <c r="A12" t="s">
        <v>90</v>
      </c>
      <c r="B12">
        <v>30</v>
      </c>
      <c r="C12">
        <v>30</v>
      </c>
      <c r="D12">
        <f>TableMUN[[#This Row],[ARIMAPP]]*$I$2+TableMUN[[#This Row],[LSTMPP]]*$I$3</f>
        <v>30.053075502195249</v>
      </c>
      <c r="E12">
        <v>46</v>
      </c>
      <c r="F12">
        <f>ABS(TableMUN[[#This Row],[PP]]-TableMUN[[#This Row],[AP]])</f>
        <v>15.946924497804751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96</v>
      </c>
      <c r="B2">
        <v>45.499999999999979</v>
      </c>
      <c r="C2">
        <v>37.589285714285722</v>
      </c>
      <c r="D2">
        <f>TableNEW[[#This Row],[ARIMAPP]]*$I$2+TableNEW[[#This Row],[LSTMPP]]*$I$3</f>
        <v>47.129981994978458</v>
      </c>
      <c r="E2">
        <v>47</v>
      </c>
      <c r="F2">
        <f>ABS(TableNEW[[#This Row],[PP]]-TableNEW[[#This Row],[AP]])</f>
        <v>0.12998199497845775</v>
      </c>
      <c r="H2" t="s">
        <v>0</v>
      </c>
      <c r="I2">
        <v>0.57987368725086919</v>
      </c>
    </row>
    <row r="3" spans="1:9" x14ac:dyDescent="0.2">
      <c r="A3" t="s">
        <v>139</v>
      </c>
      <c r="B3">
        <v>20.074341959348999</v>
      </c>
      <c r="C3">
        <v>28.125</v>
      </c>
      <c r="D3">
        <f>TableNEW[[#This Row],[ARIMAPP]]*$I$2+TableNEW[[#This Row],[LSTMPP]]*$I$3</f>
        <v>27.162921659974593</v>
      </c>
      <c r="E3">
        <v>35</v>
      </c>
      <c r="F3">
        <f>ABS(TableNEW[[#This Row],[PP]]-TableNEW[[#This Row],[AP]])</f>
        <v>7.8370783400254069</v>
      </c>
      <c r="H3" t="s">
        <v>1</v>
      </c>
      <c r="I3">
        <v>0.55190538555989521</v>
      </c>
    </row>
    <row r="4" spans="1:9" x14ac:dyDescent="0.2">
      <c r="A4" t="s">
        <v>140</v>
      </c>
      <c r="B4">
        <v>50.890672058990837</v>
      </c>
      <c r="C4">
        <v>38.999999999999993</v>
      </c>
      <c r="D4">
        <f>TableNEW[[#This Row],[ARIMAPP]]*$I$2+TableNEW[[#This Row],[LSTMPP]]*$I$3</f>
        <v>51.034471690357705</v>
      </c>
      <c r="E4">
        <v>41</v>
      </c>
      <c r="F4">
        <f>ABS(TableNEW[[#This Row],[PP]]-TableNEW[[#This Row],[AP]])</f>
        <v>10.034471690357705</v>
      </c>
    </row>
    <row r="5" spans="1:9" x14ac:dyDescent="0.2">
      <c r="A5" t="s">
        <v>141</v>
      </c>
      <c r="B5">
        <v>35.540168482403367</v>
      </c>
      <c r="C5">
        <v>30.68627450980393</v>
      </c>
      <c r="D5">
        <f>TableNEW[[#This Row],[ARIMAPP]]*$I$2+TableNEW[[#This Row],[LSTMPP]]*$I$3</f>
        <v>37.544728708138493</v>
      </c>
      <c r="E5">
        <v>30</v>
      </c>
      <c r="F5">
        <f>ABS(TableNEW[[#This Row],[PP]]-TableNEW[[#This Row],[AP]])</f>
        <v>7.5447287081384928</v>
      </c>
      <c r="H5" t="s">
        <v>2</v>
      </c>
      <c r="I5" cm="1">
        <f t="array" ref="I5">(SUM(TableNEW[PP]-TableNEW[AP]))^2</f>
        <v>1.2621774483536189E-27</v>
      </c>
    </row>
    <row r="6" spans="1:9" x14ac:dyDescent="0.2">
      <c r="A6" t="s">
        <v>142</v>
      </c>
      <c r="B6">
        <v>22.631578947368439</v>
      </c>
      <c r="C6">
        <v>25.604395604395609</v>
      </c>
      <c r="D6">
        <f>TableNEW[[#This Row],[ARIMAPP]]*$I$2+TableNEW[[#This Row],[LSTMPP]]*$I$3</f>
        <v>27.254660960591728</v>
      </c>
      <c r="E6">
        <v>33</v>
      </c>
      <c r="F6">
        <f>ABS(TableNEW[[#This Row],[PP]]-TableNEW[[#This Row],[AP]])</f>
        <v>5.7453390394082717</v>
      </c>
    </row>
    <row r="7" spans="1:9" x14ac:dyDescent="0.2">
      <c r="A7" t="s">
        <v>143</v>
      </c>
      <c r="B7">
        <v>28.88000000000002</v>
      </c>
      <c r="C7">
        <v>29.1</v>
      </c>
      <c r="D7">
        <f>TableNEW[[#This Row],[ARIMAPP]]*$I$2+TableNEW[[#This Row],[LSTMPP]]*$I$3</f>
        <v>32.80719880759807</v>
      </c>
      <c r="E7">
        <v>48</v>
      </c>
      <c r="F7">
        <f>ABS(TableNEW[[#This Row],[PP]]-TableNEW[[#This Row],[AP]])</f>
        <v>15.19280119240193</v>
      </c>
      <c r="H7" t="s">
        <v>3</v>
      </c>
      <c r="I7">
        <f>AVERAGE(TableNEW[DIFF])/10</f>
        <v>1.0201751747744896</v>
      </c>
    </row>
    <row r="8" spans="1:9" x14ac:dyDescent="0.2">
      <c r="A8" t="s">
        <v>144</v>
      </c>
      <c r="B8">
        <v>25.54744525547445</v>
      </c>
      <c r="C8">
        <v>26.192660550458712</v>
      </c>
      <c r="D8">
        <f>TableNEW[[#This Row],[ARIMAPP]]*$I$2+TableNEW[[#This Row],[LSTMPP]]*$I$3</f>
        <v>29.270161700072066</v>
      </c>
      <c r="E8">
        <v>34</v>
      </c>
      <c r="F8">
        <f>ABS(TableNEW[[#This Row],[PP]]-TableNEW[[#This Row],[AP]])</f>
        <v>4.729838299927934</v>
      </c>
    </row>
    <row r="9" spans="1:9" x14ac:dyDescent="0.2">
      <c r="A9" t="s">
        <v>145</v>
      </c>
      <c r="B9">
        <v>40.746675280074868</v>
      </c>
      <c r="C9">
        <v>35.648148148148159</v>
      </c>
      <c r="D9">
        <f>TableNEW[[#This Row],[ARIMAPP]]*$I$2+TableNEW[[#This Row],[LSTMPP]]*$I$3</f>
        <v>43.302329786070828</v>
      </c>
      <c r="E9">
        <v>47</v>
      </c>
      <c r="F9">
        <f>ABS(TableNEW[[#This Row],[PP]]-TableNEW[[#This Row],[AP]])</f>
        <v>3.6976702139291717</v>
      </c>
    </row>
    <row r="10" spans="1:9" x14ac:dyDescent="0.2">
      <c r="A10" t="s">
        <v>146</v>
      </c>
      <c r="B10">
        <v>26.463516260625539</v>
      </c>
      <c r="C10">
        <v>26.53846153846154</v>
      </c>
      <c r="D10">
        <f>TableNEW[[#This Row],[ARIMAPP]]*$I$2+TableNEW[[#This Row],[LSTMPP]]*$I$3</f>
        <v>29.992216599223333</v>
      </c>
      <c r="E10">
        <v>54</v>
      </c>
      <c r="F10">
        <f>ABS(TableNEW[[#This Row],[PP]]-TableNEW[[#This Row],[AP]])</f>
        <v>24.007783400776667</v>
      </c>
    </row>
    <row r="11" spans="1:9" x14ac:dyDescent="0.2">
      <c r="A11" t="s">
        <v>147</v>
      </c>
      <c r="B11">
        <v>34.901960784313736</v>
      </c>
      <c r="C11">
        <v>31.75</v>
      </c>
      <c r="D11">
        <f>TableNEW[[#This Row],[ARIMAPP]]*$I$2+TableNEW[[#This Row],[LSTMPP]]*$I$3</f>
        <v>37.76172468381192</v>
      </c>
      <c r="E11">
        <v>26</v>
      </c>
      <c r="F11">
        <f>ABS(TableNEW[[#This Row],[PP]]-TableNEW[[#This Row],[AP]])</f>
        <v>11.76172468381192</v>
      </c>
    </row>
    <row r="12" spans="1:9" x14ac:dyDescent="0.2">
      <c r="A12" t="s">
        <v>148</v>
      </c>
      <c r="B12">
        <v>44.46576424315883</v>
      </c>
      <c r="C12">
        <v>46.753830827582952</v>
      </c>
      <c r="D12">
        <f>TableNEW[[#This Row],[ARIMAPP]]*$I$2+TableNEW[[#This Row],[LSTMPP]]*$I$3</f>
        <v>51.58821769740765</v>
      </c>
      <c r="E12">
        <v>31</v>
      </c>
      <c r="F12">
        <f>ABS(TableNEW[[#This Row],[PP]]-TableNEW[[#This Row],[AP]])</f>
        <v>20.58821769740765</v>
      </c>
    </row>
    <row r="13" spans="1:9" x14ac:dyDescent="0.2">
      <c r="A13" t="s">
        <v>149</v>
      </c>
      <c r="B13">
        <v>47.826086956521728</v>
      </c>
      <c r="C13">
        <v>46.055532318696073</v>
      </c>
      <c r="D13">
        <f>TableNEW[[#This Row],[ARIMAPP]]*$I$2+TableNEW[[#This Row],[LSTMPP]]*$I$3</f>
        <v>53.15138571177512</v>
      </c>
      <c r="E13">
        <v>42</v>
      </c>
      <c r="F13">
        <f>ABS(TableNEW[[#This Row],[PP]]-TableNEW[[#This Row],[AP]])</f>
        <v>11.15138571177512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150</v>
      </c>
      <c r="B2">
        <v>33.201430079758588</v>
      </c>
      <c r="C2">
        <v>33.701817809831368</v>
      </c>
      <c r="D2">
        <f>TableNFO[[#This Row],[ARIMAPP]]*$I$2+TableNFO[[#This Row],[LSTMPP]]*$I$3</f>
        <v>42.594610457242709</v>
      </c>
      <c r="E2">
        <v>35</v>
      </c>
      <c r="F2">
        <f>ABS(TableNFO[[#This Row],[PP]]-TableNFO[[#This Row],[AP]])</f>
        <v>7.5946104572427089</v>
      </c>
      <c r="H2" t="s">
        <v>0</v>
      </c>
      <c r="I2">
        <v>0.63938459355301369</v>
      </c>
    </row>
    <row r="3" spans="1:9" x14ac:dyDescent="0.2">
      <c r="A3" t="s">
        <v>151</v>
      </c>
      <c r="B3">
        <v>33.391470459011103</v>
      </c>
      <c r="C3">
        <v>25.91549295774648</v>
      </c>
      <c r="D3">
        <f>TableNFO[[#This Row],[ARIMAPP]]*$I$2+TableNFO[[#This Row],[LSTMPP]]*$I$3</f>
        <v>37.7797799756286</v>
      </c>
      <c r="E3">
        <v>35</v>
      </c>
      <c r="F3">
        <f>ABS(TableNFO[[#This Row],[PP]]-TableNFO[[#This Row],[AP]])</f>
        <v>2.7797799756285997</v>
      </c>
      <c r="H3" t="s">
        <v>1</v>
      </c>
      <c r="I3">
        <v>0.63397552324565143</v>
      </c>
    </row>
    <row r="4" spans="1:9" x14ac:dyDescent="0.2">
      <c r="A4" t="s">
        <v>152</v>
      </c>
      <c r="B4">
        <v>20.555052088011781</v>
      </c>
      <c r="C4">
        <v>24.70588235294117</v>
      </c>
      <c r="D4">
        <f>TableNFO[[#This Row],[ARIMAPP]]*$I$2+TableNFO[[#This Row],[LSTMPP]]*$I$3</f>
        <v>28.805508316705822</v>
      </c>
      <c r="E4">
        <v>42</v>
      </c>
      <c r="F4">
        <f>ABS(TableNFO[[#This Row],[PP]]-TableNFO[[#This Row],[AP]])</f>
        <v>13.194491683294178</v>
      </c>
    </row>
    <row r="5" spans="1:9" x14ac:dyDescent="0.2">
      <c r="A5" t="s">
        <v>153</v>
      </c>
      <c r="B5">
        <v>18.48484848484847</v>
      </c>
      <c r="C5">
        <v>23.84615384615384</v>
      </c>
      <c r="D5">
        <f>TableNFO[[#This Row],[ARIMAPP]]*$I$2+TableNFO[[#This Row],[LSTMPP]]*$I$3</f>
        <v>26.936805197385564</v>
      </c>
      <c r="E5">
        <v>24</v>
      </c>
      <c r="F5">
        <f>ABS(TableNFO[[#This Row],[PP]]-TableNFO[[#This Row],[AP]])</f>
        <v>2.9368051973855636</v>
      </c>
      <c r="H5" t="s">
        <v>2</v>
      </c>
      <c r="I5" cm="1">
        <f t="array" ref="I5">(SUM(TableNFO[PP]-TableNFO[AP]))^2</f>
        <v>5.0487097934144756E-29</v>
      </c>
    </row>
    <row r="6" spans="1:9" x14ac:dyDescent="0.2">
      <c r="A6" t="s">
        <v>154</v>
      </c>
      <c r="B6">
        <v>38.076923076923073</v>
      </c>
      <c r="C6">
        <v>28.25</v>
      </c>
      <c r="D6">
        <f>TableNFO[[#This Row],[ARIMAPP]]*$I$2+TableNFO[[#This Row],[LSTMPP]]*$I$3</f>
        <v>42.25560651697748</v>
      </c>
      <c r="E6">
        <v>42</v>
      </c>
      <c r="F6">
        <f>ABS(TableNFO[[#This Row],[PP]]-TableNFO[[#This Row],[AP]])</f>
        <v>0.25560651697747971</v>
      </c>
    </row>
    <row r="7" spans="1:9" x14ac:dyDescent="0.2">
      <c r="A7" t="s">
        <v>155</v>
      </c>
      <c r="B7">
        <v>17.5</v>
      </c>
      <c r="C7">
        <v>21.5625</v>
      </c>
      <c r="D7">
        <f>TableNFO[[#This Row],[ARIMAPP]]*$I$2+TableNFO[[#This Row],[LSTMPP]]*$I$3</f>
        <v>24.859327607162101</v>
      </c>
      <c r="E7">
        <v>29</v>
      </c>
      <c r="F7">
        <f>ABS(TableNFO[[#This Row],[PP]]-TableNFO[[#This Row],[AP]])</f>
        <v>4.1406723928378995</v>
      </c>
      <c r="H7" t="s">
        <v>3</v>
      </c>
      <c r="I7">
        <f>AVERAGE(TableNFO[DIFF])/10</f>
        <v>0.49529040217520237</v>
      </c>
    </row>
    <row r="8" spans="1:9" x14ac:dyDescent="0.2">
      <c r="A8" t="s">
        <v>156</v>
      </c>
      <c r="B8">
        <v>23.33333333049643</v>
      </c>
      <c r="C8">
        <v>25</v>
      </c>
      <c r="D8">
        <f>TableNFO[[#This Row],[ARIMAPP]]*$I$2+TableNFO[[#This Row],[LSTMPP]]*$I$3</f>
        <v>30.768361928897733</v>
      </c>
      <c r="E8">
        <v>27</v>
      </c>
      <c r="F8">
        <f>ABS(TableNFO[[#This Row],[PP]]-TableNFO[[#This Row],[AP]])</f>
        <v>3.7683619288977326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157</v>
      </c>
      <c r="B2">
        <v>17.936844563309489</v>
      </c>
      <c r="C2">
        <v>26.016949152542381</v>
      </c>
      <c r="D2">
        <f>TableSHU[[#This Row],[ARIMAPP]]*$I$2+TableSHU[[#This Row],[LSTMPP]]*$I$3</f>
        <v>24.173944232573632</v>
      </c>
      <c r="E2">
        <v>22</v>
      </c>
      <c r="F2">
        <f>ABS(TableSHU[[#This Row],[PP]]-TableSHU[[#This Row],[AP]])</f>
        <v>2.173944232573632</v>
      </c>
      <c r="H2" t="s">
        <v>0</v>
      </c>
      <c r="I2">
        <v>0.47598908115924715</v>
      </c>
    </row>
    <row r="3" spans="1:9" x14ac:dyDescent="0.2">
      <c r="A3" t="s">
        <v>158</v>
      </c>
      <c r="B3">
        <v>18.666666666666671</v>
      </c>
      <c r="C3">
        <v>22.5</v>
      </c>
      <c r="D3">
        <f>TableSHU[[#This Row],[ARIMAPP]]*$I$2+TableSHU[[#This Row],[LSTMPP]]*$I$3</f>
        <v>22.407643031525502</v>
      </c>
      <c r="E3">
        <v>31</v>
      </c>
      <c r="F3">
        <f>ABS(TableSHU[[#This Row],[PP]]-TableSHU[[#This Row],[AP]])</f>
        <v>8.5923569684744976</v>
      </c>
      <c r="H3" t="s">
        <v>1</v>
      </c>
      <c r="I3">
        <v>0.60100060073568373</v>
      </c>
    </row>
    <row r="4" spans="1:9" x14ac:dyDescent="0.2">
      <c r="A4" t="s">
        <v>159</v>
      </c>
      <c r="B4">
        <v>14.28571428571429</v>
      </c>
      <c r="C4">
        <v>22</v>
      </c>
      <c r="D4">
        <f>TableSHU[[#This Row],[ARIMAPP]]*$I$2+TableSHU[[#This Row],[LSTMPP]]*$I$3</f>
        <v>20.021857232745717</v>
      </c>
      <c r="E4">
        <v>28</v>
      </c>
      <c r="F4">
        <f>ABS(TableSHU[[#This Row],[PP]]-TableSHU[[#This Row],[AP]])</f>
        <v>7.9781427672542833</v>
      </c>
    </row>
    <row r="5" spans="1:9" x14ac:dyDescent="0.2">
      <c r="A5" t="s">
        <v>160</v>
      </c>
      <c r="B5">
        <v>20.48454785439149</v>
      </c>
      <c r="C5">
        <v>27.5</v>
      </c>
      <c r="D5">
        <f>TableSHU[[#This Row],[ARIMAPP]]*$I$2+TableSHU[[#This Row],[LSTMPP]]*$I$3</f>
        <v>26.277937631405734</v>
      </c>
      <c r="E5">
        <v>29</v>
      </c>
      <c r="F5">
        <f>ABS(TableSHU[[#This Row],[PP]]-TableSHU[[#This Row],[AP]])</f>
        <v>2.7220623685942655</v>
      </c>
      <c r="H5" t="s">
        <v>2</v>
      </c>
      <c r="I5" cm="1">
        <f t="array" ref="I5">(SUM(TableSHU[PP]-TableSHU[AP]))^2</f>
        <v>5.0487097934144756E-29</v>
      </c>
    </row>
    <row r="6" spans="1:9" x14ac:dyDescent="0.2">
      <c r="A6" t="s">
        <v>161</v>
      </c>
      <c r="B6">
        <v>37.142857142857153</v>
      </c>
      <c r="C6">
        <v>38.999999999999993</v>
      </c>
      <c r="D6">
        <f>TableSHU[[#This Row],[ARIMAPP]]*$I$2+TableSHU[[#This Row],[LSTMPP]]*$I$3</f>
        <v>41.118617871749422</v>
      </c>
      <c r="E6">
        <v>24</v>
      </c>
      <c r="F6">
        <f>ABS(TableSHU[[#This Row],[PP]]-TableSHU[[#This Row],[AP]])</f>
        <v>17.118617871749422</v>
      </c>
    </row>
    <row r="7" spans="1:9" x14ac:dyDescent="0.2">
      <c r="H7" t="s">
        <v>3</v>
      </c>
      <c r="I7">
        <f>AVERAGE(TableSHU[DIFF])/10</f>
        <v>0.77170248417292198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162</v>
      </c>
      <c r="B2">
        <v>43.451991934040016</v>
      </c>
      <c r="C2">
        <v>42.131840498695702</v>
      </c>
      <c r="D2">
        <f>TableTOT[[#This Row],[ARIMAPP]]*$I$2+TableTOT[[#This Row],[LSTMPP]]*$I$3</f>
        <v>47.13051950764283</v>
      </c>
      <c r="E2">
        <v>54</v>
      </c>
      <c r="F2">
        <f>ABS(TableTOT[[#This Row],[PP]]-TableTOT[[#This Row],[AP]])</f>
        <v>6.8694804923571695</v>
      </c>
      <c r="H2" t="s">
        <v>0</v>
      </c>
      <c r="I2">
        <v>0.55590071304089117</v>
      </c>
    </row>
    <row r="3" spans="1:9" x14ac:dyDescent="0.2">
      <c r="A3" t="s">
        <v>163</v>
      </c>
      <c r="B3">
        <v>24.730393523097231</v>
      </c>
      <c r="C3">
        <v>40.901219057664221</v>
      </c>
      <c r="D3">
        <f>TableTOT[[#This Row],[ARIMAPP]]*$I$2+TableTOT[[#This Row],[LSTMPP]]*$I$3</f>
        <v>36.052081540153381</v>
      </c>
      <c r="E3">
        <v>50</v>
      </c>
      <c r="F3">
        <f>ABS(TableTOT[[#This Row],[PP]]-TableTOT[[#This Row],[AP]])</f>
        <v>13.947918459846619</v>
      </c>
      <c r="H3" t="s">
        <v>1</v>
      </c>
      <c r="I3">
        <v>0.5453245321474669</v>
      </c>
    </row>
    <row r="4" spans="1:9" x14ac:dyDescent="0.2">
      <c r="A4" t="s">
        <v>164</v>
      </c>
      <c r="B4">
        <v>30.78431372549019</v>
      </c>
      <c r="C4">
        <v>28</v>
      </c>
      <c r="D4">
        <f>TableTOT[[#This Row],[ARIMAPP]]*$I$2+TableTOT[[#This Row],[LSTMPP]]*$I$3</f>
        <v>32.382108850603565</v>
      </c>
      <c r="E4">
        <v>33</v>
      </c>
      <c r="F4">
        <f>ABS(TableTOT[[#This Row],[PP]]-TableTOT[[#This Row],[AP]])</f>
        <v>0.61789114939643497</v>
      </c>
    </row>
    <row r="5" spans="1:9" x14ac:dyDescent="0.2">
      <c r="A5" t="s">
        <v>165</v>
      </c>
      <c r="B5">
        <v>38.105917038380667</v>
      </c>
      <c r="C5">
        <v>40.927056128863612</v>
      </c>
      <c r="D5">
        <f>TableTOT[[#This Row],[ARIMAPP]]*$I$2+TableTOT[[#This Row],[LSTMPP]]*$I$3</f>
        <v>43.501634188358523</v>
      </c>
      <c r="E5">
        <v>47</v>
      </c>
      <c r="F5">
        <f>ABS(TableTOT[[#This Row],[PP]]-TableTOT[[#This Row],[AP]])</f>
        <v>3.4983658116414773</v>
      </c>
      <c r="H5" t="s">
        <v>2</v>
      </c>
      <c r="I5" cm="1">
        <f t="array" ref="I5">(SUM(TableTOT[PP]-TableTOT[AP]))^2</f>
        <v>5.0487097934144756E-29</v>
      </c>
    </row>
    <row r="6" spans="1:9" x14ac:dyDescent="0.2">
      <c r="A6" t="s">
        <v>166</v>
      </c>
      <c r="B6">
        <v>29.523809523809518</v>
      </c>
      <c r="C6">
        <v>29.696969696969688</v>
      </c>
      <c r="D6">
        <f>TableTOT[[#This Row],[ARIMAPP]]*$I$2+TableTOT[[#This Row],[LSTMPP]]*$I$3</f>
        <v>32.606792872166665</v>
      </c>
      <c r="E6">
        <v>36</v>
      </c>
      <c r="F6">
        <f>ABS(TableTOT[[#This Row],[PP]]-TableTOT[[#This Row],[AP]])</f>
        <v>3.3932071278333353</v>
      </c>
    </row>
    <row r="7" spans="1:9" x14ac:dyDescent="0.2">
      <c r="A7" t="s">
        <v>167</v>
      </c>
      <c r="B7">
        <v>47.441860465116292</v>
      </c>
      <c r="C7">
        <v>35.147058823529413</v>
      </c>
      <c r="D7">
        <f>TableTOT[[#This Row],[ARIMAPP]]*$I$2+TableTOT[[#This Row],[LSTMPP]]*$I$3</f>
        <v>45.539517469845286</v>
      </c>
      <c r="E7">
        <v>68</v>
      </c>
      <c r="F7">
        <f>ABS(TableTOT[[#This Row],[PP]]-TableTOT[[#This Row],[AP]])</f>
        <v>22.460482530154714</v>
      </c>
      <c r="H7" t="s">
        <v>3</v>
      </c>
      <c r="I7">
        <f>AVERAGE(TableTOT[DIFF])/10</f>
        <v>1.0640435848969898</v>
      </c>
    </row>
    <row r="8" spans="1:9" x14ac:dyDescent="0.2">
      <c r="A8" t="s">
        <v>168</v>
      </c>
      <c r="B8">
        <v>19.411764705882351</v>
      </c>
      <c r="C8">
        <v>23.46153846153846</v>
      </c>
      <c r="D8">
        <f>TableTOT[[#This Row],[ARIMAPP]]*$I$2+TableTOT[[#This Row],[LSTMPP]]*$I$3</f>
        <v>23.585166326380264</v>
      </c>
      <c r="E8">
        <v>26</v>
      </c>
      <c r="F8">
        <f>ABS(TableTOT[[#This Row],[PP]]-TableTOT[[#This Row],[AP]])</f>
        <v>2.4148336736197358</v>
      </c>
    </row>
    <row r="9" spans="1:9" x14ac:dyDescent="0.2">
      <c r="A9" t="s">
        <v>169</v>
      </c>
      <c r="B9">
        <v>40.06981868816861</v>
      </c>
      <c r="C9">
        <v>34.843842285570453</v>
      </c>
      <c r="D9">
        <f>TableTOT[[#This Row],[ARIMAPP]]*$I$2+TableTOT[[#This Row],[LSTMPP]]*$I$3</f>
        <v>41.276042772770985</v>
      </c>
      <c r="E9">
        <v>38</v>
      </c>
      <c r="F9">
        <f>ABS(TableTOT[[#This Row],[PP]]-TableTOT[[#This Row],[AP]])</f>
        <v>3.2760427727709853</v>
      </c>
    </row>
    <row r="10" spans="1:9" x14ac:dyDescent="0.2">
      <c r="A10" t="s">
        <v>170</v>
      </c>
      <c r="B10">
        <v>50</v>
      </c>
      <c r="C10">
        <v>41.105745843516331</v>
      </c>
      <c r="D10">
        <f>TableTOT[[#This Row],[ARIMAPP]]*$I$2+TableTOT[[#This Row],[LSTMPP]]*$I$3</f>
        <v>50.211007272732786</v>
      </c>
      <c r="E10">
        <v>20</v>
      </c>
      <c r="F10">
        <f>ABS(TableTOT[[#This Row],[PP]]-TableTOT[[#This Row],[AP]])</f>
        <v>30.211007272732786</v>
      </c>
    </row>
    <row r="11" spans="1:9" x14ac:dyDescent="0.2">
      <c r="A11" t="s">
        <v>171</v>
      </c>
      <c r="B11">
        <v>44.999999999999993</v>
      </c>
      <c r="C11">
        <v>45.293390736044032</v>
      </c>
      <c r="D11">
        <f>TableTOT[[#This Row],[ARIMAPP]]*$I$2+TableTOT[[#This Row],[LSTMPP]]*$I$3</f>
        <v>49.715129199345725</v>
      </c>
      <c r="E11">
        <v>30</v>
      </c>
      <c r="F11">
        <f>ABS(TableTOT[[#This Row],[PP]]-TableTOT[[#This Row],[AP]])</f>
        <v>19.715129199345725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172</v>
      </c>
      <c r="B2">
        <v>37.133333333333383</v>
      </c>
      <c r="C2">
        <v>39.675718633427678</v>
      </c>
      <c r="D2">
        <f>TableWHU[[#This Row],[ARIMAPP]]*$I$2+TableWHU[[#This Row],[LSTMPP]]*$I$3</f>
        <v>40.297747281865377</v>
      </c>
      <c r="E2">
        <v>28</v>
      </c>
      <c r="F2">
        <f>ABS(TableWHU[[#This Row],[PP]]-TableWHU[[#This Row],[AP]])</f>
        <v>12.297747281865377</v>
      </c>
      <c r="H2" t="s">
        <v>0</v>
      </c>
      <c r="I2">
        <v>0.53936140554124767</v>
      </c>
    </row>
    <row r="3" spans="1:9" x14ac:dyDescent="0.2">
      <c r="A3" t="s">
        <v>173</v>
      </c>
      <c r="B3">
        <v>38.36252643752303</v>
      </c>
      <c r="C3">
        <v>38.443248645236679</v>
      </c>
      <c r="D3">
        <f>TableWHU[[#This Row],[ARIMAPP]]*$I$2+TableWHU[[#This Row],[LSTMPP]]*$I$3</f>
        <v>40.331084531244869</v>
      </c>
      <c r="E3">
        <v>36</v>
      </c>
      <c r="F3">
        <f>ABS(TableWHU[[#This Row],[PP]]-TableWHU[[#This Row],[AP]])</f>
        <v>4.3310845312448691</v>
      </c>
      <c r="H3" t="s">
        <v>1</v>
      </c>
      <c r="I3">
        <v>0.51087821773414699</v>
      </c>
    </row>
    <row r="4" spans="1:9" x14ac:dyDescent="0.2">
      <c r="A4" t="s">
        <v>174</v>
      </c>
      <c r="B4">
        <v>32.867647058823508</v>
      </c>
      <c r="C4">
        <v>31.111111111111111</v>
      </c>
      <c r="D4">
        <f>TableWHU[[#This Row],[ARIMAPP]]*$I$2+TableWHU[[#This Row],[LSTMPP]]*$I$3</f>
        <v>33.621529310654168</v>
      </c>
      <c r="E4">
        <v>26</v>
      </c>
      <c r="F4">
        <f>ABS(TableWHU[[#This Row],[PP]]-TableWHU[[#This Row],[AP]])</f>
        <v>7.6215293106541679</v>
      </c>
    </row>
    <row r="5" spans="1:9" x14ac:dyDescent="0.2">
      <c r="A5" t="s">
        <v>175</v>
      </c>
      <c r="B5">
        <v>18.18181818181818</v>
      </c>
      <c r="C5">
        <v>23.63636363636364</v>
      </c>
      <c r="D5">
        <f>TableWHU[[#This Row],[ARIMAPP]]*$I$2+TableWHU[[#This Row],[LSTMPP]]*$I$3</f>
        <v>21.881874338102524</v>
      </c>
      <c r="E5">
        <v>24</v>
      </c>
      <c r="F5">
        <f>ABS(TableWHU[[#This Row],[PP]]-TableWHU[[#This Row],[AP]])</f>
        <v>2.1181256618974764</v>
      </c>
      <c r="H5" t="s">
        <v>2</v>
      </c>
      <c r="I5" cm="1">
        <f t="array" ref="I5">(SUM(TableWHU[PP]-TableWHU[AP]))^2</f>
        <v>8.0779356694631609E-28</v>
      </c>
    </row>
    <row r="6" spans="1:9" x14ac:dyDescent="0.2">
      <c r="A6" t="s">
        <v>176</v>
      </c>
      <c r="B6">
        <v>46.630555511409142</v>
      </c>
      <c r="C6">
        <v>42.827831279363103</v>
      </c>
      <c r="D6">
        <f>TableWHU[[#This Row],[ARIMAPP]]*$I$2+TableWHU[[#This Row],[LSTMPP]]*$I$3</f>
        <v>47.030528075222584</v>
      </c>
      <c r="E6">
        <v>54</v>
      </c>
      <c r="F6">
        <f>ABS(TableWHU[[#This Row],[PP]]-TableWHU[[#This Row],[AP]])</f>
        <v>6.9694719247774159</v>
      </c>
    </row>
    <row r="7" spans="1:9" x14ac:dyDescent="0.2">
      <c r="A7" t="s">
        <v>177</v>
      </c>
      <c r="B7">
        <v>32.272727272727273</v>
      </c>
      <c r="C7">
        <v>31.857142857142861</v>
      </c>
      <c r="D7">
        <f>TableWHU[[#This Row],[ARIMAPP]]*$I$2+TableWHU[[#This Row],[LSTMPP]]*$I$3</f>
        <v>33.681783907426791</v>
      </c>
      <c r="E7">
        <v>29</v>
      </c>
      <c r="F7">
        <f>ABS(TableWHU[[#This Row],[PP]]-TableWHU[[#This Row],[AP]])</f>
        <v>4.6817839074267908</v>
      </c>
      <c r="H7" t="s">
        <v>3</v>
      </c>
      <c r="I7">
        <f>AVERAGE(TableWHU[DIFF])/10</f>
        <v>0.9963579752640277</v>
      </c>
    </row>
    <row r="8" spans="1:9" x14ac:dyDescent="0.2">
      <c r="A8" t="s">
        <v>178</v>
      </c>
      <c r="B8">
        <v>34.848484848484837</v>
      </c>
      <c r="C8">
        <v>36.162165111396973</v>
      </c>
      <c r="D8">
        <f>TableWHU[[#This Row],[ARIMAPP]]*$I$2+TableWHU[[#This Row],[LSTMPP]]*$I$3</f>
        <v>37.270390230380087</v>
      </c>
      <c r="E8">
        <v>40</v>
      </c>
      <c r="F8">
        <f>ABS(TableWHU[[#This Row],[PP]]-TableWHU[[#This Row],[AP]])</f>
        <v>2.7296097696199126</v>
      </c>
    </row>
    <row r="9" spans="1:9" x14ac:dyDescent="0.2">
      <c r="A9" t="s">
        <v>179</v>
      </c>
      <c r="B9">
        <v>41.249999999999993</v>
      </c>
      <c r="C9">
        <v>29.294215698812629</v>
      </c>
      <c r="D9">
        <f>TableWHU[[#This Row],[ARIMAPP]]*$I$2+TableWHU[[#This Row],[LSTMPP]]*$I$3</f>
        <v>37.21443468470553</v>
      </c>
      <c r="E9">
        <v>23</v>
      </c>
      <c r="F9">
        <f>ABS(TableWHU[[#This Row],[PP]]-TableWHU[[#This Row],[AP]])</f>
        <v>14.21443468470553</v>
      </c>
    </row>
    <row r="10" spans="1:9" x14ac:dyDescent="0.2">
      <c r="A10" t="s">
        <v>180</v>
      </c>
      <c r="B10">
        <v>41.428571428571423</v>
      </c>
      <c r="C10">
        <v>30</v>
      </c>
      <c r="D10">
        <f>TableWHU[[#This Row],[ARIMAPP]]*$I$2+TableWHU[[#This Row],[LSTMPP]]*$I$3</f>
        <v>37.671319047304664</v>
      </c>
      <c r="E10">
        <v>31</v>
      </c>
      <c r="F10">
        <f>ABS(TableWHU[[#This Row],[PP]]-TableWHU[[#This Row],[AP]])</f>
        <v>6.6713190473046637</v>
      </c>
    </row>
    <row r="11" spans="1:9" x14ac:dyDescent="0.2">
      <c r="A11" t="s">
        <v>181</v>
      </c>
      <c r="B11">
        <v>21.999999999999989</v>
      </c>
      <c r="C11">
        <v>23.75</v>
      </c>
      <c r="D11">
        <f>TableWHU[[#This Row],[ARIMAPP]]*$I$2+TableWHU[[#This Row],[LSTMPP]]*$I$3</f>
        <v>23.999308593093431</v>
      </c>
      <c r="E11">
        <v>62</v>
      </c>
      <c r="F11">
        <f>ABS(TableWHU[[#This Row],[PP]]-TableWHU[[#This Row],[AP]])</f>
        <v>38.000691406906569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W28" sqref="W28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182</v>
      </c>
      <c r="B2">
        <v>19.275428567185099</v>
      </c>
      <c r="C2">
        <v>24.910714285714281</v>
      </c>
      <c r="D2">
        <f>TableWOL[[#This Row],[ARIMAPP]]*$I$2+TableWOL[[#This Row],[LSTMPP]]*$I$3</f>
        <v>24.876785820299975</v>
      </c>
      <c r="E2">
        <v>37</v>
      </c>
      <c r="F2">
        <f>ABS(TableWOL[[#This Row],[PP]]-TableWOL[[#This Row],[AP]])</f>
        <v>12.123214179700025</v>
      </c>
      <c r="H2" t="s">
        <v>0</v>
      </c>
      <c r="I2">
        <v>0.61450856056247305</v>
      </c>
    </row>
    <row r="3" spans="1:9" x14ac:dyDescent="0.2">
      <c r="A3" t="s">
        <v>183</v>
      </c>
      <c r="B3">
        <v>41.838985605588768</v>
      </c>
      <c r="C3">
        <v>34.750000000000007</v>
      </c>
      <c r="D3">
        <f>TableWOL[[#This Row],[ARIMAPP]]*$I$2+TableWOL[[#This Row],[LSTMPP]]*$I$3</f>
        <v>43.889639864197541</v>
      </c>
      <c r="E3">
        <v>21</v>
      </c>
      <c r="F3">
        <f>ABS(TableWOL[[#This Row],[PP]]-TableWOL[[#This Row],[AP]])</f>
        <v>22.889639864197541</v>
      </c>
      <c r="H3" t="s">
        <v>1</v>
      </c>
      <c r="I3">
        <v>0.52314316674282457</v>
      </c>
    </row>
    <row r="4" spans="1:9" x14ac:dyDescent="0.2">
      <c r="A4" t="s">
        <v>184</v>
      </c>
      <c r="B4">
        <v>21.53846153846154</v>
      </c>
      <c r="C4">
        <v>26</v>
      </c>
      <c r="D4">
        <f>TableWOL[[#This Row],[ARIMAPP]]*$I$2+TableWOL[[#This Row],[LSTMPP]]*$I$3</f>
        <v>26.83729133204363</v>
      </c>
      <c r="E4">
        <v>25</v>
      </c>
      <c r="F4">
        <f>ABS(TableWOL[[#This Row],[PP]]-TableWOL[[#This Row],[AP]])</f>
        <v>1.8372913320436304</v>
      </c>
    </row>
    <row r="5" spans="1:9" x14ac:dyDescent="0.2">
      <c r="A5" t="s">
        <v>185</v>
      </c>
      <c r="B5">
        <v>52.944073989153047</v>
      </c>
      <c r="C5">
        <v>26.071428571428569</v>
      </c>
      <c r="D5">
        <f>TableWOL[[#This Row],[ARIMAPP]]*$I$2+TableWOL[[#This Row],[LSTMPP]]*$I$3</f>
        <v>46.173676401754008</v>
      </c>
      <c r="E5">
        <v>42</v>
      </c>
      <c r="F5">
        <f>ABS(TableWOL[[#This Row],[PP]]-TableWOL[[#This Row],[AP]])</f>
        <v>4.1736764017540082</v>
      </c>
      <c r="H5" t="s">
        <v>2</v>
      </c>
      <c r="I5" cm="1">
        <f t="array" ref="I5">(SUM(TableWOL[PP]-TableWOL[AP]))^2</f>
        <v>0</v>
      </c>
    </row>
    <row r="6" spans="1:9" x14ac:dyDescent="0.2">
      <c r="A6" t="s">
        <v>186</v>
      </c>
      <c r="B6">
        <v>24.8</v>
      </c>
      <c r="C6">
        <v>24.816905017776541</v>
      </c>
      <c r="D6">
        <f>TableWOL[[#This Row],[ARIMAPP]]*$I$2+TableWOL[[#This Row],[LSTMPP]]*$I$3</f>
        <v>28.222606581704845</v>
      </c>
      <c r="E6">
        <v>45</v>
      </c>
      <c r="F6">
        <f>ABS(TableWOL[[#This Row],[PP]]-TableWOL[[#This Row],[AP]])</f>
        <v>16.777393418295155</v>
      </c>
    </row>
    <row r="7" spans="1:9" x14ac:dyDescent="0.2">
      <c r="H7" t="s">
        <v>3</v>
      </c>
      <c r="I7">
        <f>AVERAGE(TableWOL[DIFF])/10</f>
        <v>1.1560243039198073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2023-12-25T16:58:04Z</dcterms:created>
  <dcterms:modified xsi:type="dcterms:W3CDTF">2023-12-25T17:07:29Z</dcterms:modified>
</cp:coreProperties>
</file>