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36C805DB-BCA5-E640-AA83-D8FCD789148C}" xr6:coauthVersionLast="47" xr6:coauthVersionMax="47" xr10:uidLastSave="{00000000-0000-0000-0000-000000000000}"/>
  <bookViews>
    <workbookView xWindow="240" yWindow="500" windowWidth="24180" windowHeight="19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07" i="1" l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21" i="1"/>
  <c r="AH121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52" i="1"/>
  <c r="AH152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99" i="1"/>
  <c r="AH199" i="1"/>
  <c r="AI168" i="1"/>
  <c r="AH168" i="1"/>
  <c r="AI28" i="1"/>
  <c r="AH28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51" i="1"/>
  <c r="AH151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85" i="1"/>
  <c r="AH85" i="1"/>
  <c r="AI86" i="1"/>
  <c r="AH86" i="1"/>
  <c r="AI160" i="1"/>
  <c r="AH16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41" i="1"/>
  <c r="AH4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169" i="1"/>
  <c r="AH169" i="1"/>
  <c r="AI167" i="1"/>
  <c r="AH167" i="1"/>
  <c r="AI84" i="1"/>
  <c r="AH84" i="1"/>
  <c r="AI83" i="1"/>
  <c r="AH83" i="1"/>
  <c r="AI82" i="1"/>
  <c r="AH82" i="1"/>
  <c r="AI81" i="1"/>
  <c r="AH81" i="1"/>
  <c r="AI80" i="1"/>
  <c r="AH80" i="1"/>
  <c r="AI183" i="1"/>
  <c r="AH183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150" i="1"/>
  <c r="AH150" i="1"/>
  <c r="AI45" i="1"/>
  <c r="AH45" i="1"/>
  <c r="AI44" i="1"/>
  <c r="AH44" i="1"/>
  <c r="AI43" i="1"/>
  <c r="AH43" i="1"/>
  <c r="AI42" i="1"/>
  <c r="AH42" i="1"/>
  <c r="AI46" i="1"/>
  <c r="AH46" i="1"/>
  <c r="AI40" i="1"/>
  <c r="AH40" i="1"/>
  <c r="AI39" i="1"/>
  <c r="AH39" i="1"/>
  <c r="AO38" i="1"/>
  <c r="AI38" i="1"/>
  <c r="AH38" i="1"/>
  <c r="AO37" i="1"/>
  <c r="AI37" i="1"/>
  <c r="AH37" i="1"/>
  <c r="AO36" i="1"/>
  <c r="AI36" i="1"/>
  <c r="AH36" i="1"/>
  <c r="AO35" i="1"/>
  <c r="AI35" i="1"/>
  <c r="AH35" i="1"/>
  <c r="AO34" i="1"/>
  <c r="AI34" i="1"/>
  <c r="AH34" i="1"/>
  <c r="AO33" i="1"/>
  <c r="AI33" i="1"/>
  <c r="AH33" i="1"/>
  <c r="AO32" i="1"/>
  <c r="AI32" i="1"/>
  <c r="AH32" i="1"/>
  <c r="AO31" i="1"/>
  <c r="AI31" i="1"/>
  <c r="AH31" i="1"/>
  <c r="AO30" i="1"/>
  <c r="AI30" i="1"/>
  <c r="AH30" i="1"/>
  <c r="AO29" i="1"/>
  <c r="AI29" i="1"/>
  <c r="AH29" i="1"/>
  <c r="AO28" i="1"/>
  <c r="AI79" i="1"/>
  <c r="AH79" i="1"/>
  <c r="AO27" i="1"/>
  <c r="AI27" i="1"/>
  <c r="AH27" i="1"/>
  <c r="AO26" i="1"/>
  <c r="AI26" i="1"/>
  <c r="AH26" i="1"/>
  <c r="AO25" i="1"/>
  <c r="AI25" i="1"/>
  <c r="AH25" i="1"/>
  <c r="AO24" i="1"/>
  <c r="AI24" i="1"/>
  <c r="AH24" i="1"/>
  <c r="AO23" i="1"/>
  <c r="AI23" i="1"/>
  <c r="AH2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O12" i="1"/>
  <c r="AO15" i="1" s="1"/>
  <c r="AI12" i="1"/>
  <c r="AH12" i="1"/>
  <c r="AI11" i="1"/>
  <c r="AH11" i="1"/>
  <c r="AP10" i="1"/>
  <c r="AI10" i="1"/>
  <c r="AH10" i="1"/>
  <c r="AP9" i="1"/>
  <c r="AI9" i="1"/>
  <c r="AH9" i="1"/>
  <c r="AP8" i="1"/>
  <c r="AI8" i="1"/>
  <c r="AH8" i="1"/>
  <c r="AP7" i="1"/>
  <c r="AI7" i="1"/>
  <c r="AH7" i="1"/>
  <c r="AP6" i="1"/>
  <c r="AI6" i="1"/>
  <c r="AH6" i="1"/>
  <c r="AI5" i="1"/>
  <c r="AH5" i="1"/>
  <c r="AO4" i="1"/>
  <c r="AI4" i="1"/>
  <c r="AH4" i="1"/>
  <c r="AI3" i="1"/>
  <c r="AH3" i="1"/>
  <c r="AI2" i="1"/>
  <c r="AH2" i="1"/>
  <c r="AO2" i="1" s="1"/>
  <c r="AO17" i="1" l="1"/>
</calcChain>
</file>

<file path=xl/sharedStrings.xml><?xml version="1.0" encoding="utf-8"?>
<sst xmlns="http://schemas.openxmlformats.org/spreadsheetml/2006/main" count="1100" uniqueCount="477">
  <si>
    <t>Total Points</t>
  </si>
  <si>
    <t>MAX</t>
  </si>
  <si>
    <t>Total Cost</t>
  </si>
  <si>
    <t>GKP</t>
  </si>
  <si>
    <t>DEF</t>
  </si>
  <si>
    <t>MID</t>
  </si>
  <si>
    <t>FWD</t>
  </si>
  <si>
    <t>TOTAL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</si>
  <si>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</si>
  <si>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</si>
  <si>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</si>
  <si>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</si>
  <si>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</si>
  <si>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</si>
  <si>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</si>
  <si>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</si>
  <si>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</si>
  <si>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</si>
  <si>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</si>
  <si>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</si>
  <si>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</si>
  <si>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</si>
  <si>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</si>
  <si>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</si>
  <si>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</si>
  <si>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</si>
  <si>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</si>
  <si>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</si>
  <si>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</si>
  <si>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</si>
  <si>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</si>
  <si>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</si>
  <si>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</si>
  <si>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</si>
  <si>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</si>
  <si>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</si>
  <si>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</si>
  <si>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</si>
  <si>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</si>
  <si>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</si>
  <si>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</si>
  <si>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</si>
  <si>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</si>
  <si>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</si>
  <si>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</si>
  <si>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</si>
  <si>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Fernando de Jesus</t>
  </si>
  <si>
    <t>G.Jesus</t>
  </si>
  <si>
    <t>dos Santos Magalhães</t>
  </si>
  <si>
    <t>Kai</t>
  </si>
  <si>
    <t>Havertz</t>
  </si>
  <si>
    <t>Martinelli Silva</t>
  </si>
  <si>
    <t>Martinelli</t>
  </si>
  <si>
    <t>David</t>
  </si>
  <si>
    <t>Raya Martin</t>
  </si>
  <si>
    <t>Raya</t>
  </si>
  <si>
    <t>Declan</t>
  </si>
  <si>
    <t>Rice</t>
  </si>
  <si>
    <t>Bukayo</t>
  </si>
  <si>
    <t>Saka</t>
  </si>
  <si>
    <t>William</t>
  </si>
  <si>
    <t>Saliba</t>
  </si>
  <si>
    <t>Thomas</t>
  </si>
  <si>
    <t>Partey</t>
  </si>
  <si>
    <t>Leandro</t>
  </si>
  <si>
    <t>Trossard</t>
  </si>
  <si>
    <t>Leon</t>
  </si>
  <si>
    <t>Bailey</t>
  </si>
  <si>
    <t>Ross</t>
  </si>
  <si>
    <t>Barkley</t>
  </si>
  <si>
    <t>Lucas</t>
  </si>
  <si>
    <t>Digne</t>
  </si>
  <si>
    <t>Jhon</t>
  </si>
  <si>
    <t>Durán</t>
  </si>
  <si>
    <t>Duran</t>
  </si>
  <si>
    <t>Ezri</t>
  </si>
  <si>
    <t>Konsa Ngoyo</t>
  </si>
  <si>
    <t>Konsa</t>
  </si>
  <si>
    <t>Ian</t>
  </si>
  <si>
    <t>Maatsen</t>
  </si>
  <si>
    <t>Emiliano</t>
  </si>
  <si>
    <t>Martínez Romero</t>
  </si>
  <si>
    <t>Martinez</t>
  </si>
  <si>
    <t>John</t>
  </si>
  <si>
    <t>McGinn</t>
  </si>
  <si>
    <t>Pau</t>
  </si>
  <si>
    <t>Torres</t>
  </si>
  <si>
    <t>Morgan</t>
  </si>
  <si>
    <t>Rogers</t>
  </si>
  <si>
    <t>Youri</t>
  </si>
  <si>
    <t>Tielemans</t>
  </si>
  <si>
    <t>Ollie</t>
  </si>
  <si>
    <t>Watkins</t>
  </si>
  <si>
    <t>Amadou</t>
  </si>
  <si>
    <t>Onana</t>
  </si>
  <si>
    <t>Ryan</t>
  </si>
  <si>
    <t>Christie</t>
  </si>
  <si>
    <t>Lewis</t>
  </si>
  <si>
    <t>Cook</t>
  </si>
  <si>
    <t>Enes</t>
  </si>
  <si>
    <t>Ünal</t>
  </si>
  <si>
    <t>Enes Ünal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</si>
  <si>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</si>
  <si>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</si>
  <si>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</si>
  <si>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</si>
  <si>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</si>
  <si>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</si>
  <si>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</si>
  <si>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</si>
  <si>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</si>
  <si>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Adam</t>
  </si>
  <si>
    <t>Smith</t>
  </si>
  <si>
    <t>Marcus</t>
  </si>
  <si>
    <t>Tavernier</t>
  </si>
  <si>
    <t>Illia</t>
  </si>
  <si>
    <t>Zabarnyi</t>
  </si>
  <si>
    <t>Kepa</t>
  </si>
  <si>
    <t>Arrizabalaga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</si>
  <si>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</si>
  <si>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</si>
  <si>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</si>
  <si>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</si>
  <si>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</si>
  <si>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</si>
  <si>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</si>
  <si>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</si>
  <si>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</si>
  <si>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</si>
  <si>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</si>
  <si>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</si>
  <si>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Christian</t>
  </si>
  <si>
    <t>Nørgaard</t>
  </si>
  <si>
    <t>Ethan</t>
  </si>
  <si>
    <t>Pinnock</t>
  </si>
  <si>
    <t>Mads</t>
  </si>
  <si>
    <t>Roerslev Rasmussen</t>
  </si>
  <si>
    <t>Roerslev</t>
  </si>
  <si>
    <t>Kevin</t>
  </si>
  <si>
    <t>Schade</t>
  </si>
  <si>
    <t>Yoane</t>
  </si>
  <si>
    <t>Wissa</t>
  </si>
  <si>
    <t>Fábio</t>
  </si>
  <si>
    <t>Freitas Gouveia Carvalho</t>
  </si>
  <si>
    <t>Carvalho</t>
  </si>
  <si>
    <t>Simon</t>
  </si>
  <si>
    <t>Adingra</t>
  </si>
  <si>
    <t>Carlos</t>
  </si>
  <si>
    <t>Baleba</t>
  </si>
  <si>
    <t>Dunk</t>
  </si>
  <si>
    <t>Pervis</t>
  </si>
  <si>
    <t>Estupiñán</t>
  </si>
  <si>
    <t>Estupiñan</t>
  </si>
  <si>
    <t>João Pedro</t>
  </si>
  <si>
    <t>Junqueira de Jesus</t>
  </si>
  <si>
    <t>Jan Paul</t>
  </si>
  <si>
    <t>van Hecke</t>
  </si>
  <si>
    <t>Van Hecke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</si>
  <si>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</si>
  <si>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</si>
  <si>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</si>
  <si>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</si>
  <si>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</si>
  <si>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</si>
  <si>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</si>
  <si>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</si>
  <si>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</si>
  <si>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</si>
  <si>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</si>
  <si>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</si>
  <si>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</si>
  <si>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</si>
  <si>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</si>
  <si>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</si>
  <si>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</si>
  <si>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</si>
  <si>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Malo</t>
  </si>
  <si>
    <t>Gusto</t>
  </si>
  <si>
    <t>Noni</t>
  </si>
  <si>
    <t>Madueke</t>
  </si>
  <si>
    <t>Nicolas</t>
  </si>
  <si>
    <t>Jackson</t>
  </si>
  <si>
    <t>N.Jackson</t>
  </si>
  <si>
    <t>Christopher</t>
  </si>
  <si>
    <t>Nkunku</t>
  </si>
  <si>
    <t>Cole</t>
  </si>
  <si>
    <t>Palmer</t>
  </si>
  <si>
    <t>Robert</t>
  </si>
  <si>
    <t>Sánchez</t>
  </si>
  <si>
    <t>Jadon</t>
  </si>
  <si>
    <t>Sancho</t>
  </si>
  <si>
    <t>Pedro</t>
  </si>
  <si>
    <t>Lomba Neto</t>
  </si>
  <si>
    <t>Neto</t>
  </si>
  <si>
    <t>Eddie</t>
  </si>
  <si>
    <t>Nketiah</t>
  </si>
  <si>
    <t>Eberechi</t>
  </si>
  <si>
    <t>Eze</t>
  </si>
  <si>
    <t>Guéhi</t>
  </si>
  <si>
    <t>Dean</t>
  </si>
  <si>
    <t>Henderson</t>
  </si>
  <si>
    <t>Will</t>
  </si>
  <si>
    <t>Hughes</t>
  </si>
  <si>
    <t>Jefferson</t>
  </si>
  <si>
    <t>Lerma Solís</t>
  </si>
  <si>
    <t>Lerma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</si>
  <si>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</si>
  <si>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</si>
  <si>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</si>
  <si>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</si>
  <si>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</si>
  <si>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</si>
  <si>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</si>
  <si>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</si>
  <si>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</si>
  <si>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</si>
  <si>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</si>
  <si>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</si>
  <si>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Dominic</t>
  </si>
  <si>
    <t>Calvert-Lewin</t>
  </si>
  <si>
    <t>Idrissa</t>
  </si>
  <si>
    <t>Gueye</t>
  </si>
  <si>
    <t>Gana</t>
  </si>
  <si>
    <t>Jack</t>
  </si>
  <si>
    <t>Harrison</t>
  </si>
  <si>
    <t>Vitalii</t>
  </si>
  <si>
    <t>Mykolenko</t>
  </si>
  <si>
    <t>Jordan</t>
  </si>
  <si>
    <t>Pickford</t>
  </si>
  <si>
    <t>James</t>
  </si>
  <si>
    <t>Tarkowski</t>
  </si>
  <si>
    <t>Ashley</t>
  </si>
  <si>
    <t>Young</t>
  </si>
  <si>
    <t>Orel</t>
  </si>
  <si>
    <t>Mangala</t>
  </si>
  <si>
    <t>Emile</t>
  </si>
  <si>
    <t>Smith Rowe</t>
  </si>
  <si>
    <t>Adama</t>
  </si>
  <si>
    <t>Traoré</t>
  </si>
  <si>
    <t>Andreas</t>
  </si>
  <si>
    <t>Hoelgebaum Pereira</t>
  </si>
  <si>
    <t>Calvin</t>
  </si>
  <si>
    <t>Bassey</t>
  </si>
  <si>
    <t>Tom</t>
  </si>
  <si>
    <t>Cairney</t>
  </si>
  <si>
    <t>Issa</t>
  </si>
  <si>
    <t>Diop</t>
  </si>
  <si>
    <t>Alex</t>
  </si>
  <si>
    <t>Iwobi</t>
  </si>
  <si>
    <t>Bernd</t>
  </si>
  <si>
    <t>Leno</t>
  </si>
  <si>
    <t>Saša</t>
  </si>
  <si>
    <t>Lukić</t>
  </si>
  <si>
    <t>Rodrigo</t>
  </si>
  <si>
    <t>Muniz Carvalho</t>
  </si>
  <si>
    <t>Muniz</t>
  </si>
  <si>
    <t>Raúl</t>
  </si>
  <si>
    <t>Jiménez</t>
  </si>
  <si>
    <t>Antonee</t>
  </si>
  <si>
    <t>Robinson</t>
  </si>
  <si>
    <t>Kenny</t>
  </si>
  <si>
    <t>Tete</t>
  </si>
  <si>
    <t>Harry</t>
  </si>
  <si>
    <t>Wilson</t>
  </si>
  <si>
    <t>Sander</t>
  </si>
  <si>
    <t>Berge</t>
  </si>
  <si>
    <t>Arijanet</t>
  </si>
  <si>
    <t>Muric</t>
  </si>
  <si>
    <t>Dara</t>
  </si>
  <si>
    <t>O'Shea</t>
  </si>
  <si>
    <t>Facundo</t>
  </si>
  <si>
    <t>Buonanotte</t>
  </si>
  <si>
    <t>Ayew</t>
  </si>
  <si>
    <t>J.Ayew</t>
  </si>
  <si>
    <t>Bobby</t>
  </si>
  <si>
    <t>De Cordova-Reid</t>
  </si>
  <si>
    <t>Wout</t>
  </si>
  <si>
    <t>Faes</t>
  </si>
  <si>
    <t>Victor</t>
  </si>
  <si>
    <t>Kristiansen</t>
  </si>
  <si>
    <t>Wilfred</t>
  </si>
  <si>
    <t>Ndidi</t>
  </si>
  <si>
    <t>Jamie</t>
  </si>
  <si>
    <t>Vardy</t>
  </si>
  <si>
    <t>Winks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</si>
  <si>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</si>
  <si>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</si>
  <si>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</si>
  <si>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</si>
  <si>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</si>
  <si>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</si>
  <si>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</si>
  <si>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</si>
  <si>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</si>
  <si>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Luis</t>
  </si>
  <si>
    <t>Díaz</t>
  </si>
  <si>
    <t>Luis Díaz</t>
  </si>
  <si>
    <t>Mohamed</t>
  </si>
  <si>
    <t>Salah</t>
  </si>
  <si>
    <t>M.Salah</t>
  </si>
  <si>
    <t>Alexis</t>
  </si>
  <si>
    <t>Mac Allister</t>
  </si>
  <si>
    <t>Andrew</t>
  </si>
  <si>
    <t>Robertson</t>
  </si>
  <si>
    <t>Dominik</t>
  </si>
  <si>
    <t>Szoboszlai</t>
  </si>
  <si>
    <t>Virgil</t>
  </si>
  <si>
    <t>van Dijk</t>
  </si>
  <si>
    <t>Manuel</t>
  </si>
  <si>
    <t>Akanji</t>
  </si>
  <si>
    <t>Bernardo</t>
  </si>
  <si>
    <t>Veiga de Carvalho e Silva</t>
  </si>
  <si>
    <t>Jérémy</t>
  </si>
  <si>
    <t>Doku</t>
  </si>
  <si>
    <t>Phil</t>
  </si>
  <si>
    <t>Foden</t>
  </si>
  <si>
    <t>Grealish</t>
  </si>
  <si>
    <t>Joško</t>
  </si>
  <si>
    <t>Gvardiol</t>
  </si>
  <si>
    <t>Erling</t>
  </si>
  <si>
    <t>Haaland</t>
  </si>
  <si>
    <t>Mateo</t>
  </si>
  <si>
    <t>Kovačić</t>
  </si>
  <si>
    <t>Rico</t>
  </si>
  <si>
    <t>Ilkay</t>
  </si>
  <si>
    <t>Gündogan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</si>
  <si>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</si>
  <si>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</si>
  <si>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</si>
  <si>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</si>
  <si>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</si>
  <si>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</si>
  <si>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</si>
  <si>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</si>
  <si>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</si>
  <si>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</si>
  <si>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</si>
  <si>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</si>
  <si>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</si>
  <si>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Rasmus</t>
  </si>
  <si>
    <t>Højlund</t>
  </si>
  <si>
    <t>Kobbie</t>
  </si>
  <si>
    <t>Mainoo</t>
  </si>
  <si>
    <t>Lisandro</t>
  </si>
  <si>
    <t>Martínez</t>
  </si>
  <si>
    <t>André</t>
  </si>
  <si>
    <t>Rashford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</si>
  <si>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</si>
  <si>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</si>
  <si>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</si>
  <si>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</si>
  <si>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</si>
  <si>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</si>
  <si>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</si>
  <si>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</si>
  <si>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</si>
  <si>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</si>
  <si>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</si>
  <si>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Jacob</t>
  </si>
  <si>
    <t>Murphy</t>
  </si>
  <si>
    <t>J.Murphy</t>
  </si>
  <si>
    <t>Joelinton Cássio</t>
  </si>
  <si>
    <t>Apolinário de Lira</t>
  </si>
  <si>
    <t>Joelinton</t>
  </si>
  <si>
    <t>Tino</t>
  </si>
  <si>
    <t>Livramento</t>
  </si>
  <si>
    <t>Sean</t>
  </si>
  <si>
    <t>Longstaff</t>
  </si>
  <si>
    <t>Nick</t>
  </si>
  <si>
    <t>Pope</t>
  </si>
  <si>
    <t>Fabian</t>
  </si>
  <si>
    <t>Schär</t>
  </si>
  <si>
    <t>Sandro</t>
  </si>
  <si>
    <t>Tonali</t>
  </si>
  <si>
    <t>Joe</t>
  </si>
  <si>
    <t>Willock</t>
  </si>
  <si>
    <t>Ola</t>
  </si>
  <si>
    <t>Aina</t>
  </si>
  <si>
    <t>Elliot</t>
  </si>
  <si>
    <t>Anderson</t>
  </si>
  <si>
    <t>Taiwo</t>
  </si>
  <si>
    <t>Awoniyi</t>
  </si>
  <si>
    <t>Nicolás</t>
  </si>
  <si>
    <t>Domínguez</t>
  </si>
  <si>
    <t>Dominguez</t>
  </si>
  <si>
    <t>Elanga</t>
  </si>
  <si>
    <t>Gibbs-White</t>
  </si>
  <si>
    <t>Callum</t>
  </si>
  <si>
    <t>Hudson-Odoi</t>
  </si>
  <si>
    <t>Murillo</t>
  </si>
  <si>
    <t>Santiago Costa dos Santos</t>
  </si>
  <si>
    <t>Neco</t>
  </si>
  <si>
    <t>Williams</t>
  </si>
  <si>
    <t>N.Williams</t>
  </si>
  <si>
    <t>Matz</t>
  </si>
  <si>
    <t>Sels</t>
  </si>
  <si>
    <t>Chris</t>
  </si>
  <si>
    <t>Wood</t>
  </si>
  <si>
    <t>Yates</t>
  </si>
  <si>
    <t>Cameron</t>
  </si>
  <si>
    <t>Archer</t>
  </si>
  <si>
    <t>Armstrong</t>
  </si>
  <si>
    <t>Jan</t>
  </si>
  <si>
    <t>Bednarek</t>
  </si>
  <si>
    <t>Kyle</t>
  </si>
  <si>
    <t>Walker-Peters</t>
  </si>
  <si>
    <t>Flynn</t>
  </si>
  <si>
    <t>Downes</t>
  </si>
  <si>
    <t>Yves</t>
  </si>
  <si>
    <t>Bissouma</t>
  </si>
  <si>
    <t>Brennan</t>
  </si>
  <si>
    <t>Johnson</t>
  </si>
  <si>
    <t>Dejan</t>
  </si>
  <si>
    <t>Kulusevski</t>
  </si>
  <si>
    <t>Maddison</t>
  </si>
  <si>
    <t>Porro</t>
  </si>
  <si>
    <t>Pedro Porro</t>
  </si>
  <si>
    <t>Pape Matar</t>
  </si>
  <si>
    <t>P.M.Sarr</t>
  </si>
  <si>
    <t>Son</t>
  </si>
  <si>
    <t>Heung-min</t>
  </si>
  <si>
    <t>Destiny</t>
  </si>
  <si>
    <t>Udogie</t>
  </si>
  <si>
    <t>Timo</t>
  </si>
  <si>
    <t>Werner</t>
  </si>
  <si>
    <t>Aaron</t>
  </si>
  <si>
    <t>Wan-Bissaka</t>
  </si>
  <si>
    <t>Edson</t>
  </si>
  <si>
    <t>Álvarez Velázquez</t>
  </si>
  <si>
    <t>Álvarez</t>
  </si>
  <si>
    <t>Michail</t>
  </si>
  <si>
    <t>Antonio</t>
  </si>
  <si>
    <t>Jarrod</t>
  </si>
  <si>
    <t>Bowen</t>
  </si>
  <si>
    <t>Emerson</t>
  </si>
  <si>
    <t>Palmieri dos Santos</t>
  </si>
  <si>
    <t>Max</t>
  </si>
  <si>
    <t>Kilman</t>
  </si>
  <si>
    <t>Mohammed</t>
  </si>
  <si>
    <t>Kudus</t>
  </si>
  <si>
    <t>Tolentino Coelho de Lima</t>
  </si>
  <si>
    <t>L.Paquetá</t>
  </si>
  <si>
    <t>Konstantinos</t>
  </si>
  <si>
    <t>Mavropanos</t>
  </si>
  <si>
    <t>Tomáš</t>
  </si>
  <si>
    <t>Souček</t>
  </si>
  <si>
    <t>Crysencio</t>
  </si>
  <si>
    <t>Summerville</t>
  </si>
  <si>
    <t>Rayan</t>
  </si>
  <si>
    <t>Aït-Nouri</t>
  </si>
  <si>
    <t>Jean-Ricner</t>
  </si>
  <si>
    <t>Bellegarde</t>
  </si>
  <si>
    <t>Matheus</t>
  </si>
  <si>
    <t>Santos Carneiro Da Cunha</t>
  </si>
  <si>
    <t>Cunha</t>
  </si>
  <si>
    <t>Craig</t>
  </si>
  <si>
    <t>Dawson</t>
  </si>
  <si>
    <t>Tommy</t>
  </si>
  <si>
    <t>Doyle</t>
  </si>
  <si>
    <t>Gonçalo Manuel</t>
  </si>
  <si>
    <t>Ganchinho Guedes</t>
  </si>
  <si>
    <t>Guedes</t>
  </si>
  <si>
    <t>Hwang</t>
  </si>
  <si>
    <t>Hee-chan</t>
  </si>
  <si>
    <t>Hee Chan</t>
  </si>
  <si>
    <t>João Victor</t>
  </si>
  <si>
    <t>Gomes da Silva</t>
  </si>
  <si>
    <t>J.Gomes</t>
  </si>
  <si>
    <t>Mario</t>
  </si>
  <si>
    <t>Lemina</t>
  </si>
  <si>
    <t>Mario Jr.</t>
  </si>
  <si>
    <t>Nélson</t>
  </si>
  <si>
    <t>Cabral Semedo</t>
  </si>
  <si>
    <t>N.Semedo</t>
  </si>
  <si>
    <t>Toti António</t>
  </si>
  <si>
    <t>Gomes</t>
  </si>
  <si>
    <t>Toti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</si>
</sst>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207" totalsRowShown="0">
  <autoFilter ref="A1:AL207" xr:uid="{00000000-0009-0000-0100-000001000000}">
    <filterColumn colId="37">
      <filters>
        <filter val="1"/>
      </filters>
    </filterColumn>
  </autoFilter>
  <sortState xmlns:xlrd2="http://schemas.microsoft.com/office/spreadsheetml/2017/richdata2" ref="A28:AL199">
    <sortCondition descending="1" ref="AI1:AI207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7"/>
  <sheetViews>
    <sheetView tabSelected="1" zoomScale="140" zoomScaleNormal="140" workbookViewId="0">
      <selection activeCell="C160" sqref="C160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3" x14ac:dyDescent="0.2">
      <c r="A1" t="s">
        <v>32</v>
      </c>
      <c r="B1" t="s">
        <v>33</v>
      </c>
      <c r="C1" t="s">
        <v>34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10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43" hidden="1" x14ac:dyDescent="0.2">
      <c r="A2" t="s">
        <v>45</v>
      </c>
      <c r="B2" t="s">
        <v>46</v>
      </c>
      <c r="C2" t="s">
        <v>47</v>
      </c>
      <c r="D2" t="s">
        <v>6</v>
      </c>
      <c r="E2">
        <v>0</v>
      </c>
      <c r="F2">
        <v>0</v>
      </c>
      <c r="G2">
        <v>0</v>
      </c>
      <c r="H2">
        <v>1</v>
      </c>
      <c r="I2" t="s">
        <v>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6.9</v>
      </c>
      <c r="AE2">
        <v>1</v>
      </c>
      <c r="AF2">
        <v>68.655737704918039</v>
      </c>
      <c r="AG2">
        <v>73.237298540141339</v>
      </c>
      <c r="AH2">
        <f>21.3176275657968*1</f>
        <v>21.317627565796801</v>
      </c>
      <c r="AI2">
        <f>1.21097303408521*1</f>
        <v>1.2109730340852101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1287.6516516876086</v>
      </c>
      <c r="AP2" t="s">
        <v>1</v>
      </c>
    </row>
    <row r="3" spans="1:43" hidden="1" x14ac:dyDescent="0.2">
      <c r="A3" t="s">
        <v>45</v>
      </c>
      <c r="B3" t="s">
        <v>48</v>
      </c>
      <c r="C3" t="s">
        <v>45</v>
      </c>
      <c r="D3" t="s">
        <v>4</v>
      </c>
      <c r="E3">
        <v>0</v>
      </c>
      <c r="F3">
        <v>1</v>
      </c>
      <c r="G3">
        <v>0</v>
      </c>
      <c r="H3">
        <v>0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6.4</v>
      </c>
      <c r="AE3">
        <v>2</v>
      </c>
      <c r="AF3">
        <v>73.532595828851782</v>
      </c>
      <c r="AG3">
        <v>71.356819021805734</v>
      </c>
      <c r="AH3">
        <f>55.2234089405755*1</f>
        <v>55.223408940575503</v>
      </c>
      <c r="AI3">
        <f>3.652585875955*1</f>
        <v>3.6525858759549998</v>
      </c>
      <c r="AJ3">
        <v>1</v>
      </c>
      <c r="AK3">
        <v>0</v>
      </c>
      <c r="AL3">
        <v>0</v>
      </c>
    </row>
    <row r="4" spans="1:43" hidden="1" x14ac:dyDescent="0.2">
      <c r="A4" t="s">
        <v>49</v>
      </c>
      <c r="B4" t="s">
        <v>50</v>
      </c>
      <c r="C4" t="s">
        <v>50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7.9</v>
      </c>
      <c r="AE4">
        <v>3</v>
      </c>
      <c r="AF4">
        <v>72.269722834299841</v>
      </c>
      <c r="AG4">
        <v>57.862492249803417</v>
      </c>
      <c r="AH4">
        <f>52.2182292869223*1</f>
        <v>52.218229286922302</v>
      </c>
      <c r="AI4">
        <f>3.17837936893589*1</f>
        <v>3.1783793689358899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98.800000000000011</v>
      </c>
      <c r="AP4">
        <v>101</v>
      </c>
    </row>
    <row r="5" spans="1:43" hidden="1" x14ac:dyDescent="0.2">
      <c r="A5" t="s">
        <v>45</v>
      </c>
      <c r="B5" t="s">
        <v>51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6.8</v>
      </c>
      <c r="AE5">
        <v>8</v>
      </c>
      <c r="AF5">
        <v>78.48837209302333</v>
      </c>
      <c r="AG5">
        <v>88.25138105719283</v>
      </c>
      <c r="AH5">
        <f>37.0833602627678*1</f>
        <v>37.083360262767798</v>
      </c>
      <c r="AI5">
        <f>1.95755999304837*1</f>
        <v>1.95755999304837</v>
      </c>
      <c r="AJ5">
        <v>1</v>
      </c>
      <c r="AK5">
        <v>0</v>
      </c>
      <c r="AL5">
        <v>0</v>
      </c>
    </row>
    <row r="6" spans="1:43" hidden="1" x14ac:dyDescent="0.2">
      <c r="A6" t="s">
        <v>53</v>
      </c>
      <c r="B6" t="s">
        <v>54</v>
      </c>
      <c r="C6" t="s">
        <v>55</v>
      </c>
      <c r="D6" t="s">
        <v>3</v>
      </c>
      <c r="E6">
        <v>1</v>
      </c>
      <c r="F6">
        <v>0</v>
      </c>
      <c r="G6">
        <v>0</v>
      </c>
      <c r="H6">
        <v>0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5.6</v>
      </c>
      <c r="AE6">
        <v>11</v>
      </c>
      <c r="AF6">
        <v>73.860905251751916</v>
      </c>
      <c r="AG6">
        <v>75.521258947922007</v>
      </c>
      <c r="AH6">
        <f>46.6138362897495*1</f>
        <v>46.6138362897495</v>
      </c>
      <c r="AI6">
        <f>2.69236141423579*1</f>
        <v>2.6923614142357901</v>
      </c>
      <c r="AJ6">
        <v>1</v>
      </c>
      <c r="AK6">
        <v>0</v>
      </c>
      <c r="AL6">
        <v>0</v>
      </c>
      <c r="AN6" t="s">
        <v>3</v>
      </c>
      <c r="AO6">
        <v>2</v>
      </c>
      <c r="AP6">
        <f>SUMPRODUCT(Table1[Selected],Table1[GKP])</f>
        <v>2</v>
      </c>
      <c r="AQ6">
        <v>2</v>
      </c>
    </row>
    <row r="7" spans="1:43" hidden="1" x14ac:dyDescent="0.2">
      <c r="A7" t="s">
        <v>56</v>
      </c>
      <c r="B7" t="s">
        <v>57</v>
      </c>
      <c r="C7" t="s">
        <v>57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6.2</v>
      </c>
      <c r="AE7">
        <v>12</v>
      </c>
      <c r="AF7">
        <v>64.265366274397493</v>
      </c>
      <c r="AG7">
        <v>51.708489561235098</v>
      </c>
      <c r="AH7">
        <f>32.1886811467298*1</f>
        <v>32.188681146729799</v>
      </c>
      <c r="AI7">
        <f>1.80658214172091*1</f>
        <v>1.80658214172091</v>
      </c>
      <c r="AJ7">
        <v>1</v>
      </c>
      <c r="AK7">
        <v>0</v>
      </c>
      <c r="AL7">
        <v>0</v>
      </c>
      <c r="AN7" t="s">
        <v>4</v>
      </c>
      <c r="AO7">
        <v>5</v>
      </c>
      <c r="AP7">
        <f>SUMPRODUCT(Table1[Selected],Table1[DEF])</f>
        <v>5</v>
      </c>
      <c r="AQ7">
        <v>5</v>
      </c>
    </row>
    <row r="8" spans="1:43" hidden="1" x14ac:dyDescent="0.2">
      <c r="A8" t="s">
        <v>58</v>
      </c>
      <c r="B8" t="s">
        <v>59</v>
      </c>
      <c r="C8" t="s">
        <v>59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10.199999999999999</v>
      </c>
      <c r="AE8">
        <v>13</v>
      </c>
      <c r="AF8">
        <v>115.5201570675401</v>
      </c>
      <c r="AG8">
        <v>98.072505458200823</v>
      </c>
      <c r="AH8">
        <f>107.221542025635*0.611111111111111</f>
        <v>65.524275682332501</v>
      </c>
      <c r="AI8">
        <f>5.84756608202322*0.611111111111111</f>
        <v>3.5735126056808562</v>
      </c>
      <c r="AJ8">
        <v>0.61111111111111116</v>
      </c>
      <c r="AK8">
        <v>0</v>
      </c>
      <c r="AL8">
        <v>0</v>
      </c>
      <c r="AN8" t="s">
        <v>5</v>
      </c>
      <c r="AO8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61</v>
      </c>
      <c r="D9" t="s">
        <v>4</v>
      </c>
      <c r="E9">
        <v>0</v>
      </c>
      <c r="F9">
        <v>1</v>
      </c>
      <c r="G9">
        <v>0</v>
      </c>
      <c r="H9">
        <v>0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6.3</v>
      </c>
      <c r="AE9">
        <v>14</v>
      </c>
      <c r="AF9">
        <v>75.3333333333334</v>
      </c>
      <c r="AG9">
        <v>68.99245032329658</v>
      </c>
      <c r="AH9">
        <f>48.7845335700849*1</f>
        <v>48.784533570084903</v>
      </c>
      <c r="AI9">
        <f>2.78777204556436*1</f>
        <v>2.7877720455643602</v>
      </c>
      <c r="AJ9">
        <v>1</v>
      </c>
      <c r="AK9">
        <v>0</v>
      </c>
      <c r="AL9">
        <v>0</v>
      </c>
      <c r="AN9" t="s">
        <v>6</v>
      </c>
      <c r="AO9">
        <v>3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62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15</v>
      </c>
      <c r="AF10">
        <v>44.315540851281703</v>
      </c>
      <c r="AG10">
        <v>36.028282790100199</v>
      </c>
      <c r="AH10">
        <f>38.3607881971622*1</f>
        <v>38.360788197162201</v>
      </c>
      <c r="AI10">
        <f>2.67556053773696*1</f>
        <v>2.6755605377369598</v>
      </c>
      <c r="AJ10">
        <v>1</v>
      </c>
      <c r="AK10">
        <v>0</v>
      </c>
      <c r="AL10">
        <v>0</v>
      </c>
      <c r="AN10" t="s">
        <v>7</v>
      </c>
      <c r="AO10">
        <v>15</v>
      </c>
      <c r="AP10">
        <f>SUM(SUMPRODUCT(Table1[Selected],Table1[GKP]), SUMPRODUCT(Table1[Selected],Table1[DEF]), SUMPRODUCT(Table1[Selected],Table1[MID]), SUMPRODUCT(Table1[Selected],Table1[FWD]))</f>
        <v>15</v>
      </c>
      <c r="AQ10">
        <v>15</v>
      </c>
    </row>
    <row r="11" spans="1:43" hidden="1" x14ac:dyDescent="0.2">
      <c r="A11" t="s">
        <v>64</v>
      </c>
      <c r="B11" t="s">
        <v>65</v>
      </c>
      <c r="C11" t="s">
        <v>65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6.8</v>
      </c>
      <c r="AE11">
        <v>18</v>
      </c>
      <c r="AF11">
        <v>68.789189189189131</v>
      </c>
      <c r="AG11">
        <v>62.86367207567119</v>
      </c>
      <c r="AH11">
        <f>35.5607158873093*1</f>
        <v>35.5607158873093</v>
      </c>
      <c r="AI11">
        <f>1.90839036726444*1</f>
        <v>1.90839036726444</v>
      </c>
      <c r="AJ11">
        <v>1</v>
      </c>
      <c r="AK11">
        <v>0</v>
      </c>
      <c r="AL11">
        <v>0</v>
      </c>
    </row>
    <row r="12" spans="1:43" hidden="1" x14ac:dyDescent="0.2">
      <c r="A12" t="s">
        <v>66</v>
      </c>
      <c r="B12" t="s">
        <v>67</v>
      </c>
      <c r="C12" t="s">
        <v>67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6.2</v>
      </c>
      <c r="AE12">
        <v>33</v>
      </c>
      <c r="AF12">
        <v>56.999999999999993</v>
      </c>
      <c r="AG12">
        <v>62.041401048147783</v>
      </c>
      <c r="AH12">
        <f>26.6043361255761*1</f>
        <v>26.604336125576101</v>
      </c>
      <c r="AI12">
        <f>1.48107664382492*1</f>
        <v>1.4810766438249201</v>
      </c>
      <c r="AJ12">
        <v>1</v>
      </c>
      <c r="AK12">
        <v>0</v>
      </c>
      <c r="AL12">
        <v>0</v>
      </c>
      <c r="AN12" t="s">
        <v>8</v>
      </c>
      <c r="AO12">
        <f>SUMPRODUCT(Table1[Selected], -- (Table1[PREV] = 0))</f>
        <v>1</v>
      </c>
    </row>
    <row r="13" spans="1:43" hidden="1" x14ac:dyDescent="0.2">
      <c r="A13" t="s">
        <v>68</v>
      </c>
      <c r="B13" t="s">
        <v>69</v>
      </c>
      <c r="C13" t="s">
        <v>69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</v>
      </c>
      <c r="AE13">
        <v>34</v>
      </c>
      <c r="AF13">
        <v>52.548387096774199</v>
      </c>
      <c r="AG13">
        <v>69.618088180766748</v>
      </c>
      <c r="AH13">
        <f>34.0712519830246*1</f>
        <v>34.071251983024602</v>
      </c>
      <c r="AI13">
        <f>1.85545344193898*1</f>
        <v>1.8554534419389801</v>
      </c>
      <c r="AJ13">
        <v>1</v>
      </c>
      <c r="AK13">
        <v>0</v>
      </c>
      <c r="AL13">
        <v>0</v>
      </c>
      <c r="AN13" t="s">
        <v>9</v>
      </c>
      <c r="AO13">
        <v>1</v>
      </c>
    </row>
    <row r="14" spans="1:43" hidden="1" x14ac:dyDescent="0.2">
      <c r="A14" t="s">
        <v>70</v>
      </c>
      <c r="B14" t="s">
        <v>71</v>
      </c>
      <c r="C14" t="s">
        <v>71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4.5999999999999996</v>
      </c>
      <c r="AE14">
        <v>41</v>
      </c>
      <c r="AF14">
        <v>42.7794400943908</v>
      </c>
      <c r="AG14">
        <v>58.755148661537781</v>
      </c>
      <c r="AH14">
        <f>26.4438738197838*1</f>
        <v>26.4438738197838</v>
      </c>
      <c r="AI14">
        <f>1.40849924272431*1</f>
        <v>1.4084992427243099</v>
      </c>
      <c r="AJ14">
        <v>1</v>
      </c>
      <c r="AK14">
        <v>0</v>
      </c>
      <c r="AL14">
        <v>0</v>
      </c>
    </row>
    <row r="15" spans="1:43" hidden="1" x14ac:dyDescent="0.2">
      <c r="A15" t="s">
        <v>72</v>
      </c>
      <c r="B15" t="s">
        <v>73</v>
      </c>
      <c r="C15" t="s">
        <v>74</v>
      </c>
      <c r="D15" t="s">
        <v>6</v>
      </c>
      <c r="E15">
        <v>0</v>
      </c>
      <c r="F15">
        <v>0</v>
      </c>
      <c r="G15">
        <v>0</v>
      </c>
      <c r="H15">
        <v>1</v>
      </c>
      <c r="I15" t="s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5.8</v>
      </c>
      <c r="AE15">
        <v>43</v>
      </c>
      <c r="AF15">
        <v>38.03773584905661</v>
      </c>
      <c r="AG15">
        <v>43.871669848855682</v>
      </c>
      <c r="AH15">
        <f>52.0025626194879*1</f>
        <v>52.002562619487897</v>
      </c>
      <c r="AI15">
        <f>2.78763880764085*1</f>
        <v>2.78763880764085</v>
      </c>
      <c r="AJ15">
        <v>1</v>
      </c>
      <c r="AK15">
        <v>0</v>
      </c>
      <c r="AL15">
        <v>0</v>
      </c>
      <c r="AN15" t="s">
        <v>10</v>
      </c>
      <c r="AO15">
        <f>((AO12-AO13)+ABS((AO12-AO13)))/2*4</f>
        <v>0</v>
      </c>
    </row>
    <row r="16" spans="1:43" hidden="1" x14ac:dyDescent="0.2">
      <c r="A16" t="s">
        <v>75</v>
      </c>
      <c r="B16" t="s">
        <v>76</v>
      </c>
      <c r="C16" t="s">
        <v>77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4.4000000000000004</v>
      </c>
      <c r="AE16">
        <v>49</v>
      </c>
      <c r="AF16">
        <v>49.165714285714301</v>
      </c>
      <c r="AG16">
        <v>50.904878671788403</v>
      </c>
      <c r="AH16">
        <f>23.1903731127881*1</f>
        <v>23.190373112788102</v>
      </c>
      <c r="AI16">
        <f>1.28037968537673*1</f>
        <v>1.28037968537673</v>
      </c>
      <c r="AJ16">
        <v>1</v>
      </c>
      <c r="AK16">
        <v>0</v>
      </c>
      <c r="AL16">
        <v>0</v>
      </c>
    </row>
    <row r="17" spans="1:42" hidden="1" x14ac:dyDescent="0.2">
      <c r="A17" t="s">
        <v>78</v>
      </c>
      <c r="B17" t="s">
        <v>79</v>
      </c>
      <c r="C17" t="s">
        <v>79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</v>
      </c>
      <c r="AE17">
        <v>50</v>
      </c>
      <c r="AF17">
        <v>0</v>
      </c>
      <c r="AG17">
        <v>0</v>
      </c>
      <c r="AH17">
        <f>0*1</f>
        <v>0</v>
      </c>
      <c r="AI17">
        <f>0*1</f>
        <v>0</v>
      </c>
      <c r="AJ17">
        <v>1</v>
      </c>
      <c r="AK17">
        <v>0</v>
      </c>
      <c r="AL17">
        <v>0</v>
      </c>
      <c r="AN17" t="s">
        <v>11</v>
      </c>
      <c r="AO17">
        <f>AO2-AO15*18</f>
        <v>1287.6516516876086</v>
      </c>
    </row>
    <row r="18" spans="1:42" hidden="1" x14ac:dyDescent="0.2">
      <c r="A18" t="s">
        <v>80</v>
      </c>
      <c r="B18" t="s">
        <v>81</v>
      </c>
      <c r="C18" t="s">
        <v>82</v>
      </c>
      <c r="D18" t="s">
        <v>3</v>
      </c>
      <c r="E18">
        <v>1</v>
      </c>
      <c r="F18">
        <v>0</v>
      </c>
      <c r="G18">
        <v>0</v>
      </c>
      <c r="H18">
        <v>0</v>
      </c>
      <c r="I18" t="s">
        <v>13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52</v>
      </c>
      <c r="AF18">
        <v>59.056179775280903</v>
      </c>
      <c r="AG18">
        <v>63.454855530747572</v>
      </c>
      <c r="AH18">
        <f>28.8698837135145*1</f>
        <v>28.869883713514501</v>
      </c>
      <c r="AI18">
        <f>1.58257378130231*1</f>
        <v>1.58257378130231</v>
      </c>
      <c r="AJ18">
        <v>1</v>
      </c>
      <c r="AK18">
        <v>0</v>
      </c>
      <c r="AL18">
        <v>0</v>
      </c>
    </row>
    <row r="19" spans="1:42" hidden="1" x14ac:dyDescent="0.2">
      <c r="A19" t="s">
        <v>83</v>
      </c>
      <c r="B19" t="s">
        <v>84</v>
      </c>
      <c r="C19" t="s">
        <v>84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5.2</v>
      </c>
      <c r="AE19">
        <v>53</v>
      </c>
      <c r="AF19">
        <v>53.299999999999947</v>
      </c>
      <c r="AG19">
        <v>59.296732186644228</v>
      </c>
      <c r="AH19">
        <f>27.2877918827979*1</f>
        <v>27.287791882797901</v>
      </c>
      <c r="AI19">
        <f>1.55802523295429*1</f>
        <v>1.5580252329542901</v>
      </c>
      <c r="AJ19">
        <v>1</v>
      </c>
      <c r="AK19">
        <v>0</v>
      </c>
      <c r="AL19">
        <v>0</v>
      </c>
      <c r="AN19" t="s">
        <v>12</v>
      </c>
      <c r="AO19">
        <f>SUMPRODUCT(Table1[Selected],Table1[ARS])</f>
        <v>0</v>
      </c>
      <c r="AP19">
        <v>3</v>
      </c>
    </row>
    <row r="20" spans="1:42" hidden="1" x14ac:dyDescent="0.2">
      <c r="A20" t="s">
        <v>85</v>
      </c>
      <c r="B20" t="s">
        <v>86</v>
      </c>
      <c r="C20" t="s">
        <v>85</v>
      </c>
      <c r="D20" t="s">
        <v>4</v>
      </c>
      <c r="E20">
        <v>0</v>
      </c>
      <c r="F20">
        <v>1</v>
      </c>
      <c r="G20">
        <v>0</v>
      </c>
      <c r="H20">
        <v>0</v>
      </c>
      <c r="I20" t="s">
        <v>13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4.3</v>
      </c>
      <c r="AE20">
        <v>57</v>
      </c>
      <c r="AF20">
        <v>44.808510638297861</v>
      </c>
      <c r="AG20">
        <v>45.122657218886957</v>
      </c>
      <c r="AH20">
        <f>13.9204601205404*1</f>
        <v>13.920460120540399</v>
      </c>
      <c r="AI20">
        <f>0.825268662595799*1</f>
        <v>0.82526866259579901</v>
      </c>
      <c r="AJ20">
        <v>1</v>
      </c>
      <c r="AK20">
        <v>0</v>
      </c>
      <c r="AL20">
        <v>0</v>
      </c>
      <c r="AN20" t="s">
        <v>13</v>
      </c>
      <c r="AO20">
        <f>SUMPRODUCT(Table1[Selected],Table1[AVL])</f>
        <v>0</v>
      </c>
      <c r="AP20">
        <v>3</v>
      </c>
    </row>
    <row r="21" spans="1:42" hidden="1" x14ac:dyDescent="0.2">
      <c r="A21" t="s">
        <v>87</v>
      </c>
      <c r="B21" t="s">
        <v>88</v>
      </c>
      <c r="C21" t="s">
        <v>88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5.5</v>
      </c>
      <c r="AE21">
        <v>59</v>
      </c>
      <c r="AF21">
        <v>0</v>
      </c>
      <c r="AG21">
        <v>0</v>
      </c>
      <c r="AH21">
        <f>0*1</f>
        <v>0</v>
      </c>
      <c r="AI21">
        <f>0*1</f>
        <v>0</v>
      </c>
      <c r="AJ21">
        <v>1</v>
      </c>
      <c r="AK21">
        <v>0</v>
      </c>
      <c r="AL21">
        <v>0</v>
      </c>
      <c r="AN21" t="s">
        <v>14</v>
      </c>
      <c r="AO21">
        <f>SUMPRODUCT(Table1[Selected],Table1[BOU])</f>
        <v>1</v>
      </c>
      <c r="AP21">
        <v>3</v>
      </c>
    </row>
    <row r="22" spans="1:42" hidden="1" x14ac:dyDescent="0.2">
      <c r="A22" t="s">
        <v>89</v>
      </c>
      <c r="B22" t="s">
        <v>90</v>
      </c>
      <c r="C22" t="s">
        <v>90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5.5</v>
      </c>
      <c r="AE22">
        <v>62</v>
      </c>
      <c r="AF22">
        <v>46.729707025519588</v>
      </c>
      <c r="AG22">
        <v>62.408225935374873</v>
      </c>
      <c r="AH22">
        <f>25.6292881240929*1</f>
        <v>25.629288124092898</v>
      </c>
      <c r="AI22">
        <f>1.4691829773882*1</f>
        <v>1.4691829773881999</v>
      </c>
      <c r="AJ22">
        <v>1</v>
      </c>
      <c r="AK22">
        <v>0</v>
      </c>
      <c r="AL22">
        <v>0</v>
      </c>
      <c r="AN22" t="s">
        <v>15</v>
      </c>
      <c r="AO22">
        <f>SUMPRODUCT(Table1[Selected],Table1[BRE])</f>
        <v>2</v>
      </c>
      <c r="AP22">
        <v>3</v>
      </c>
    </row>
    <row r="23" spans="1:42" hidden="1" x14ac:dyDescent="0.2">
      <c r="A23" t="s">
        <v>91</v>
      </c>
      <c r="B23" t="s">
        <v>92</v>
      </c>
      <c r="C23" t="s">
        <v>92</v>
      </c>
      <c r="D23" t="s">
        <v>6</v>
      </c>
      <c r="E23">
        <v>0</v>
      </c>
      <c r="F23">
        <v>0</v>
      </c>
      <c r="G23">
        <v>0</v>
      </c>
      <c r="H23">
        <v>1</v>
      </c>
      <c r="I23" t="s">
        <v>13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8.9</v>
      </c>
      <c r="AE23">
        <v>63</v>
      </c>
      <c r="AF23">
        <v>85.83750000000002</v>
      </c>
      <c r="AG23">
        <v>87.88625062744849</v>
      </c>
      <c r="AH23">
        <f>58.1069784024161*1</f>
        <v>58.106978402416097</v>
      </c>
      <c r="AI23">
        <f>3.16880048182141*1</f>
        <v>3.1688004818214099</v>
      </c>
      <c r="AJ23">
        <v>1</v>
      </c>
      <c r="AK23">
        <v>0</v>
      </c>
      <c r="AL23">
        <v>0</v>
      </c>
      <c r="AN23" t="s">
        <v>16</v>
      </c>
      <c r="AO23">
        <f>SUMPRODUCT(Table1[Selected],Table1[BHA])</f>
        <v>0</v>
      </c>
      <c r="AP23">
        <v>3</v>
      </c>
    </row>
    <row r="24" spans="1:42" hidden="1" x14ac:dyDescent="0.2">
      <c r="A24" t="s">
        <v>93</v>
      </c>
      <c r="B24" t="s">
        <v>94</v>
      </c>
      <c r="C24" t="s">
        <v>94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4.9000000000000004</v>
      </c>
      <c r="AE24">
        <v>64</v>
      </c>
      <c r="AF24">
        <v>42.645574511515122</v>
      </c>
      <c r="AG24">
        <v>39.123683064267489</v>
      </c>
      <c r="AH24">
        <f>24.0725121977272*1</f>
        <v>24.0725121977272</v>
      </c>
      <c r="AI24">
        <f>1.51883222653105*1</f>
        <v>1.5188322265310501</v>
      </c>
      <c r="AJ24">
        <v>1</v>
      </c>
      <c r="AK24">
        <v>0</v>
      </c>
      <c r="AL24">
        <v>0</v>
      </c>
      <c r="AN24" t="s">
        <v>17</v>
      </c>
      <c r="AO24">
        <f>SUMPRODUCT(Table1[Selected],Table1[CHE])</f>
        <v>0</v>
      </c>
      <c r="AP24">
        <v>3</v>
      </c>
    </row>
    <row r="25" spans="1:42" hidden="1" x14ac:dyDescent="0.2">
      <c r="A25" t="s">
        <v>95</v>
      </c>
      <c r="B25" t="s">
        <v>96</v>
      </c>
      <c r="C25" t="s">
        <v>96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4.9000000000000004</v>
      </c>
      <c r="AE25">
        <v>76</v>
      </c>
      <c r="AF25">
        <v>39.811764705882347</v>
      </c>
      <c r="AG25">
        <v>30.828845637600111</v>
      </c>
      <c r="AH25">
        <f>30.2282835949925*1</f>
        <v>30.228283594992501</v>
      </c>
      <c r="AI25">
        <f>1.6840334386135*1</f>
        <v>1.6840334386135001</v>
      </c>
      <c r="AJ25">
        <v>1</v>
      </c>
      <c r="AK25">
        <v>0</v>
      </c>
      <c r="AL25">
        <v>0</v>
      </c>
      <c r="AN25" t="s">
        <v>18</v>
      </c>
      <c r="AO25">
        <f>SUMPRODUCT(Table1[Selected],Table1[CRY])</f>
        <v>1</v>
      </c>
      <c r="AP25">
        <v>3</v>
      </c>
    </row>
    <row r="26" spans="1:42" hidden="1" x14ac:dyDescent="0.2">
      <c r="A26" t="s">
        <v>97</v>
      </c>
      <c r="B26" t="s">
        <v>98</v>
      </c>
      <c r="C26" t="s">
        <v>98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77</v>
      </c>
      <c r="AF26">
        <v>43.092663818224167</v>
      </c>
      <c r="AG26">
        <v>27.878903110249791</v>
      </c>
      <c r="AH26">
        <f>44.4276058400585*1</f>
        <v>44.427605840058497</v>
      </c>
      <c r="AI26">
        <f>2.57649933455423*1</f>
        <v>2.5764993345542302</v>
      </c>
      <c r="AJ26">
        <v>1</v>
      </c>
      <c r="AK26">
        <v>0</v>
      </c>
      <c r="AL26">
        <v>0</v>
      </c>
      <c r="AN26" t="s">
        <v>19</v>
      </c>
      <c r="AO26">
        <f>SUMPRODUCT(Table1[Selected],Table1[EVE])</f>
        <v>2</v>
      </c>
      <c r="AP26">
        <v>3</v>
      </c>
    </row>
    <row r="27" spans="1:42" hidden="1" x14ac:dyDescent="0.2">
      <c r="A27" t="s">
        <v>99</v>
      </c>
      <c r="B27" t="s">
        <v>100</v>
      </c>
      <c r="C27" t="s">
        <v>101</v>
      </c>
      <c r="D27" t="s">
        <v>6</v>
      </c>
      <c r="E27">
        <v>0</v>
      </c>
      <c r="F27">
        <v>0</v>
      </c>
      <c r="G27">
        <v>0</v>
      </c>
      <c r="H27">
        <v>1</v>
      </c>
      <c r="I27" t="s">
        <v>14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5.4</v>
      </c>
      <c r="AE27">
        <v>78</v>
      </c>
      <c r="AF27">
        <v>0</v>
      </c>
      <c r="AG27">
        <v>0</v>
      </c>
      <c r="AH27">
        <f>0*1</f>
        <v>0</v>
      </c>
      <c r="AI27">
        <f>0*1</f>
        <v>0</v>
      </c>
      <c r="AJ27">
        <v>1</v>
      </c>
      <c r="AK27">
        <v>0</v>
      </c>
      <c r="AL27">
        <v>0</v>
      </c>
      <c r="AN27" t="s">
        <v>20</v>
      </c>
      <c r="AO27">
        <f>SUMPRODUCT(Table1[Selected],Table1[FUL])</f>
        <v>0</v>
      </c>
      <c r="AP27">
        <v>3</v>
      </c>
    </row>
    <row r="28" spans="1:42" x14ac:dyDescent="0.2">
      <c r="A28" t="s">
        <v>389</v>
      </c>
      <c r="B28" t="s">
        <v>390</v>
      </c>
      <c r="C28" t="s">
        <v>389</v>
      </c>
      <c r="D28" t="s">
        <v>4</v>
      </c>
      <c r="E28">
        <v>0</v>
      </c>
      <c r="F28">
        <v>1</v>
      </c>
      <c r="G28">
        <v>0</v>
      </c>
      <c r="H28">
        <v>0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4.5999999999999996</v>
      </c>
      <c r="AE28">
        <v>542</v>
      </c>
      <c r="AF28">
        <v>81.019564027983066</v>
      </c>
      <c r="AG28">
        <v>41.595708104839929</v>
      </c>
      <c r="AH28">
        <f>160.665673020661*1</f>
        <v>160.66567302066099</v>
      </c>
      <c r="AI28">
        <f>9.04023161736242*1</f>
        <v>9.0402316173624193</v>
      </c>
      <c r="AJ28">
        <v>1</v>
      </c>
      <c r="AK28">
        <v>0</v>
      </c>
      <c r="AL28">
        <v>1</v>
      </c>
      <c r="AN28" t="s">
        <v>21</v>
      </c>
      <c r="AO28">
        <f>SUMPRODUCT(Table1[Selected],Table1[IPS])</f>
        <v>0</v>
      </c>
      <c r="AP28">
        <v>3</v>
      </c>
    </row>
    <row r="29" spans="1:42" hidden="1" x14ac:dyDescent="0.2">
      <c r="A29" t="s">
        <v>104</v>
      </c>
      <c r="B29" t="s">
        <v>105</v>
      </c>
      <c r="C29" t="s">
        <v>105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5.5</v>
      </c>
      <c r="AE29">
        <v>84</v>
      </c>
      <c r="AF29">
        <v>63.360000000000028</v>
      </c>
      <c r="AG29">
        <v>44.253175241802253</v>
      </c>
      <c r="AH29">
        <f>56.8504914761277*1</f>
        <v>56.850491476127701</v>
      </c>
      <c r="AI29">
        <f>3.33815715969985*1</f>
        <v>3.3381571596998501</v>
      </c>
      <c r="AJ29">
        <v>1</v>
      </c>
      <c r="AK29">
        <v>0</v>
      </c>
      <c r="AL29">
        <v>0</v>
      </c>
      <c r="AN29" t="s">
        <v>22</v>
      </c>
      <c r="AO29">
        <f>SUMPRODUCT(Table1[Selected],Table1[LEI])</f>
        <v>0</v>
      </c>
      <c r="AP29">
        <v>3</v>
      </c>
    </row>
    <row r="30" spans="1:42" hidden="1" x14ac:dyDescent="0.2">
      <c r="A30" t="s">
        <v>106</v>
      </c>
      <c r="B30" t="s">
        <v>107</v>
      </c>
      <c r="C30" t="s">
        <v>108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86</v>
      </c>
      <c r="AF30">
        <v>43.835039299197817</v>
      </c>
      <c r="AG30">
        <v>30.367395255567811</v>
      </c>
      <c r="AH30">
        <f>50.2461377552318*1</f>
        <v>50.2461377552318</v>
      </c>
      <c r="AI30">
        <f>3.67293844302206*1</f>
        <v>3.6729384430220602</v>
      </c>
      <c r="AJ30">
        <v>1</v>
      </c>
      <c r="AK30">
        <v>0</v>
      </c>
      <c r="AL30">
        <v>0</v>
      </c>
      <c r="AN30" t="s">
        <v>23</v>
      </c>
      <c r="AO30">
        <f>SUMPRODUCT(Table1[Selected],Table1[LIV])</f>
        <v>1</v>
      </c>
      <c r="AP30">
        <v>3</v>
      </c>
    </row>
    <row r="31" spans="1:42" hidden="1" x14ac:dyDescent="0.2">
      <c r="A31" t="s">
        <v>109</v>
      </c>
      <c r="B31" t="s">
        <v>110</v>
      </c>
      <c r="C31" t="s">
        <v>110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5.6</v>
      </c>
      <c r="AE31">
        <v>90</v>
      </c>
      <c r="AF31">
        <v>58.500000000000007</v>
      </c>
      <c r="AG31">
        <v>51.184431904617043</v>
      </c>
      <c r="AH31">
        <f>34.4053680444604*1</f>
        <v>34.405368044460403</v>
      </c>
      <c r="AI31">
        <f>2.03975429955497*1</f>
        <v>2.03975429955497</v>
      </c>
      <c r="AJ31">
        <v>1</v>
      </c>
      <c r="AK31">
        <v>0</v>
      </c>
      <c r="AL31">
        <v>0</v>
      </c>
      <c r="AN31" t="s">
        <v>24</v>
      </c>
      <c r="AO31">
        <f>SUMPRODUCT(Table1[Selected],Table1[MCI])</f>
        <v>0</v>
      </c>
      <c r="AP31">
        <v>3</v>
      </c>
    </row>
    <row r="32" spans="1:42" hidden="1" x14ac:dyDescent="0.2">
      <c r="A32" t="s">
        <v>111</v>
      </c>
      <c r="B32" t="s">
        <v>112</v>
      </c>
      <c r="C32" t="s">
        <v>112</v>
      </c>
      <c r="D32" t="s">
        <v>4</v>
      </c>
      <c r="E32">
        <v>0</v>
      </c>
      <c r="F32">
        <v>1</v>
      </c>
      <c r="G32">
        <v>0</v>
      </c>
      <c r="H32">
        <v>0</v>
      </c>
      <c r="I32" t="s">
        <v>14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4.4000000000000004</v>
      </c>
      <c r="AE32">
        <v>93</v>
      </c>
      <c r="AF32">
        <v>42.890625</v>
      </c>
      <c r="AG32">
        <v>35.651751696920407</v>
      </c>
      <c r="AH32">
        <f>26.842328385279*1</f>
        <v>26.842328385279</v>
      </c>
      <c r="AI32">
        <f>1.50476290331449*1</f>
        <v>1.50476290331449</v>
      </c>
      <c r="AJ32">
        <v>1</v>
      </c>
      <c r="AK32">
        <v>0</v>
      </c>
      <c r="AL32">
        <v>0</v>
      </c>
      <c r="AN32" t="s">
        <v>25</v>
      </c>
      <c r="AO32">
        <f>SUMPRODUCT(Table1[Selected],Table1[MUN])</f>
        <v>0</v>
      </c>
      <c r="AP32">
        <v>3</v>
      </c>
    </row>
    <row r="33" spans="1:42" hidden="1" x14ac:dyDescent="0.2">
      <c r="A33" t="s">
        <v>113</v>
      </c>
      <c r="B33" t="s">
        <v>114</v>
      </c>
      <c r="C33" t="s">
        <v>114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14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5.4</v>
      </c>
      <c r="AE33">
        <v>94</v>
      </c>
      <c r="AF33">
        <v>60.545454545454518</v>
      </c>
      <c r="AG33">
        <v>86.151741628989811</v>
      </c>
      <c r="AH33">
        <f>21.8391915416778*1</f>
        <v>21.839191541677799</v>
      </c>
      <c r="AI33">
        <f>1.12900886999924*1</f>
        <v>1.12900886999924</v>
      </c>
      <c r="AJ33">
        <v>1</v>
      </c>
      <c r="AK33">
        <v>0</v>
      </c>
      <c r="AL33">
        <v>0</v>
      </c>
      <c r="AN33" t="s">
        <v>26</v>
      </c>
      <c r="AO33">
        <f>SUMPRODUCT(Table1[Selected],Table1[NEW])</f>
        <v>3</v>
      </c>
      <c r="AP33">
        <v>3</v>
      </c>
    </row>
    <row r="34" spans="1:42" hidden="1" x14ac:dyDescent="0.2">
      <c r="A34" t="s">
        <v>115</v>
      </c>
      <c r="B34" t="s">
        <v>116</v>
      </c>
      <c r="C34" t="s">
        <v>116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4.4000000000000004</v>
      </c>
      <c r="AE34">
        <v>96</v>
      </c>
      <c r="AF34">
        <v>43.500000000000028</v>
      </c>
      <c r="AG34">
        <v>38.702334409479413</v>
      </c>
      <c r="AH34">
        <f>36.0403866412407*1</f>
        <v>36.040386641240701</v>
      </c>
      <c r="AI34">
        <f>2.04469259430283*1</f>
        <v>2.04469259430283</v>
      </c>
      <c r="AJ34">
        <v>1</v>
      </c>
      <c r="AK34">
        <v>0</v>
      </c>
      <c r="AL34">
        <v>0</v>
      </c>
      <c r="AN34" t="s">
        <v>27</v>
      </c>
      <c r="AO34">
        <f>SUMPRODUCT(Table1[Selected],Table1[NFO])</f>
        <v>3</v>
      </c>
      <c r="AP34">
        <v>3</v>
      </c>
    </row>
    <row r="35" spans="1:42" hidden="1" x14ac:dyDescent="0.2">
      <c r="A35" t="s">
        <v>117</v>
      </c>
      <c r="B35" t="s">
        <v>118</v>
      </c>
      <c r="C35" t="s">
        <v>118</v>
      </c>
      <c r="D35" t="s">
        <v>3</v>
      </c>
      <c r="E35">
        <v>1</v>
      </c>
      <c r="F35">
        <v>0</v>
      </c>
      <c r="G35">
        <v>0</v>
      </c>
      <c r="H35">
        <v>0</v>
      </c>
      <c r="I35" t="s">
        <v>14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</v>
      </c>
      <c r="AE35">
        <v>97</v>
      </c>
      <c r="AF35">
        <v>66.661016949152497</v>
      </c>
      <c r="AG35">
        <v>68.470076241653473</v>
      </c>
      <c r="AH35">
        <f>46.5900814831298*1</f>
        <v>46.590081483129801</v>
      </c>
      <c r="AI35">
        <f>2.6017186012232*1</f>
        <v>2.6017186012232001</v>
      </c>
      <c r="AJ35">
        <v>1</v>
      </c>
      <c r="AK35">
        <v>0</v>
      </c>
      <c r="AL35">
        <v>0</v>
      </c>
      <c r="AN35" t="s">
        <v>28</v>
      </c>
      <c r="AO35">
        <f>SUMPRODUCT(Table1[Selected],Table1[SOU])</f>
        <v>0</v>
      </c>
      <c r="AP35">
        <v>3</v>
      </c>
    </row>
    <row r="36" spans="1:42" hidden="1" x14ac:dyDescent="0.2">
      <c r="A36" t="s">
        <v>119</v>
      </c>
      <c r="B36" t="s">
        <v>120</v>
      </c>
      <c r="C36" t="s">
        <v>120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15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4.5999999999999996</v>
      </c>
      <c r="AE36">
        <v>108</v>
      </c>
      <c r="AF36">
        <v>46.610526315789478</v>
      </c>
      <c r="AG36">
        <v>44.50966178946193</v>
      </c>
      <c r="AH36">
        <f>43.2266866462218*1</f>
        <v>43.2266866462218</v>
      </c>
      <c r="AI36">
        <f>2.39270844269718*1</f>
        <v>2.3927084426971801</v>
      </c>
      <c r="AJ36">
        <v>1</v>
      </c>
      <c r="AK36">
        <v>0</v>
      </c>
      <c r="AL36">
        <v>0</v>
      </c>
      <c r="AN36" t="s">
        <v>29</v>
      </c>
      <c r="AO36">
        <f>SUMPRODUCT(Table1[Selected],Table1[TOT])</f>
        <v>1</v>
      </c>
      <c r="AP36">
        <v>3</v>
      </c>
    </row>
    <row r="37" spans="1:42" hidden="1" x14ac:dyDescent="0.2">
      <c r="A37" t="s">
        <v>121</v>
      </c>
      <c r="B37" t="s">
        <v>122</v>
      </c>
      <c r="C37" t="s">
        <v>122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109</v>
      </c>
      <c r="AF37">
        <v>70.038442210714919</v>
      </c>
      <c r="AG37">
        <v>27.478043732793829</v>
      </c>
      <c r="AH37">
        <f>88.9905968983643*1</f>
        <v>88.990596898364302</v>
      </c>
      <c r="AI37">
        <f>4.91204319575457*1</f>
        <v>4.9120431957545696</v>
      </c>
      <c r="AJ37">
        <v>1</v>
      </c>
      <c r="AK37">
        <v>0</v>
      </c>
      <c r="AL37">
        <v>0</v>
      </c>
      <c r="AN37" t="s">
        <v>30</v>
      </c>
      <c r="AO37">
        <f>SUMPRODUCT(Table1[Selected],Table1[WHU])</f>
        <v>0</v>
      </c>
      <c r="AP37">
        <v>3</v>
      </c>
    </row>
    <row r="38" spans="1:42" hidden="1" x14ac:dyDescent="0.2">
      <c r="A38" t="s">
        <v>123</v>
      </c>
      <c r="B38" t="s">
        <v>124</v>
      </c>
      <c r="C38" t="s">
        <v>124</v>
      </c>
      <c r="D38" t="s">
        <v>3</v>
      </c>
      <c r="E38">
        <v>1</v>
      </c>
      <c r="F38">
        <v>0</v>
      </c>
      <c r="G38">
        <v>0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4.4000000000000004</v>
      </c>
      <c r="AE38">
        <v>111</v>
      </c>
      <c r="AF38">
        <v>57.535714285714278</v>
      </c>
      <c r="AG38">
        <v>62.464540478457309</v>
      </c>
      <c r="AH38">
        <f>19.9407617719654*1</f>
        <v>19.940761771965398</v>
      </c>
      <c r="AI38">
        <f>1.13148814769989*1</f>
        <v>1.1314881476998899</v>
      </c>
      <c r="AJ38">
        <v>1</v>
      </c>
      <c r="AK38">
        <v>0</v>
      </c>
      <c r="AL38">
        <v>0</v>
      </c>
      <c r="AN38" t="s">
        <v>31</v>
      </c>
      <c r="AO38">
        <f>SUMPRODUCT(Table1[Selected],Table1[WOL])</f>
        <v>1</v>
      </c>
      <c r="AP38">
        <v>3</v>
      </c>
    </row>
    <row r="39" spans="1:42" hidden="1" x14ac:dyDescent="0.2">
      <c r="A39" t="s">
        <v>125</v>
      </c>
      <c r="B39" t="s">
        <v>126</v>
      </c>
      <c r="C39" t="s">
        <v>126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15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4.9000000000000004</v>
      </c>
      <c r="AE39">
        <v>114</v>
      </c>
      <c r="AF39">
        <v>47.344537815126067</v>
      </c>
      <c r="AG39">
        <v>43.965343150917903</v>
      </c>
      <c r="AH39">
        <f>30.4941028089968*1</f>
        <v>30.4941028089968</v>
      </c>
      <c r="AI39">
        <f>1.72512181489007*1</f>
        <v>1.72512181489007</v>
      </c>
      <c r="AJ39">
        <v>1</v>
      </c>
      <c r="AK39">
        <v>0</v>
      </c>
      <c r="AL39">
        <v>0</v>
      </c>
    </row>
    <row r="40" spans="1:42" hidden="1" x14ac:dyDescent="0.2">
      <c r="A40" t="s">
        <v>127</v>
      </c>
      <c r="B40" t="s">
        <v>128</v>
      </c>
      <c r="C40" t="s">
        <v>128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15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118</v>
      </c>
      <c r="AF40">
        <v>42.406779661016927</v>
      </c>
      <c r="AG40">
        <v>32.39514231333856</v>
      </c>
      <c r="AH40">
        <f>37.3398717705076*1</f>
        <v>37.3398717705076</v>
      </c>
      <c r="AI40">
        <f>2.13784120977868*1</f>
        <v>2.1378412097786801</v>
      </c>
      <c r="AJ40">
        <v>1</v>
      </c>
      <c r="AK40">
        <v>0</v>
      </c>
      <c r="AL40">
        <v>0</v>
      </c>
    </row>
    <row r="41" spans="1:42" x14ac:dyDescent="0.2">
      <c r="A41" t="s">
        <v>297</v>
      </c>
      <c r="B41" t="s">
        <v>298</v>
      </c>
      <c r="C41" t="s">
        <v>299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13.6</v>
      </c>
      <c r="AE41">
        <v>410</v>
      </c>
      <c r="AF41">
        <v>129.32432432432429</v>
      </c>
      <c r="AG41">
        <v>132.52674578905931</v>
      </c>
      <c r="AH41">
        <f>140.731827957797*1</f>
        <v>140.73182795779701</v>
      </c>
      <c r="AI41">
        <f>7.83019285576181*1</f>
        <v>7.8301928557618101</v>
      </c>
      <c r="AJ41">
        <v>1</v>
      </c>
      <c r="AK41">
        <v>1</v>
      </c>
      <c r="AL41">
        <v>1</v>
      </c>
    </row>
    <row r="42" spans="1:42" hidden="1" x14ac:dyDescent="0.2">
      <c r="A42" t="s">
        <v>131</v>
      </c>
      <c r="B42" t="s">
        <v>132</v>
      </c>
      <c r="C42" t="s">
        <v>132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15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4.8</v>
      </c>
      <c r="AE42">
        <v>121</v>
      </c>
      <c r="AF42">
        <v>49.860000000000049</v>
      </c>
      <c r="AG42">
        <v>53.039483449672503</v>
      </c>
      <c r="AH42">
        <f>24.0308534211609*1</f>
        <v>24.030853421160899</v>
      </c>
      <c r="AI42">
        <f>1.30844272362996*1</f>
        <v>1.3084427236299601</v>
      </c>
      <c r="AJ42">
        <v>1</v>
      </c>
      <c r="AK42">
        <v>0</v>
      </c>
      <c r="AL42">
        <v>0</v>
      </c>
    </row>
    <row r="43" spans="1:42" hidden="1" x14ac:dyDescent="0.2">
      <c r="A43" t="s">
        <v>133</v>
      </c>
      <c r="B43" t="s">
        <v>134</v>
      </c>
      <c r="C43" t="s">
        <v>134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15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4.4000000000000004</v>
      </c>
      <c r="AE43">
        <v>124</v>
      </c>
      <c r="AF43">
        <v>52.427184466019419</v>
      </c>
      <c r="AG43">
        <v>63.861950373432236</v>
      </c>
      <c r="AH43">
        <f>29.7944391677316*1</f>
        <v>29.7944391677316</v>
      </c>
      <c r="AI43">
        <f>1.74091453311248*1</f>
        <v>1.74091453311248</v>
      </c>
      <c r="AJ43">
        <v>1</v>
      </c>
      <c r="AK43">
        <v>0</v>
      </c>
      <c r="AL43">
        <v>0</v>
      </c>
    </row>
    <row r="44" spans="1:42" hidden="1" x14ac:dyDescent="0.2">
      <c r="A44" t="s">
        <v>135</v>
      </c>
      <c r="B44" t="s">
        <v>136</v>
      </c>
      <c r="C44" t="s">
        <v>137</v>
      </c>
      <c r="D44" t="s">
        <v>4</v>
      </c>
      <c r="E44">
        <v>0</v>
      </c>
      <c r="F44">
        <v>1</v>
      </c>
      <c r="G44">
        <v>0</v>
      </c>
      <c r="H44">
        <v>0</v>
      </c>
      <c r="I44" t="s">
        <v>15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4.3</v>
      </c>
      <c r="AE44">
        <v>125</v>
      </c>
      <c r="AF44">
        <v>36.157783947347262</v>
      </c>
      <c r="AG44">
        <v>40.896933017328067</v>
      </c>
      <c r="AH44">
        <f>22.5824408983748*1</f>
        <v>22.582440898374799</v>
      </c>
      <c r="AI44">
        <f>1.19423691026586*1</f>
        <v>1.1942369102658601</v>
      </c>
      <c r="AJ44">
        <v>1</v>
      </c>
      <c r="AK44">
        <v>0</v>
      </c>
      <c r="AL44">
        <v>0</v>
      </c>
    </row>
    <row r="45" spans="1:42" hidden="1" x14ac:dyDescent="0.2">
      <c r="A45" t="s">
        <v>138</v>
      </c>
      <c r="B45" t="s">
        <v>139</v>
      </c>
      <c r="C45" t="s">
        <v>139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5.0999999999999996</v>
      </c>
      <c r="AE45">
        <v>126</v>
      </c>
      <c r="AF45">
        <v>49.125000000000043</v>
      </c>
      <c r="AG45">
        <v>36.655120713621471</v>
      </c>
      <c r="AH45">
        <f>37.1147780533536*1</f>
        <v>37.114778053353596</v>
      </c>
      <c r="AI45">
        <f>2.03276773469224*1</f>
        <v>2.0327677346922401</v>
      </c>
      <c r="AJ45">
        <v>1</v>
      </c>
      <c r="AK45">
        <v>0</v>
      </c>
      <c r="AL45">
        <v>0</v>
      </c>
    </row>
    <row r="46" spans="1:42" x14ac:dyDescent="0.2">
      <c r="A46" t="s">
        <v>129</v>
      </c>
      <c r="B46" t="s">
        <v>130</v>
      </c>
      <c r="C46" t="s">
        <v>130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7.8</v>
      </c>
      <c r="AE46">
        <v>119</v>
      </c>
      <c r="AF46">
        <v>112.0657857613086</v>
      </c>
      <c r="AG46">
        <v>71.366311145896134</v>
      </c>
      <c r="AH46">
        <f>120.5501725954*1</f>
        <v>120.5501725954</v>
      </c>
      <c r="AI46">
        <f>7.00079814188692*1</f>
        <v>7.0007981418869196</v>
      </c>
      <c r="AJ46">
        <v>1</v>
      </c>
      <c r="AK46">
        <v>1</v>
      </c>
      <c r="AL46">
        <v>1</v>
      </c>
    </row>
    <row r="47" spans="1:42" hidden="1" x14ac:dyDescent="0.2">
      <c r="A47" t="s">
        <v>142</v>
      </c>
      <c r="B47" t="s">
        <v>143</v>
      </c>
      <c r="C47" t="s">
        <v>144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4.5999999999999996</v>
      </c>
      <c r="AE47">
        <v>133</v>
      </c>
      <c r="AF47">
        <v>0</v>
      </c>
      <c r="AG47">
        <v>0</v>
      </c>
      <c r="AH47">
        <f>0*1</f>
        <v>0</v>
      </c>
      <c r="AI47">
        <f>0*1</f>
        <v>0</v>
      </c>
      <c r="AJ47">
        <v>1</v>
      </c>
      <c r="AK47">
        <v>0</v>
      </c>
      <c r="AL47">
        <v>0</v>
      </c>
    </row>
    <row r="48" spans="1:42" hidden="1" x14ac:dyDescent="0.2">
      <c r="A48" t="s">
        <v>145</v>
      </c>
      <c r="B48" t="s">
        <v>146</v>
      </c>
      <c r="C48" t="s">
        <v>146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5.2</v>
      </c>
      <c r="AE48">
        <v>141</v>
      </c>
      <c r="AF48">
        <v>51.545454545454511</v>
      </c>
      <c r="AG48">
        <v>41.612109329076048</v>
      </c>
      <c r="AH48">
        <f>17.4337834633451*1</f>
        <v>17.433783463345101</v>
      </c>
      <c r="AI48">
        <f>0.920594189107582*1</f>
        <v>0.92059418910758195</v>
      </c>
      <c r="AJ48">
        <v>1</v>
      </c>
      <c r="AK48">
        <v>0</v>
      </c>
      <c r="AL48">
        <v>0</v>
      </c>
    </row>
    <row r="49" spans="1:38" hidden="1" x14ac:dyDescent="0.2">
      <c r="A49" t="s">
        <v>147</v>
      </c>
      <c r="B49" t="s">
        <v>148</v>
      </c>
      <c r="C49" t="s">
        <v>148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143</v>
      </c>
      <c r="AF49">
        <v>32.651162790697683</v>
      </c>
      <c r="AG49">
        <v>37.511386891841312</v>
      </c>
      <c r="AH49">
        <f>34.6871531915413*1</f>
        <v>34.687153191541299</v>
      </c>
      <c r="AI49">
        <f>1.88230393553377*1</f>
        <v>1.8823039355337701</v>
      </c>
      <c r="AJ49">
        <v>1</v>
      </c>
      <c r="AK49">
        <v>0</v>
      </c>
      <c r="AL49">
        <v>0</v>
      </c>
    </row>
    <row r="50" spans="1:38" hidden="1" x14ac:dyDescent="0.2">
      <c r="A50" t="s">
        <v>97</v>
      </c>
      <c r="B50" t="s">
        <v>149</v>
      </c>
      <c r="C50" t="s">
        <v>149</v>
      </c>
      <c r="D50" t="s">
        <v>4</v>
      </c>
      <c r="E50">
        <v>0</v>
      </c>
      <c r="F50">
        <v>1</v>
      </c>
      <c r="G50">
        <v>0</v>
      </c>
      <c r="H50">
        <v>0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4.3</v>
      </c>
      <c r="AE50">
        <v>147</v>
      </c>
      <c r="AF50">
        <v>55.913043478260882</v>
      </c>
      <c r="AG50">
        <v>57.952679623687892</v>
      </c>
      <c r="AH50">
        <f>26.4801543784691*1</f>
        <v>26.480154378469098</v>
      </c>
      <c r="AI50">
        <f>1.38379111446114*1</f>
        <v>1.3837911144611399</v>
      </c>
      <c r="AJ50">
        <v>1</v>
      </c>
      <c r="AK50">
        <v>0</v>
      </c>
      <c r="AL50">
        <v>0</v>
      </c>
    </row>
    <row r="51" spans="1:38" hidden="1" x14ac:dyDescent="0.2">
      <c r="A51" t="s">
        <v>150</v>
      </c>
      <c r="B51" t="s">
        <v>151</v>
      </c>
      <c r="C51" t="s">
        <v>152</v>
      </c>
      <c r="D51" t="s">
        <v>4</v>
      </c>
      <c r="E51">
        <v>0</v>
      </c>
      <c r="F51">
        <v>1</v>
      </c>
      <c r="G51">
        <v>0</v>
      </c>
      <c r="H51">
        <v>0</v>
      </c>
      <c r="I51" t="s">
        <v>16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149</v>
      </c>
      <c r="AF51">
        <v>50.177359121222899</v>
      </c>
      <c r="AG51">
        <v>58.069744208497127</v>
      </c>
      <c r="AH51">
        <f>14.0532766850978*1</f>
        <v>14.053276685097799</v>
      </c>
      <c r="AI51">
        <f>0.64366280784537*1</f>
        <v>0.64366280784537</v>
      </c>
      <c r="AJ51">
        <v>1</v>
      </c>
      <c r="AK51">
        <v>0</v>
      </c>
      <c r="AL51">
        <v>0</v>
      </c>
    </row>
    <row r="52" spans="1:38" hidden="1" x14ac:dyDescent="0.2">
      <c r="A52" t="s">
        <v>153</v>
      </c>
      <c r="B52" t="s">
        <v>154</v>
      </c>
      <c r="C52" t="s">
        <v>153</v>
      </c>
      <c r="D52" t="s">
        <v>6</v>
      </c>
      <c r="E52">
        <v>0</v>
      </c>
      <c r="F52">
        <v>0</v>
      </c>
      <c r="G52">
        <v>0</v>
      </c>
      <c r="H52">
        <v>1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5.7</v>
      </c>
      <c r="AE52">
        <v>156</v>
      </c>
      <c r="AF52">
        <v>83.376931716058962</v>
      </c>
      <c r="AG52">
        <v>48.376934100569883</v>
      </c>
      <c r="AH52">
        <f>83.4007633029052*1</f>
        <v>83.400763302905204</v>
      </c>
      <c r="AI52">
        <f>4.65887950485617*1</f>
        <v>4.65887950485617</v>
      </c>
      <c r="AJ52">
        <v>1</v>
      </c>
      <c r="AK52">
        <v>0</v>
      </c>
      <c r="AL52">
        <v>0</v>
      </c>
    </row>
    <row r="53" spans="1:38" hidden="1" x14ac:dyDescent="0.2">
      <c r="A53" t="s">
        <v>155</v>
      </c>
      <c r="B53" t="s">
        <v>156</v>
      </c>
      <c r="C53" t="s">
        <v>157</v>
      </c>
      <c r="D53" t="s">
        <v>4</v>
      </c>
      <c r="E53">
        <v>0</v>
      </c>
      <c r="F53">
        <v>1</v>
      </c>
      <c r="G53">
        <v>0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</v>
      </c>
      <c r="AE53">
        <v>171</v>
      </c>
      <c r="AF53">
        <v>37.018867924528308</v>
      </c>
      <c r="AG53">
        <v>38.444993477387293</v>
      </c>
      <c r="AH53">
        <f>25.3053097537897*1</f>
        <v>25.3053097537897</v>
      </c>
      <c r="AI53">
        <f>1.4019003656919*1</f>
        <v>1.4019003656919</v>
      </c>
      <c r="AJ53">
        <v>1</v>
      </c>
      <c r="AK53">
        <v>0</v>
      </c>
      <c r="AL53">
        <v>0</v>
      </c>
    </row>
    <row r="54" spans="1:38" hidden="1" x14ac:dyDescent="0.2">
      <c r="A54" t="s">
        <v>158</v>
      </c>
      <c r="B54" t="s">
        <v>159</v>
      </c>
      <c r="C54" t="s">
        <v>159</v>
      </c>
      <c r="D54" t="s">
        <v>4</v>
      </c>
      <c r="E54">
        <v>0</v>
      </c>
      <c r="F54">
        <v>1</v>
      </c>
      <c r="G54">
        <v>0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4.4000000000000004</v>
      </c>
      <c r="AE54">
        <v>172</v>
      </c>
      <c r="AF54">
        <v>50.653617694563764</v>
      </c>
      <c r="AG54">
        <v>56.11817468597139</v>
      </c>
      <c r="AH54">
        <f>30.3270983557628*1</f>
        <v>30.3270983557628</v>
      </c>
      <c r="AI54">
        <f>1.4781347958382*1</f>
        <v>1.4781347958382001</v>
      </c>
      <c r="AJ54">
        <v>1</v>
      </c>
      <c r="AK54">
        <v>0</v>
      </c>
      <c r="AL54">
        <v>0</v>
      </c>
    </row>
    <row r="55" spans="1:38" hidden="1" x14ac:dyDescent="0.2">
      <c r="A55" t="s">
        <v>160</v>
      </c>
      <c r="B55" t="s">
        <v>161</v>
      </c>
      <c r="C55" t="s">
        <v>161</v>
      </c>
      <c r="D55" t="s">
        <v>3</v>
      </c>
      <c r="E55">
        <v>1</v>
      </c>
      <c r="F55">
        <v>0</v>
      </c>
      <c r="G55">
        <v>0</v>
      </c>
      <c r="H55">
        <v>0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4.5</v>
      </c>
      <c r="AE55">
        <v>173</v>
      </c>
      <c r="AF55">
        <v>0</v>
      </c>
      <c r="AG55">
        <v>0</v>
      </c>
      <c r="AH55">
        <f>0*1</f>
        <v>0</v>
      </c>
      <c r="AI55">
        <f>0*1</f>
        <v>0</v>
      </c>
      <c r="AJ55">
        <v>1</v>
      </c>
      <c r="AK55">
        <v>0</v>
      </c>
      <c r="AL55">
        <v>0</v>
      </c>
    </row>
    <row r="56" spans="1:38" hidden="1" x14ac:dyDescent="0.2">
      <c r="A56" t="s">
        <v>162</v>
      </c>
      <c r="B56" t="s">
        <v>163</v>
      </c>
      <c r="C56" t="s">
        <v>163</v>
      </c>
      <c r="D56" t="s">
        <v>6</v>
      </c>
      <c r="E56">
        <v>0</v>
      </c>
      <c r="F56">
        <v>0</v>
      </c>
      <c r="G56">
        <v>0</v>
      </c>
      <c r="H56">
        <v>1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5.5</v>
      </c>
      <c r="AE56">
        <v>175</v>
      </c>
      <c r="AF56">
        <v>56.814857976963303</v>
      </c>
      <c r="AG56">
        <v>49.210088352433552</v>
      </c>
      <c r="AH56">
        <f>44.9936228993836*1</f>
        <v>44.993622899383602</v>
      </c>
      <c r="AI56">
        <f>2.17982319415164*1</f>
        <v>2.1798231941516399</v>
      </c>
      <c r="AJ56">
        <v>1</v>
      </c>
      <c r="AK56">
        <v>0</v>
      </c>
      <c r="AL56">
        <v>0</v>
      </c>
    </row>
    <row r="57" spans="1:38" hidden="1" x14ac:dyDescent="0.2">
      <c r="A57" t="s">
        <v>164</v>
      </c>
      <c r="B57" t="s">
        <v>165</v>
      </c>
      <c r="C57" t="s">
        <v>164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16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5.2</v>
      </c>
      <c r="AE57">
        <v>181</v>
      </c>
      <c r="AF57">
        <v>0</v>
      </c>
      <c r="AG57">
        <v>0</v>
      </c>
      <c r="AH57">
        <f>0*1</f>
        <v>0</v>
      </c>
      <c r="AI57">
        <f>0*1</f>
        <v>0</v>
      </c>
      <c r="AJ57">
        <v>1</v>
      </c>
      <c r="AK57">
        <v>0</v>
      </c>
      <c r="AL57">
        <v>0</v>
      </c>
    </row>
    <row r="58" spans="1:38" hidden="1" x14ac:dyDescent="0.2">
      <c r="A58" t="s">
        <v>166</v>
      </c>
      <c r="B58" t="s">
        <v>167</v>
      </c>
      <c r="C58" t="s">
        <v>168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4.9000000000000004</v>
      </c>
      <c r="AE58">
        <v>193</v>
      </c>
      <c r="AF58">
        <v>42.424263066424587</v>
      </c>
      <c r="AG58">
        <v>33.730961544467718</v>
      </c>
      <c r="AH58">
        <f>41.6152009546124*1</f>
        <v>41.615200954612398</v>
      </c>
      <c r="AI58">
        <f>2.15029528887716*1</f>
        <v>2.1502952888771598</v>
      </c>
      <c r="AJ58">
        <v>1</v>
      </c>
      <c r="AK58">
        <v>0</v>
      </c>
      <c r="AL58">
        <v>0</v>
      </c>
    </row>
    <row r="59" spans="1:38" hidden="1" x14ac:dyDescent="0.2">
      <c r="A59" t="s">
        <v>169</v>
      </c>
      <c r="B59" t="s">
        <v>170</v>
      </c>
      <c r="C59" t="s">
        <v>170</v>
      </c>
      <c r="D59" t="s">
        <v>4</v>
      </c>
      <c r="E59">
        <v>0</v>
      </c>
      <c r="F59">
        <v>1</v>
      </c>
      <c r="G59">
        <v>0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4.5999999999999996</v>
      </c>
      <c r="AE59">
        <v>197</v>
      </c>
      <c r="AF59">
        <v>46.862068965517253</v>
      </c>
      <c r="AG59">
        <v>55.193329902869188</v>
      </c>
      <c r="AH59">
        <f>27.7322905503811*1</f>
        <v>27.732290550381101</v>
      </c>
      <c r="AI59">
        <f>1.43192738611956*1</f>
        <v>1.4319273861195601</v>
      </c>
      <c r="AJ59">
        <v>1</v>
      </c>
      <c r="AK59">
        <v>0</v>
      </c>
      <c r="AL59">
        <v>0</v>
      </c>
    </row>
    <row r="60" spans="1:38" hidden="1" x14ac:dyDescent="0.2">
      <c r="A60" t="s">
        <v>171</v>
      </c>
      <c r="B60" t="s">
        <v>172</v>
      </c>
      <c r="C60" t="s">
        <v>173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5.2</v>
      </c>
      <c r="AE60">
        <v>198</v>
      </c>
      <c r="AF60">
        <v>46.372881355932194</v>
      </c>
      <c r="AG60">
        <v>42.007221955281601</v>
      </c>
      <c r="AH60">
        <f>30.6089691507131*1</f>
        <v>30.608969150713101</v>
      </c>
      <c r="AI60">
        <f>1.72634311751729*1</f>
        <v>1.7263431175172901</v>
      </c>
      <c r="AJ60">
        <v>1</v>
      </c>
      <c r="AK60">
        <v>0</v>
      </c>
      <c r="AL60">
        <v>0</v>
      </c>
    </row>
    <row r="61" spans="1:38" hidden="1" x14ac:dyDescent="0.2">
      <c r="A61" t="s">
        <v>174</v>
      </c>
      <c r="B61" t="s">
        <v>175</v>
      </c>
      <c r="C61" t="s">
        <v>174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5.0999999999999996</v>
      </c>
      <c r="AE61">
        <v>203</v>
      </c>
      <c r="AF61">
        <v>51.378476880712668</v>
      </c>
      <c r="AG61">
        <v>40.887842907856466</v>
      </c>
      <c r="AH61">
        <f>49.6861257830066*1</f>
        <v>49.686125783006602</v>
      </c>
      <c r="AI61">
        <f>2.32161628811623*1</f>
        <v>2.3216162881162301</v>
      </c>
      <c r="AJ61">
        <v>1</v>
      </c>
      <c r="AK61">
        <v>0</v>
      </c>
      <c r="AL61">
        <v>0</v>
      </c>
    </row>
    <row r="62" spans="1:38" hidden="1" x14ac:dyDescent="0.2">
      <c r="A62" t="s">
        <v>176</v>
      </c>
      <c r="B62" t="s">
        <v>177</v>
      </c>
      <c r="C62" t="s">
        <v>177</v>
      </c>
      <c r="D62" t="s">
        <v>4</v>
      </c>
      <c r="E62">
        <v>0</v>
      </c>
      <c r="F62">
        <v>1</v>
      </c>
      <c r="G62">
        <v>0</v>
      </c>
      <c r="H62">
        <v>0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4.9000000000000004</v>
      </c>
      <c r="AE62">
        <v>206</v>
      </c>
      <c r="AF62">
        <v>42.909993478031232</v>
      </c>
      <c r="AG62">
        <v>35.709070034543302</v>
      </c>
      <c r="AH62">
        <f>26.4376716178345*1</f>
        <v>26.4376716178345</v>
      </c>
      <c r="AI62">
        <f>1.50570521538801*1</f>
        <v>1.5057052153880099</v>
      </c>
      <c r="AJ62">
        <v>1</v>
      </c>
      <c r="AK62">
        <v>0</v>
      </c>
      <c r="AL62">
        <v>0</v>
      </c>
    </row>
    <row r="63" spans="1:38" hidden="1" x14ac:dyDescent="0.2">
      <c r="A63" t="s">
        <v>178</v>
      </c>
      <c r="B63" t="s">
        <v>179</v>
      </c>
      <c r="C63" t="s">
        <v>179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6.2</v>
      </c>
      <c r="AE63">
        <v>212</v>
      </c>
      <c r="AF63">
        <v>60.120000000000033</v>
      </c>
      <c r="AG63">
        <v>70.820775090614646</v>
      </c>
      <c r="AH63">
        <f>70.8356963585613*1</f>
        <v>70.835696358561293</v>
      </c>
      <c r="AI63">
        <f>3.81368905798628*1</f>
        <v>3.8136890579862799</v>
      </c>
      <c r="AJ63">
        <v>1</v>
      </c>
      <c r="AK63">
        <v>0</v>
      </c>
      <c r="AL63">
        <v>0</v>
      </c>
    </row>
    <row r="64" spans="1:38" hidden="1" x14ac:dyDescent="0.2">
      <c r="A64" t="s">
        <v>180</v>
      </c>
      <c r="B64" t="s">
        <v>181</v>
      </c>
      <c r="C64" t="s">
        <v>182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8.1</v>
      </c>
      <c r="AE64">
        <v>215</v>
      </c>
      <c r="AF64">
        <v>79.961538461538467</v>
      </c>
      <c r="AG64">
        <v>100.842297339113</v>
      </c>
      <c r="AH64">
        <f>72.2293136595893*1</f>
        <v>72.229313659589295</v>
      </c>
      <c r="AI64">
        <f>3.76602187094579*1</f>
        <v>3.76602187094579</v>
      </c>
      <c r="AJ64">
        <v>1</v>
      </c>
      <c r="AK64">
        <v>0</v>
      </c>
      <c r="AL64">
        <v>0</v>
      </c>
    </row>
    <row r="65" spans="1:38" hidden="1" x14ac:dyDescent="0.2">
      <c r="A65" t="s">
        <v>183</v>
      </c>
      <c r="B65" t="s">
        <v>184</v>
      </c>
      <c r="C65" t="s">
        <v>184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5.8</v>
      </c>
      <c r="AE65">
        <v>216</v>
      </c>
      <c r="AF65">
        <v>0</v>
      </c>
      <c r="AG65">
        <v>0</v>
      </c>
      <c r="AH65">
        <f>0*1</f>
        <v>0</v>
      </c>
      <c r="AI65">
        <f>0*1</f>
        <v>0</v>
      </c>
      <c r="AJ65">
        <v>1</v>
      </c>
      <c r="AK65">
        <v>0</v>
      </c>
      <c r="AL65">
        <v>0</v>
      </c>
    </row>
    <row r="66" spans="1:38" hidden="1" x14ac:dyDescent="0.2">
      <c r="A66" t="s">
        <v>185</v>
      </c>
      <c r="B66" t="s">
        <v>186</v>
      </c>
      <c r="C66" t="s">
        <v>186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11.4</v>
      </c>
      <c r="AE66">
        <v>217</v>
      </c>
      <c r="AF66">
        <v>133.3171315525469</v>
      </c>
      <c r="AG66">
        <v>173.60561440702119</v>
      </c>
      <c r="AH66">
        <f>111.702515881511*1</f>
        <v>111.702515881511</v>
      </c>
      <c r="AI66">
        <f>6.15557238754681*1</f>
        <v>6.15557238754681</v>
      </c>
      <c r="AJ66">
        <v>1</v>
      </c>
      <c r="AK66">
        <v>0</v>
      </c>
      <c r="AL66">
        <v>0</v>
      </c>
    </row>
    <row r="67" spans="1:38" hidden="1" x14ac:dyDescent="0.2">
      <c r="A67" t="s">
        <v>187</v>
      </c>
      <c r="B67" t="s">
        <v>188</v>
      </c>
      <c r="C67" t="s">
        <v>188</v>
      </c>
      <c r="D67" t="s">
        <v>3</v>
      </c>
      <c r="E67">
        <v>1</v>
      </c>
      <c r="F67">
        <v>0</v>
      </c>
      <c r="G67">
        <v>0</v>
      </c>
      <c r="H67">
        <v>0</v>
      </c>
      <c r="I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4.8</v>
      </c>
      <c r="AE67">
        <v>220</v>
      </c>
      <c r="AF67">
        <v>64.615384615384613</v>
      </c>
      <c r="AG67">
        <v>62.304687064098793</v>
      </c>
      <c r="AH67">
        <f>43.4188007854947*1</f>
        <v>43.418800785494703</v>
      </c>
      <c r="AI67">
        <f>2.389127892956*1</f>
        <v>2.389127892956</v>
      </c>
      <c r="AJ67">
        <v>1</v>
      </c>
      <c r="AK67">
        <v>0</v>
      </c>
      <c r="AL67">
        <v>0</v>
      </c>
    </row>
    <row r="68" spans="1:38" hidden="1" x14ac:dyDescent="0.2">
      <c r="A68" t="s">
        <v>189</v>
      </c>
      <c r="B68" t="s">
        <v>190</v>
      </c>
      <c r="C68" t="s">
        <v>190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6.2</v>
      </c>
      <c r="AE68">
        <v>223</v>
      </c>
      <c r="AF68">
        <v>62.328358208955208</v>
      </c>
      <c r="AG68">
        <v>56.222509239927852</v>
      </c>
      <c r="AH68">
        <f>55.6214232733876*1</f>
        <v>55.621423273387599</v>
      </c>
      <c r="AI68">
        <f>3.0018147987437*1</f>
        <v>3.0018147987437001</v>
      </c>
      <c r="AJ68">
        <v>1</v>
      </c>
      <c r="AK68">
        <v>0</v>
      </c>
      <c r="AL68">
        <v>0</v>
      </c>
    </row>
    <row r="69" spans="1:38" hidden="1" x14ac:dyDescent="0.2">
      <c r="A69" t="s">
        <v>191</v>
      </c>
      <c r="B69" t="s">
        <v>192</v>
      </c>
      <c r="C69" t="s">
        <v>193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6.2</v>
      </c>
      <c r="AE69">
        <v>224</v>
      </c>
      <c r="AF69">
        <v>48.190617096123631</v>
      </c>
      <c r="AG69">
        <v>62.110813836858547</v>
      </c>
      <c r="AH69">
        <f>25.7253160072677*1</f>
        <v>25.725316007267701</v>
      </c>
      <c r="AI69">
        <f>1.25602434521593*1</f>
        <v>1.2560243452159301</v>
      </c>
      <c r="AJ69">
        <v>1</v>
      </c>
      <c r="AK69">
        <v>0</v>
      </c>
      <c r="AL69">
        <v>0</v>
      </c>
    </row>
    <row r="70" spans="1:38" hidden="1" x14ac:dyDescent="0.2">
      <c r="A70" t="s">
        <v>194</v>
      </c>
      <c r="B70" t="s">
        <v>195</v>
      </c>
      <c r="C70" t="s">
        <v>195</v>
      </c>
      <c r="D70" t="s">
        <v>6</v>
      </c>
      <c r="E70">
        <v>0</v>
      </c>
      <c r="F70">
        <v>0</v>
      </c>
      <c r="G70">
        <v>0</v>
      </c>
      <c r="H70">
        <v>1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5.9</v>
      </c>
      <c r="AE70">
        <v>231</v>
      </c>
      <c r="AF70">
        <v>39.391304347826093</v>
      </c>
      <c r="AG70">
        <v>51.219422471410311</v>
      </c>
      <c r="AH70">
        <f>13.8412678581667*1</f>
        <v>13.841267858166701</v>
      </c>
      <c r="AI70">
        <f>0.702538442172637*1</f>
        <v>0.70253844217263695</v>
      </c>
      <c r="AJ70">
        <v>1</v>
      </c>
      <c r="AK70">
        <v>0</v>
      </c>
      <c r="AL70">
        <v>0</v>
      </c>
    </row>
    <row r="71" spans="1:38" hidden="1" x14ac:dyDescent="0.2">
      <c r="A71" t="s">
        <v>196</v>
      </c>
      <c r="B71" t="s">
        <v>197</v>
      </c>
      <c r="C71" t="s">
        <v>197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6.6</v>
      </c>
      <c r="AE71">
        <v>239</v>
      </c>
      <c r="AF71">
        <v>70.524590163934391</v>
      </c>
      <c r="AG71">
        <v>69.340560054879333</v>
      </c>
      <c r="AH71">
        <f>58.1495738408604*1</f>
        <v>58.149573840860398</v>
      </c>
      <c r="AI71">
        <f>3.30984945031263*1</f>
        <v>3.3098494503126301</v>
      </c>
      <c r="AJ71">
        <v>1</v>
      </c>
      <c r="AK71">
        <v>0</v>
      </c>
      <c r="AL71">
        <v>0</v>
      </c>
    </row>
    <row r="72" spans="1:38" hidden="1" x14ac:dyDescent="0.2">
      <c r="A72" t="s">
        <v>171</v>
      </c>
      <c r="B72" t="s">
        <v>198</v>
      </c>
      <c r="C72" t="s">
        <v>198</v>
      </c>
      <c r="D72" t="s">
        <v>4</v>
      </c>
      <c r="E72">
        <v>0</v>
      </c>
      <c r="F72">
        <v>1</v>
      </c>
      <c r="G72">
        <v>0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4.5</v>
      </c>
      <c r="AE72">
        <v>240</v>
      </c>
      <c r="AF72">
        <v>51.929203539823042</v>
      </c>
      <c r="AG72">
        <v>52.448171386292977</v>
      </c>
      <c r="AH72">
        <f>25.9300283161784*1</f>
        <v>25.930028316178401</v>
      </c>
      <c r="AI72">
        <f>1.4157708729549*1</f>
        <v>1.4157708729548999</v>
      </c>
      <c r="AJ72">
        <v>1</v>
      </c>
      <c r="AK72">
        <v>0</v>
      </c>
      <c r="AL72">
        <v>0</v>
      </c>
    </row>
    <row r="73" spans="1:38" hidden="1" x14ac:dyDescent="0.2">
      <c r="A73" t="s">
        <v>199</v>
      </c>
      <c r="B73" t="s">
        <v>200</v>
      </c>
      <c r="C73" t="s">
        <v>200</v>
      </c>
      <c r="D73" t="s">
        <v>3</v>
      </c>
      <c r="E73">
        <v>1</v>
      </c>
      <c r="F73">
        <v>0</v>
      </c>
      <c r="G73">
        <v>0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4.5</v>
      </c>
      <c r="AE73">
        <v>241</v>
      </c>
      <c r="AF73">
        <v>68.447768225330293</v>
      </c>
      <c r="AG73">
        <v>78.430905301655102</v>
      </c>
      <c r="AH73">
        <f>33.7707205004279*1</f>
        <v>33.770720500427899</v>
      </c>
      <c r="AI73">
        <f>1.70338408846595*1</f>
        <v>1.7033840884659499</v>
      </c>
      <c r="AJ73">
        <v>1</v>
      </c>
      <c r="AK73">
        <v>0</v>
      </c>
      <c r="AL73">
        <v>0</v>
      </c>
    </row>
    <row r="74" spans="1:38" hidden="1" x14ac:dyDescent="0.2">
      <c r="A74" t="s">
        <v>201</v>
      </c>
      <c r="B74" t="s">
        <v>202</v>
      </c>
      <c r="C74" t="s">
        <v>202</v>
      </c>
      <c r="D74" t="s">
        <v>5</v>
      </c>
      <c r="E74">
        <v>0</v>
      </c>
      <c r="F74">
        <v>0</v>
      </c>
      <c r="G74">
        <v>1</v>
      </c>
      <c r="H74">
        <v>0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4.9000000000000004</v>
      </c>
      <c r="AE74">
        <v>243</v>
      </c>
      <c r="AF74">
        <v>38.067567567567593</v>
      </c>
      <c r="AG74">
        <v>37.128214281220913</v>
      </c>
      <c r="AH74">
        <f>22.208707512695*1</f>
        <v>22.208707512695</v>
      </c>
      <c r="AI74">
        <f>1.19589908933656*1</f>
        <v>1.19589908933656</v>
      </c>
      <c r="AJ74">
        <v>1</v>
      </c>
      <c r="AK74">
        <v>0</v>
      </c>
      <c r="AL74">
        <v>0</v>
      </c>
    </row>
    <row r="75" spans="1:38" hidden="1" x14ac:dyDescent="0.2">
      <c r="A75" t="s">
        <v>203</v>
      </c>
      <c r="B75" t="s">
        <v>204</v>
      </c>
      <c r="C75" t="s">
        <v>205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4.8</v>
      </c>
      <c r="AE75">
        <v>245</v>
      </c>
      <c r="AF75">
        <v>42.524999999999963</v>
      </c>
      <c r="AG75">
        <v>46.010131887264109</v>
      </c>
      <c r="AH75">
        <f>16.6903414025933*1</f>
        <v>16.690341402593301</v>
      </c>
      <c r="AI75">
        <f>0.889707305407485*1</f>
        <v>0.88970730540748499</v>
      </c>
      <c r="AJ75">
        <v>1</v>
      </c>
      <c r="AK75">
        <v>0</v>
      </c>
      <c r="AL75">
        <v>0</v>
      </c>
    </row>
    <row r="76" spans="1:38" hidden="1" x14ac:dyDescent="0.2">
      <c r="A76" t="s">
        <v>206</v>
      </c>
      <c r="B76" t="s">
        <v>207</v>
      </c>
      <c r="C76" t="s">
        <v>207</v>
      </c>
      <c r="D76" t="s">
        <v>6</v>
      </c>
      <c r="E76">
        <v>0</v>
      </c>
      <c r="F76">
        <v>0</v>
      </c>
      <c r="G76">
        <v>0</v>
      </c>
      <c r="H76">
        <v>1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7.2</v>
      </c>
      <c r="AE76">
        <v>246</v>
      </c>
      <c r="AF76">
        <v>69.744304802731079</v>
      </c>
      <c r="AG76">
        <v>44.867936111304289</v>
      </c>
      <c r="AH76">
        <f>28.507194661636*1</f>
        <v>28.507194661635999</v>
      </c>
      <c r="AI76">
        <f>1.57074825447707*1</f>
        <v>1.5707482544770699</v>
      </c>
      <c r="AJ76">
        <v>1</v>
      </c>
      <c r="AK76">
        <v>0</v>
      </c>
      <c r="AL76">
        <v>0</v>
      </c>
    </row>
    <row r="77" spans="1:38" hidden="1" x14ac:dyDescent="0.2">
      <c r="A77" t="s">
        <v>208</v>
      </c>
      <c r="B77" t="s">
        <v>209</v>
      </c>
      <c r="C77" t="s">
        <v>209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4.8</v>
      </c>
      <c r="AE77">
        <v>249</v>
      </c>
      <c r="AF77">
        <v>52.767123287671261</v>
      </c>
      <c r="AG77">
        <v>46.187725747192637</v>
      </c>
      <c r="AH77">
        <f>30.8117396857035*1</f>
        <v>30.8117396857035</v>
      </c>
      <c r="AI77">
        <f>1.6044963535453*1</f>
        <v>1.6044963535453001</v>
      </c>
      <c r="AJ77">
        <v>1</v>
      </c>
      <c r="AK77">
        <v>0</v>
      </c>
      <c r="AL77">
        <v>0</v>
      </c>
    </row>
    <row r="78" spans="1:38" hidden="1" x14ac:dyDescent="0.2">
      <c r="A78" t="s">
        <v>210</v>
      </c>
      <c r="B78" t="s">
        <v>211</v>
      </c>
      <c r="C78" t="s">
        <v>211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4.7</v>
      </c>
      <c r="AE78">
        <v>250</v>
      </c>
      <c r="AF78">
        <v>0</v>
      </c>
      <c r="AG78">
        <v>0</v>
      </c>
      <c r="AH78">
        <f>0*1</f>
        <v>0</v>
      </c>
      <c r="AI78">
        <f>0*1</f>
        <v>0</v>
      </c>
      <c r="AJ78">
        <v>1</v>
      </c>
      <c r="AK78">
        <v>0</v>
      </c>
      <c r="AL78">
        <v>0</v>
      </c>
    </row>
    <row r="79" spans="1:38" x14ac:dyDescent="0.2">
      <c r="A79" t="s">
        <v>102</v>
      </c>
      <c r="B79" t="s">
        <v>103</v>
      </c>
      <c r="C79" t="s">
        <v>103</v>
      </c>
      <c r="D79" t="s">
        <v>4</v>
      </c>
      <c r="E79">
        <v>0</v>
      </c>
      <c r="F79">
        <v>1</v>
      </c>
      <c r="G79">
        <v>0</v>
      </c>
      <c r="H79">
        <v>0</v>
      </c>
      <c r="I79" t="s">
        <v>14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4.7</v>
      </c>
      <c r="AE79">
        <v>83</v>
      </c>
      <c r="AF79">
        <v>88.284904955745631</v>
      </c>
      <c r="AG79">
        <v>46.332841448304528</v>
      </c>
      <c r="AH79">
        <f>122.652902103832*1</f>
        <v>122.65290210383201</v>
      </c>
      <c r="AI79">
        <f>6.87002436440472*1</f>
        <v>6.8700243644047196</v>
      </c>
      <c r="AJ79">
        <v>1</v>
      </c>
      <c r="AK79">
        <v>1</v>
      </c>
      <c r="AL79">
        <v>1</v>
      </c>
    </row>
    <row r="80" spans="1:38" hidden="1" x14ac:dyDescent="0.2">
      <c r="A80" t="s">
        <v>215</v>
      </c>
      <c r="B80" t="s">
        <v>216</v>
      </c>
      <c r="C80" t="s">
        <v>217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5.0999999999999996</v>
      </c>
      <c r="AE80">
        <v>266</v>
      </c>
      <c r="AF80">
        <v>55.66153846153842</v>
      </c>
      <c r="AG80">
        <v>60.259850126475882</v>
      </c>
      <c r="AH80">
        <f>31.023975058687*1</f>
        <v>31.023975058687</v>
      </c>
      <c r="AI80">
        <f>1.74604464285819*1</f>
        <v>1.7460446428581899</v>
      </c>
      <c r="AJ80">
        <v>1</v>
      </c>
      <c r="AK80">
        <v>0</v>
      </c>
      <c r="AL80">
        <v>0</v>
      </c>
    </row>
    <row r="81" spans="1:38" hidden="1" x14ac:dyDescent="0.2">
      <c r="A81" t="s">
        <v>218</v>
      </c>
      <c r="B81" t="s">
        <v>219</v>
      </c>
      <c r="C81" t="s">
        <v>219</v>
      </c>
      <c r="D81" t="s">
        <v>6</v>
      </c>
      <c r="E81">
        <v>0</v>
      </c>
      <c r="F81">
        <v>0</v>
      </c>
      <c r="G81">
        <v>0</v>
      </c>
      <c r="H81">
        <v>1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5.4</v>
      </c>
      <c r="AE81">
        <v>269</v>
      </c>
      <c r="AF81">
        <v>60.043993532964222</v>
      </c>
      <c r="AG81">
        <v>65.207466252197833</v>
      </c>
      <c r="AH81">
        <f>27.3209107372754*1</f>
        <v>27.320910737275401</v>
      </c>
      <c r="AI81">
        <f>1.43679242755407*1</f>
        <v>1.43679242755407</v>
      </c>
      <c r="AJ81">
        <v>1</v>
      </c>
      <c r="AK81">
        <v>0</v>
      </c>
      <c r="AL81">
        <v>0</v>
      </c>
    </row>
    <row r="82" spans="1:38" hidden="1" x14ac:dyDescent="0.2">
      <c r="A82" t="s">
        <v>220</v>
      </c>
      <c r="B82" t="s">
        <v>221</v>
      </c>
      <c r="C82" t="s">
        <v>222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4.8</v>
      </c>
      <c r="AE82">
        <v>271</v>
      </c>
      <c r="AF82">
        <v>40.097968020241822</v>
      </c>
      <c r="AG82">
        <v>32.551341959124308</v>
      </c>
      <c r="AH82">
        <f>32.6545510738627*1</f>
        <v>32.654551073862699</v>
      </c>
      <c r="AI82">
        <f>1.81840237997043*1</f>
        <v>1.8184023799704301</v>
      </c>
      <c r="AJ82">
        <v>1</v>
      </c>
      <c r="AK82">
        <v>0</v>
      </c>
      <c r="AL82">
        <v>0</v>
      </c>
    </row>
    <row r="83" spans="1:38" hidden="1" x14ac:dyDescent="0.2">
      <c r="A83" t="s">
        <v>223</v>
      </c>
      <c r="B83" t="s">
        <v>224</v>
      </c>
      <c r="C83" t="s">
        <v>224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5.2</v>
      </c>
      <c r="AE83">
        <v>273</v>
      </c>
      <c r="AF83">
        <v>64.479452054794592</v>
      </c>
      <c r="AG83">
        <v>54.869850468403421</v>
      </c>
      <c r="AH83">
        <f>21.0057374139256*1</f>
        <v>21.005737413925601</v>
      </c>
      <c r="AI83">
        <f>1.16391269719659*1</f>
        <v>1.1639126971965901</v>
      </c>
      <c r="AJ83">
        <v>1</v>
      </c>
      <c r="AK83">
        <v>0</v>
      </c>
      <c r="AL83">
        <v>0</v>
      </c>
    </row>
    <row r="84" spans="1:38" hidden="1" x14ac:dyDescent="0.2">
      <c r="A84" t="s">
        <v>225</v>
      </c>
      <c r="B84" t="s">
        <v>226</v>
      </c>
      <c r="C84" t="s">
        <v>226</v>
      </c>
      <c r="D84" t="s">
        <v>4</v>
      </c>
      <c r="E84">
        <v>0</v>
      </c>
      <c r="F84">
        <v>1</v>
      </c>
      <c r="G84">
        <v>0</v>
      </c>
      <c r="H84">
        <v>0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4.3</v>
      </c>
      <c r="AE84">
        <v>280</v>
      </c>
      <c r="AF84">
        <v>52.943343759517752</v>
      </c>
      <c r="AG84">
        <v>65.259703523347298</v>
      </c>
      <c r="AH84">
        <f>30.1889230947222*1</f>
        <v>30.188923094722199</v>
      </c>
      <c r="AI84">
        <f>1.78391975463416*1</f>
        <v>1.7839197546341601</v>
      </c>
      <c r="AJ84">
        <v>1</v>
      </c>
      <c r="AK84">
        <v>1</v>
      </c>
      <c r="AL84">
        <v>0</v>
      </c>
    </row>
    <row r="85" spans="1:38" x14ac:dyDescent="0.2">
      <c r="A85" t="s">
        <v>358</v>
      </c>
      <c r="B85" t="s">
        <v>359</v>
      </c>
      <c r="C85" t="s">
        <v>360</v>
      </c>
      <c r="D85" t="s">
        <v>5</v>
      </c>
      <c r="E85">
        <v>0</v>
      </c>
      <c r="F85">
        <v>0</v>
      </c>
      <c r="G85">
        <v>1</v>
      </c>
      <c r="H85">
        <v>0</v>
      </c>
      <c r="I85" t="s">
        <v>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5.0999999999999996</v>
      </c>
      <c r="AE85">
        <v>505</v>
      </c>
      <c r="AF85">
        <v>80.486873480792681</v>
      </c>
      <c r="AG85">
        <v>37.729157044975381</v>
      </c>
      <c r="AH85">
        <f>108.2663692774*0.986111111111111</f>
        <v>106.76266970410278</v>
      </c>
      <c r="AI85">
        <f>5.93963549996689*0.986111111111111</f>
        <v>5.8571405624673494</v>
      </c>
      <c r="AJ85">
        <v>0.98611111111111116</v>
      </c>
      <c r="AK85">
        <v>1</v>
      </c>
      <c r="AL85">
        <v>1</v>
      </c>
    </row>
    <row r="86" spans="1:38" x14ac:dyDescent="0.2">
      <c r="A86" t="s">
        <v>356</v>
      </c>
      <c r="B86" t="s">
        <v>357</v>
      </c>
      <c r="C86" t="s">
        <v>357</v>
      </c>
      <c r="D86" t="s">
        <v>6</v>
      </c>
      <c r="E86">
        <v>0</v>
      </c>
      <c r="F86">
        <v>0</v>
      </c>
      <c r="G86">
        <v>0</v>
      </c>
      <c r="H86">
        <v>1</v>
      </c>
      <c r="I86" t="s">
        <v>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9.3000000000000007</v>
      </c>
      <c r="AE86">
        <v>504</v>
      </c>
      <c r="AF86">
        <v>102.62686567164189</v>
      </c>
      <c r="AG86">
        <v>96.026034974766958</v>
      </c>
      <c r="AH86">
        <f>103.431439653503*0.986111111111111</f>
        <v>101.99489188053768</v>
      </c>
      <c r="AI86">
        <f>5.77254410200308*0.986111111111111</f>
        <v>5.6923698783641479</v>
      </c>
      <c r="AJ86">
        <v>0.98611111111111116</v>
      </c>
      <c r="AK86">
        <v>1</v>
      </c>
      <c r="AL86">
        <v>1</v>
      </c>
    </row>
    <row r="87" spans="1:38" hidden="1" x14ac:dyDescent="0.2">
      <c r="A87" t="s">
        <v>231</v>
      </c>
      <c r="B87" t="s">
        <v>232</v>
      </c>
      <c r="C87" t="s">
        <v>232</v>
      </c>
      <c r="D87" t="s">
        <v>4</v>
      </c>
      <c r="E87">
        <v>0</v>
      </c>
      <c r="F87">
        <v>1</v>
      </c>
      <c r="G87">
        <v>0</v>
      </c>
      <c r="H87">
        <v>0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4.7</v>
      </c>
      <c r="AE87">
        <v>286</v>
      </c>
      <c r="AF87">
        <v>47.299270072992712</v>
      </c>
      <c r="AG87">
        <v>40.777715141155653</v>
      </c>
      <c r="AH87">
        <f>52.6912012901703*1</f>
        <v>52.691201290170298</v>
      </c>
      <c r="AI87">
        <f>2.8615310241233*1</f>
        <v>2.8615310241233001</v>
      </c>
      <c r="AJ87">
        <v>1</v>
      </c>
      <c r="AK87">
        <v>0</v>
      </c>
      <c r="AL87">
        <v>0</v>
      </c>
    </row>
    <row r="88" spans="1:38" hidden="1" x14ac:dyDescent="0.2">
      <c r="A88" t="s">
        <v>233</v>
      </c>
      <c r="B88" t="s">
        <v>234</v>
      </c>
      <c r="C88" t="s">
        <v>234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293</v>
      </c>
      <c r="AF88">
        <v>34.838709677419331</v>
      </c>
      <c r="AG88">
        <v>28.994516318584111</v>
      </c>
      <c r="AH88">
        <f>22.6432240302765*1</f>
        <v>22.6432240302765</v>
      </c>
      <c r="AI88">
        <f>1.25996244739177*1</f>
        <v>1.2599624473917701</v>
      </c>
      <c r="AJ88">
        <v>1</v>
      </c>
      <c r="AK88">
        <v>0</v>
      </c>
      <c r="AL88">
        <v>0</v>
      </c>
    </row>
    <row r="89" spans="1:38" hidden="1" x14ac:dyDescent="0.2">
      <c r="A89" t="s">
        <v>235</v>
      </c>
      <c r="B89" t="s">
        <v>236</v>
      </c>
      <c r="C89" t="s">
        <v>236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5.3</v>
      </c>
      <c r="AE89">
        <v>296</v>
      </c>
      <c r="AF89">
        <v>52.34238386490145</v>
      </c>
      <c r="AG89">
        <v>69.468342732775398</v>
      </c>
      <c r="AH89">
        <f>35.623418386906*1</f>
        <v>35.623418386906003</v>
      </c>
      <c r="AI89">
        <f>1.84727567360957*1</f>
        <v>1.8472756736095699</v>
      </c>
      <c r="AJ89">
        <v>1</v>
      </c>
      <c r="AK89">
        <v>0</v>
      </c>
      <c r="AL89">
        <v>0</v>
      </c>
    </row>
    <row r="90" spans="1:38" hidden="1" x14ac:dyDescent="0.2">
      <c r="A90" t="s">
        <v>237</v>
      </c>
      <c r="B90" t="s">
        <v>238</v>
      </c>
      <c r="C90" t="s">
        <v>237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4.7</v>
      </c>
      <c r="AE90">
        <v>298</v>
      </c>
      <c r="AF90">
        <v>43.491241522584438</v>
      </c>
      <c r="AG90">
        <v>46.821436714286833</v>
      </c>
      <c r="AH90">
        <f>25.033000314278*1</f>
        <v>25.033000314277999</v>
      </c>
      <c r="AI90">
        <f>1.16341127915089*1</f>
        <v>1.1634112791508899</v>
      </c>
      <c r="AJ90">
        <v>1</v>
      </c>
      <c r="AK90">
        <v>0</v>
      </c>
      <c r="AL90">
        <v>0</v>
      </c>
    </row>
    <row r="91" spans="1:38" hidden="1" x14ac:dyDescent="0.2">
      <c r="A91" t="s">
        <v>239</v>
      </c>
      <c r="B91" t="s">
        <v>240</v>
      </c>
      <c r="C91" t="s">
        <v>239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299</v>
      </c>
      <c r="AF91">
        <v>61.448275862068989</v>
      </c>
      <c r="AG91">
        <v>80.672870449455701</v>
      </c>
      <c r="AH91">
        <f>36.8342214278794*1</f>
        <v>36.834221427879399</v>
      </c>
      <c r="AI91">
        <f>1.96587964526502*1</f>
        <v>1.96587964526502</v>
      </c>
      <c r="AJ91">
        <v>1</v>
      </c>
      <c r="AK91">
        <v>0</v>
      </c>
      <c r="AL91">
        <v>0</v>
      </c>
    </row>
    <row r="92" spans="1:38" hidden="1" x14ac:dyDescent="0.2">
      <c r="A92" t="s">
        <v>241</v>
      </c>
      <c r="B92" t="s">
        <v>242</v>
      </c>
      <c r="C92" t="s">
        <v>242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4.5</v>
      </c>
      <c r="AE92">
        <v>300</v>
      </c>
      <c r="AF92">
        <v>40.31693409160868</v>
      </c>
      <c r="AG92">
        <v>45.727856166150211</v>
      </c>
      <c r="AH92">
        <f>25.1192195439783*1</f>
        <v>25.1192195439783</v>
      </c>
      <c r="AI92">
        <f>0.916958304070586*1</f>
        <v>0.91695830407058598</v>
      </c>
      <c r="AJ92">
        <v>1</v>
      </c>
      <c r="AK92">
        <v>0</v>
      </c>
      <c r="AL92">
        <v>0</v>
      </c>
    </row>
    <row r="93" spans="1:38" hidden="1" x14ac:dyDescent="0.2">
      <c r="A93" t="s">
        <v>243</v>
      </c>
      <c r="B93" t="s">
        <v>244</v>
      </c>
      <c r="C93" t="s">
        <v>244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4.8</v>
      </c>
      <c r="AE93">
        <v>302</v>
      </c>
      <c r="AF93">
        <v>35.5543552357626</v>
      </c>
      <c r="AG93">
        <v>40.157654293130307</v>
      </c>
      <c r="AH93">
        <f>14.8793777959341*1</f>
        <v>14.879377795934101</v>
      </c>
      <c r="AI93">
        <f>0.803847627750864*1</f>
        <v>0.80384762775086405</v>
      </c>
      <c r="AJ93">
        <v>1</v>
      </c>
      <c r="AK93">
        <v>0</v>
      </c>
      <c r="AL93">
        <v>0</v>
      </c>
    </row>
    <row r="94" spans="1:38" hidden="1" x14ac:dyDescent="0.2">
      <c r="A94" t="s">
        <v>245</v>
      </c>
      <c r="B94" t="s">
        <v>246</v>
      </c>
      <c r="C94" t="s">
        <v>246</v>
      </c>
      <c r="D94" t="s">
        <v>4</v>
      </c>
      <c r="E94">
        <v>0</v>
      </c>
      <c r="F94">
        <v>1</v>
      </c>
      <c r="G94">
        <v>0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4.4000000000000004</v>
      </c>
      <c r="AE94">
        <v>304</v>
      </c>
      <c r="AF94">
        <v>45.849438756475053</v>
      </c>
      <c r="AG94">
        <v>54.900724452784559</v>
      </c>
      <c r="AH94">
        <f>19.5451467115898*1</f>
        <v>19.545146711589801</v>
      </c>
      <c r="AI94">
        <f>1.03826431912101*1</f>
        <v>1.0382643191210099</v>
      </c>
      <c r="AJ94">
        <v>1</v>
      </c>
      <c r="AK94">
        <v>0</v>
      </c>
      <c r="AL94">
        <v>0</v>
      </c>
    </row>
    <row r="95" spans="1:38" hidden="1" x14ac:dyDescent="0.2">
      <c r="A95" t="s">
        <v>247</v>
      </c>
      <c r="B95" t="s">
        <v>248</v>
      </c>
      <c r="C95" t="s">
        <v>248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5.9</v>
      </c>
      <c r="AE95">
        <v>306</v>
      </c>
      <c r="AF95">
        <v>66.758308807041615</v>
      </c>
      <c r="AG95">
        <v>49.463854048474502</v>
      </c>
      <c r="AH95">
        <f>69.4916255535462*1</f>
        <v>69.4916255535462</v>
      </c>
      <c r="AI95">
        <f>3.72908850730484*1</f>
        <v>3.7290885073048399</v>
      </c>
      <c r="AJ95">
        <v>1</v>
      </c>
      <c r="AK95">
        <v>0</v>
      </c>
      <c r="AL95">
        <v>0</v>
      </c>
    </row>
    <row r="96" spans="1:38" hidden="1" x14ac:dyDescent="0.2">
      <c r="A96" t="s">
        <v>249</v>
      </c>
      <c r="B96" t="s">
        <v>250</v>
      </c>
      <c r="C96" t="s">
        <v>250</v>
      </c>
      <c r="D96" t="s">
        <v>3</v>
      </c>
      <c r="E96">
        <v>1</v>
      </c>
      <c r="F96">
        <v>0</v>
      </c>
      <c r="G96">
        <v>0</v>
      </c>
      <c r="H96">
        <v>0</v>
      </c>
      <c r="I96" t="s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307</v>
      </c>
      <c r="AF96">
        <v>64.324667798749388</v>
      </c>
      <c r="AG96">
        <v>65.067958969547135</v>
      </c>
      <c r="AH96">
        <f>33.5389362957604*1</f>
        <v>33.538936295760401</v>
      </c>
      <c r="AI96">
        <f>2.04487710279757*1</f>
        <v>2.0448771027975701</v>
      </c>
      <c r="AJ96">
        <v>1</v>
      </c>
      <c r="AK96">
        <v>0</v>
      </c>
      <c r="AL96">
        <v>0</v>
      </c>
    </row>
    <row r="97" spans="1:38" hidden="1" x14ac:dyDescent="0.2">
      <c r="A97" t="s">
        <v>251</v>
      </c>
      <c r="B97" t="s">
        <v>252</v>
      </c>
      <c r="C97" t="s">
        <v>252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4.8</v>
      </c>
      <c r="AE97">
        <v>308</v>
      </c>
      <c r="AF97">
        <v>0</v>
      </c>
      <c r="AG97">
        <v>0</v>
      </c>
      <c r="AH97">
        <f>0*1</f>
        <v>0</v>
      </c>
      <c r="AI97">
        <f>0*1</f>
        <v>0</v>
      </c>
      <c r="AJ97">
        <v>1</v>
      </c>
      <c r="AK97">
        <v>0</v>
      </c>
      <c r="AL97">
        <v>0</v>
      </c>
    </row>
    <row r="98" spans="1:38" hidden="1" x14ac:dyDescent="0.2">
      <c r="A98" t="s">
        <v>253</v>
      </c>
      <c r="B98" t="s">
        <v>254</v>
      </c>
      <c r="C98" t="s">
        <v>255</v>
      </c>
      <c r="D98" t="s">
        <v>6</v>
      </c>
      <c r="E98">
        <v>0</v>
      </c>
      <c r="F98">
        <v>0</v>
      </c>
      <c r="G98">
        <v>0</v>
      </c>
      <c r="H98">
        <v>1</v>
      </c>
      <c r="I98" t="s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5.5</v>
      </c>
      <c r="AE98">
        <v>310</v>
      </c>
      <c r="AF98">
        <v>52.098982667204432</v>
      </c>
      <c r="AG98">
        <v>77.641928328854092</v>
      </c>
      <c r="AH98">
        <f>16.9245250955739*1</f>
        <v>16.924525095573902</v>
      </c>
      <c r="AI98">
        <f>0.516740761749563*1</f>
        <v>0.51674076174956296</v>
      </c>
      <c r="AJ98">
        <v>1</v>
      </c>
      <c r="AK98">
        <v>0</v>
      </c>
      <c r="AL98">
        <v>0</v>
      </c>
    </row>
    <row r="99" spans="1:38" hidden="1" x14ac:dyDescent="0.2">
      <c r="A99" t="s">
        <v>256</v>
      </c>
      <c r="B99" t="s">
        <v>257</v>
      </c>
      <c r="C99" t="s">
        <v>256</v>
      </c>
      <c r="D99" t="s">
        <v>6</v>
      </c>
      <c r="E99">
        <v>0</v>
      </c>
      <c r="F99">
        <v>0</v>
      </c>
      <c r="G99">
        <v>0</v>
      </c>
      <c r="H99">
        <v>1</v>
      </c>
      <c r="I99" t="s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311</v>
      </c>
      <c r="AF99">
        <v>74.750376230849142</v>
      </c>
      <c r="AG99">
        <v>75.599033083405601</v>
      </c>
      <c r="AH99">
        <f>57.7234601837805*1</f>
        <v>57.723460183780503</v>
      </c>
      <c r="AI99">
        <f>2.74254381555013*1</f>
        <v>2.74254381555013</v>
      </c>
      <c r="AJ99">
        <v>1</v>
      </c>
      <c r="AK99">
        <v>0</v>
      </c>
      <c r="AL99">
        <v>0</v>
      </c>
    </row>
    <row r="100" spans="1:38" hidden="1" x14ac:dyDescent="0.2">
      <c r="A100" t="s">
        <v>258</v>
      </c>
      <c r="B100" t="s">
        <v>259</v>
      </c>
      <c r="C100" t="s">
        <v>259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  <c r="AE100">
        <v>314</v>
      </c>
      <c r="AF100">
        <v>48.153846153846168</v>
      </c>
      <c r="AG100">
        <v>42.929359235870947</v>
      </c>
      <c r="AH100">
        <f>49.098781441708*1</f>
        <v>49.098781441707999</v>
      </c>
      <c r="AI100">
        <f>2.74812626183275*1</f>
        <v>2.7481262618327502</v>
      </c>
      <c r="AJ100">
        <v>1</v>
      </c>
      <c r="AK100">
        <v>0</v>
      </c>
      <c r="AL100">
        <v>0</v>
      </c>
    </row>
    <row r="101" spans="1:38" hidden="1" x14ac:dyDescent="0.2">
      <c r="A101" t="s">
        <v>260</v>
      </c>
      <c r="B101" t="s">
        <v>261</v>
      </c>
      <c r="C101" t="s">
        <v>261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4.4000000000000004</v>
      </c>
      <c r="AE101">
        <v>316</v>
      </c>
      <c r="AF101">
        <v>43.016454357699672</v>
      </c>
      <c r="AG101">
        <v>54.531346778816953</v>
      </c>
      <c r="AH101">
        <f>23.1854021390604*1</f>
        <v>23.1854021390604</v>
      </c>
      <c r="AI101">
        <f>0.739000197865116*1</f>
        <v>0.73900019786511595</v>
      </c>
      <c r="AJ101">
        <v>1</v>
      </c>
      <c r="AK101">
        <v>0</v>
      </c>
      <c r="AL101">
        <v>0</v>
      </c>
    </row>
    <row r="102" spans="1:38" hidden="1" x14ac:dyDescent="0.2">
      <c r="A102" t="s">
        <v>262</v>
      </c>
      <c r="B102" t="s">
        <v>263</v>
      </c>
      <c r="C102" t="s">
        <v>263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5.2</v>
      </c>
      <c r="AE102">
        <v>318</v>
      </c>
      <c r="AF102">
        <v>49.541284403669671</v>
      </c>
      <c r="AG102">
        <v>44.210725260021007</v>
      </c>
      <c r="AH102">
        <f>49.7203240237549*1</f>
        <v>49.720324023754898</v>
      </c>
      <c r="AI102">
        <f>2.62568742878202*1</f>
        <v>2.6256874287820202</v>
      </c>
      <c r="AJ102">
        <v>1</v>
      </c>
      <c r="AK102">
        <v>0</v>
      </c>
      <c r="AL102">
        <v>0</v>
      </c>
    </row>
    <row r="103" spans="1:38" hidden="1" x14ac:dyDescent="0.2">
      <c r="A103" t="s">
        <v>264</v>
      </c>
      <c r="B103" t="s">
        <v>265</v>
      </c>
      <c r="C103" t="s">
        <v>265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323</v>
      </c>
      <c r="AF103">
        <v>38.307692307692292</v>
      </c>
      <c r="AG103">
        <v>41.827249199589829</v>
      </c>
      <c r="AH103">
        <f>22.4734685303294*1</f>
        <v>22.473468530329399</v>
      </c>
      <c r="AI103">
        <f>1.20411532423924*1</f>
        <v>1.2041153242392399</v>
      </c>
      <c r="AJ103">
        <v>1</v>
      </c>
      <c r="AK103">
        <v>0</v>
      </c>
      <c r="AL103">
        <v>0</v>
      </c>
    </row>
    <row r="104" spans="1:38" hidden="1" x14ac:dyDescent="0.2">
      <c r="A104" t="s">
        <v>266</v>
      </c>
      <c r="B104" t="s">
        <v>267</v>
      </c>
      <c r="C104" t="s">
        <v>267</v>
      </c>
      <c r="D104" t="s">
        <v>3</v>
      </c>
      <c r="E104">
        <v>1</v>
      </c>
      <c r="F104">
        <v>0</v>
      </c>
      <c r="G104">
        <v>0</v>
      </c>
      <c r="H104">
        <v>0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4.4000000000000004</v>
      </c>
      <c r="AE104">
        <v>351</v>
      </c>
      <c r="AF104">
        <v>0</v>
      </c>
      <c r="AG104">
        <v>0</v>
      </c>
      <c r="AH104">
        <f>0*1</f>
        <v>0</v>
      </c>
      <c r="AI104">
        <f>0*1</f>
        <v>0</v>
      </c>
      <c r="AJ104">
        <v>1</v>
      </c>
      <c r="AK104">
        <v>0</v>
      </c>
      <c r="AL104">
        <v>0</v>
      </c>
    </row>
    <row r="105" spans="1:38" hidden="1" x14ac:dyDescent="0.2">
      <c r="A105" t="s">
        <v>268</v>
      </c>
      <c r="B105" t="s">
        <v>269</v>
      </c>
      <c r="C105" t="s">
        <v>269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4.0999999999999996</v>
      </c>
      <c r="AE105">
        <v>355</v>
      </c>
      <c r="AF105">
        <v>30.78947368421051</v>
      </c>
      <c r="AG105">
        <v>36.992610297817407</v>
      </c>
      <c r="AH105">
        <f>22.330857996635*1</f>
        <v>22.330857996635</v>
      </c>
      <c r="AI105">
        <f>1.30834073462988*1</f>
        <v>1.3083407346298801</v>
      </c>
      <c r="AJ105">
        <v>1</v>
      </c>
      <c r="AK105">
        <v>0</v>
      </c>
      <c r="AL105">
        <v>0</v>
      </c>
    </row>
    <row r="106" spans="1:38" hidden="1" x14ac:dyDescent="0.2">
      <c r="A106" t="s">
        <v>270</v>
      </c>
      <c r="B106" t="s">
        <v>271</v>
      </c>
      <c r="C106" t="s">
        <v>271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4.8</v>
      </c>
      <c r="AE106">
        <v>358</v>
      </c>
      <c r="AF106">
        <v>45.509433962264147</v>
      </c>
      <c r="AG106">
        <v>57.925812254863537</v>
      </c>
      <c r="AH106">
        <f>35.867449789269*1</f>
        <v>35.867449789269003</v>
      </c>
      <c r="AI106">
        <f>2.02317248239652*1</f>
        <v>2.0231724823965198</v>
      </c>
      <c r="AJ106">
        <v>1</v>
      </c>
      <c r="AK106">
        <v>0</v>
      </c>
      <c r="AL106">
        <v>0</v>
      </c>
    </row>
    <row r="107" spans="1:38" hidden="1" x14ac:dyDescent="0.2">
      <c r="A107" t="s">
        <v>227</v>
      </c>
      <c r="B107" t="s">
        <v>272</v>
      </c>
      <c r="C107" t="s">
        <v>273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5.2</v>
      </c>
      <c r="AE107">
        <v>359</v>
      </c>
      <c r="AF107">
        <v>50.242718446601948</v>
      </c>
      <c r="AG107">
        <v>47.107860538695661</v>
      </c>
      <c r="AH107">
        <f>31.1177745490825*1</f>
        <v>31.117774549082501</v>
      </c>
      <c r="AI107">
        <f>1.75048604807436*1</f>
        <v>1.75048604807436</v>
      </c>
      <c r="AJ107">
        <v>1</v>
      </c>
      <c r="AK107">
        <v>0</v>
      </c>
      <c r="AL107">
        <v>0</v>
      </c>
    </row>
    <row r="108" spans="1:38" hidden="1" x14ac:dyDescent="0.2">
      <c r="A108" t="s">
        <v>274</v>
      </c>
      <c r="B108" t="s">
        <v>275</v>
      </c>
      <c r="C108" t="s">
        <v>275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5.2</v>
      </c>
      <c r="AE108">
        <v>366</v>
      </c>
      <c r="AF108">
        <v>44.952281783531262</v>
      </c>
      <c r="AG108">
        <v>56.665958112682183</v>
      </c>
      <c r="AH108">
        <f>25.5460157795851*1</f>
        <v>25.546015779585101</v>
      </c>
      <c r="AI108">
        <f>1.42690274261479*1</f>
        <v>1.42690274261479</v>
      </c>
      <c r="AJ108">
        <v>1</v>
      </c>
      <c r="AK108">
        <v>0</v>
      </c>
      <c r="AL108">
        <v>0</v>
      </c>
    </row>
    <row r="109" spans="1:38" hidden="1" x14ac:dyDescent="0.2">
      <c r="A109" t="s">
        <v>276</v>
      </c>
      <c r="B109" t="s">
        <v>277</v>
      </c>
      <c r="C109" t="s">
        <v>277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367</v>
      </c>
      <c r="AF109">
        <v>39.829787234042549</v>
      </c>
      <c r="AG109">
        <v>25.153841898183341</v>
      </c>
      <c r="AH109">
        <f>26.0832760131007*1</f>
        <v>26.083276013100701</v>
      </c>
      <c r="AI109">
        <f>1.41436715528848*1</f>
        <v>1.41436715528848</v>
      </c>
      <c r="AJ109">
        <v>1</v>
      </c>
      <c r="AK109">
        <v>0</v>
      </c>
      <c r="AL109">
        <v>0</v>
      </c>
    </row>
    <row r="110" spans="1:38" hidden="1" x14ac:dyDescent="0.2">
      <c r="A110" t="s">
        <v>229</v>
      </c>
      <c r="B110" t="s">
        <v>104</v>
      </c>
      <c r="C110" t="s">
        <v>104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4.2</v>
      </c>
      <c r="AE110">
        <v>371</v>
      </c>
      <c r="AF110">
        <v>53.555555555555578</v>
      </c>
      <c r="AG110">
        <v>62.198195768139747</v>
      </c>
      <c r="AH110">
        <f>23.9923589135536*1</f>
        <v>23.992358913553598</v>
      </c>
      <c r="AI110">
        <f>1.24025461225705*1</f>
        <v>1.2402546122570499</v>
      </c>
      <c r="AJ110">
        <v>1</v>
      </c>
      <c r="AK110">
        <v>0</v>
      </c>
      <c r="AL110">
        <v>0</v>
      </c>
    </row>
    <row r="111" spans="1:38" hidden="1" x14ac:dyDescent="0.2">
      <c r="A111" t="s">
        <v>278</v>
      </c>
      <c r="B111" t="s">
        <v>279</v>
      </c>
      <c r="C111" t="s">
        <v>279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4.5</v>
      </c>
      <c r="AE111">
        <v>372</v>
      </c>
      <c r="AF111">
        <v>0</v>
      </c>
      <c r="AG111">
        <v>0</v>
      </c>
      <c r="AH111">
        <f>0*1</f>
        <v>0</v>
      </c>
      <c r="AI111">
        <f>0*1</f>
        <v>0</v>
      </c>
      <c r="AJ111">
        <v>1</v>
      </c>
      <c r="AK111">
        <v>0</v>
      </c>
      <c r="AL111">
        <v>0</v>
      </c>
    </row>
    <row r="112" spans="1:38" hidden="1" x14ac:dyDescent="0.2">
      <c r="A112" t="s">
        <v>280</v>
      </c>
      <c r="B112" t="s">
        <v>281</v>
      </c>
      <c r="C112" t="s">
        <v>281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4.9000000000000004</v>
      </c>
      <c r="AE112">
        <v>376</v>
      </c>
      <c r="AF112">
        <v>42.27061718624762</v>
      </c>
      <c r="AG112">
        <v>45.924676678564097</v>
      </c>
      <c r="AH112">
        <f>30.5290581015767*1</f>
        <v>30.529058101576702</v>
      </c>
      <c r="AI112">
        <f>1.70426289834291*1</f>
        <v>1.70426289834291</v>
      </c>
      <c r="AJ112">
        <v>1</v>
      </c>
      <c r="AK112">
        <v>0</v>
      </c>
      <c r="AL112">
        <v>0</v>
      </c>
    </row>
    <row r="113" spans="1:38" hidden="1" x14ac:dyDescent="0.2">
      <c r="A113" t="s">
        <v>282</v>
      </c>
      <c r="B113" t="s">
        <v>283</v>
      </c>
      <c r="C113" t="s">
        <v>283</v>
      </c>
      <c r="D113" t="s">
        <v>6</v>
      </c>
      <c r="E113">
        <v>0</v>
      </c>
      <c r="F113">
        <v>0</v>
      </c>
      <c r="G113">
        <v>0</v>
      </c>
      <c r="H113">
        <v>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5.5</v>
      </c>
      <c r="AE113">
        <v>382</v>
      </c>
      <c r="AF113">
        <v>65.40887351415796</v>
      </c>
      <c r="AG113">
        <v>86.361246723459175</v>
      </c>
      <c r="AH113">
        <f>32.8420605868765*1</f>
        <v>32.842060586876499</v>
      </c>
      <c r="AI113">
        <f>1.66760635781257*1</f>
        <v>1.6676063578125699</v>
      </c>
      <c r="AJ113">
        <v>1</v>
      </c>
      <c r="AK113">
        <v>0</v>
      </c>
      <c r="AL113">
        <v>0</v>
      </c>
    </row>
    <row r="114" spans="1:38" hidden="1" x14ac:dyDescent="0.2">
      <c r="A114" t="s">
        <v>262</v>
      </c>
      <c r="B114" t="s">
        <v>284</v>
      </c>
      <c r="C114" t="s">
        <v>284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4.5</v>
      </c>
      <c r="AE114">
        <v>385</v>
      </c>
      <c r="AF114">
        <v>31.821452747098171</v>
      </c>
      <c r="AG114">
        <v>32.990822852468597</v>
      </c>
      <c r="AH114">
        <f>26.2394201022523*1</f>
        <v>26.2394201022523</v>
      </c>
      <c r="AI114">
        <f>1.47895451807586*1</f>
        <v>1.4789545180758601</v>
      </c>
      <c r="AJ114">
        <v>1</v>
      </c>
      <c r="AK114">
        <v>0</v>
      </c>
      <c r="AL114">
        <v>0</v>
      </c>
    </row>
    <row r="115" spans="1:38" hidden="1" x14ac:dyDescent="0.2">
      <c r="A115" t="s">
        <v>285</v>
      </c>
      <c r="B115" t="s">
        <v>286</v>
      </c>
      <c r="C115" t="s">
        <v>286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7.2</v>
      </c>
      <c r="AE115">
        <v>394</v>
      </c>
      <c r="AF115">
        <v>91.414788280362117</v>
      </c>
      <c r="AG115">
        <v>111.4131816739737</v>
      </c>
      <c r="AH115">
        <f>52.9697165550575*1</f>
        <v>52.969716555057502</v>
      </c>
      <c r="AI115">
        <f>2.49048603944569*1</f>
        <v>2.49048603944569</v>
      </c>
      <c r="AJ115">
        <v>1</v>
      </c>
      <c r="AK115">
        <v>0</v>
      </c>
      <c r="AL115">
        <v>0</v>
      </c>
    </row>
    <row r="116" spans="1:38" hidden="1" x14ac:dyDescent="0.2">
      <c r="A116" t="s">
        <v>287</v>
      </c>
      <c r="B116" t="s">
        <v>288</v>
      </c>
      <c r="C116" t="s">
        <v>287</v>
      </c>
      <c r="D116" t="s">
        <v>6</v>
      </c>
      <c r="E116">
        <v>0</v>
      </c>
      <c r="F116">
        <v>0</v>
      </c>
      <c r="G116">
        <v>0</v>
      </c>
      <c r="H116">
        <v>1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398</v>
      </c>
      <c r="AF116">
        <v>61.246753246753208</v>
      </c>
      <c r="AG116">
        <v>87.288841594775491</v>
      </c>
      <c r="AH116">
        <f>23.9927361082864*1</f>
        <v>23.992736108286401</v>
      </c>
      <c r="AI116">
        <f>1.18630467493026*1</f>
        <v>1.1863046749302599</v>
      </c>
      <c r="AJ116">
        <v>1</v>
      </c>
      <c r="AK116">
        <v>0</v>
      </c>
      <c r="AL116">
        <v>0</v>
      </c>
    </row>
    <row r="117" spans="1:38" hidden="1" x14ac:dyDescent="0.2">
      <c r="A117" t="s">
        <v>289</v>
      </c>
      <c r="B117" t="s">
        <v>290</v>
      </c>
      <c r="C117" t="s">
        <v>290</v>
      </c>
      <c r="D117" t="s">
        <v>6</v>
      </c>
      <c r="E117">
        <v>0</v>
      </c>
      <c r="F117">
        <v>0</v>
      </c>
      <c r="G117">
        <v>0</v>
      </c>
      <c r="H117">
        <v>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7.3</v>
      </c>
      <c r="AE117">
        <v>403</v>
      </c>
      <c r="AF117">
        <v>60.591549295774662</v>
      </c>
      <c r="AG117">
        <v>46.915480826584997</v>
      </c>
      <c r="AH117">
        <f>44.2660558671847*1</f>
        <v>44.266055867184697</v>
      </c>
      <c r="AI117">
        <f>2.42147740088238*1</f>
        <v>2.4214774008823801</v>
      </c>
      <c r="AJ117">
        <v>1</v>
      </c>
      <c r="AK117">
        <v>0</v>
      </c>
      <c r="AL117">
        <v>0</v>
      </c>
    </row>
    <row r="118" spans="1:38" hidden="1" x14ac:dyDescent="0.2">
      <c r="A118" t="s">
        <v>95</v>
      </c>
      <c r="B118" t="s">
        <v>291</v>
      </c>
      <c r="C118" t="s">
        <v>291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405</v>
      </c>
      <c r="AF118">
        <v>37.227272727272712</v>
      </c>
      <c r="AG118">
        <v>30.387451712498031</v>
      </c>
      <c r="AH118">
        <f>37.8777507742525*1</f>
        <v>37.877750774252497</v>
      </c>
      <c r="AI118">
        <f>2.11065398834609*1</f>
        <v>2.11065398834609</v>
      </c>
      <c r="AJ118">
        <v>1</v>
      </c>
      <c r="AK118">
        <v>0</v>
      </c>
      <c r="AL118">
        <v>0</v>
      </c>
    </row>
    <row r="119" spans="1:38" hidden="1" x14ac:dyDescent="0.2">
      <c r="A119" t="s">
        <v>292</v>
      </c>
      <c r="B119" t="s">
        <v>293</v>
      </c>
      <c r="C119" t="s">
        <v>293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5.3</v>
      </c>
      <c r="AE119">
        <v>406</v>
      </c>
      <c r="AF119">
        <v>42.545454545454533</v>
      </c>
      <c r="AG119">
        <v>34.194990087920672</v>
      </c>
      <c r="AH119">
        <f>32.7631255471378*1</f>
        <v>32.763125547137797</v>
      </c>
      <c r="AI119">
        <f>1.79295832078112*1</f>
        <v>1.7929583207811199</v>
      </c>
      <c r="AJ119">
        <v>1</v>
      </c>
      <c r="AK119">
        <v>0</v>
      </c>
      <c r="AL119">
        <v>0</v>
      </c>
    </row>
    <row r="120" spans="1:38" hidden="1" x14ac:dyDescent="0.2">
      <c r="A120" t="s">
        <v>294</v>
      </c>
      <c r="B120" t="s">
        <v>295</v>
      </c>
      <c r="C120" t="s">
        <v>296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7.6</v>
      </c>
      <c r="AE120">
        <v>409</v>
      </c>
      <c r="AF120">
        <v>72.911392405063268</v>
      </c>
      <c r="AG120">
        <v>58.789204166623598</v>
      </c>
      <c r="AH120">
        <f>68.8282660754057*1</f>
        <v>68.828266075405693</v>
      </c>
      <c r="AI120">
        <f>3.80988565063967*1</f>
        <v>3.8098856506396701</v>
      </c>
      <c r="AJ120">
        <v>1</v>
      </c>
      <c r="AK120">
        <v>0</v>
      </c>
      <c r="AL120">
        <v>0</v>
      </c>
    </row>
    <row r="121" spans="1:38" x14ac:dyDescent="0.2">
      <c r="A121" t="s">
        <v>452</v>
      </c>
      <c r="B121" t="s">
        <v>453</v>
      </c>
      <c r="C121" t="s">
        <v>454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7</v>
      </c>
      <c r="AE121">
        <v>679</v>
      </c>
      <c r="AF121">
        <v>105.43584561238239</v>
      </c>
      <c r="AG121">
        <v>65.903978462206155</v>
      </c>
      <c r="AH121">
        <f>99.6242467929823*1</f>
        <v>99.624246792982305</v>
      </c>
      <c r="AI121">
        <f>5.53371308165127*1</f>
        <v>5.5337130816512703</v>
      </c>
      <c r="AJ121">
        <v>1</v>
      </c>
      <c r="AK121">
        <v>1</v>
      </c>
      <c r="AL121">
        <v>1</v>
      </c>
    </row>
    <row r="122" spans="1:38" hidden="1" x14ac:dyDescent="0.2">
      <c r="A122" t="s">
        <v>300</v>
      </c>
      <c r="B122" t="s">
        <v>301</v>
      </c>
      <c r="C122" t="s">
        <v>301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6.2</v>
      </c>
      <c r="AE122">
        <v>411</v>
      </c>
      <c r="AF122">
        <v>55.554394162733978</v>
      </c>
      <c r="AG122">
        <v>50.690538821753123</v>
      </c>
      <c r="AH122">
        <f>43.2604387807482*1</f>
        <v>43.260438780748203</v>
      </c>
      <c r="AI122">
        <f>3.12081450779975*1</f>
        <v>3.12081450779975</v>
      </c>
      <c r="AJ122">
        <v>1</v>
      </c>
      <c r="AK122">
        <v>0</v>
      </c>
      <c r="AL122">
        <v>0</v>
      </c>
    </row>
    <row r="123" spans="1:38" hidden="1" x14ac:dyDescent="0.2">
      <c r="A123" t="s">
        <v>302</v>
      </c>
      <c r="B123" t="s">
        <v>303</v>
      </c>
      <c r="C123" t="s">
        <v>303</v>
      </c>
      <c r="D123" t="s">
        <v>4</v>
      </c>
      <c r="E123">
        <v>0</v>
      </c>
      <c r="F123">
        <v>1</v>
      </c>
      <c r="G123">
        <v>0</v>
      </c>
      <c r="H123">
        <v>0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5.9</v>
      </c>
      <c r="AE123">
        <v>417</v>
      </c>
      <c r="AF123">
        <v>54.574857571241893</v>
      </c>
      <c r="AG123">
        <v>86.554048899046322</v>
      </c>
      <c r="AH123">
        <f>30.1961457346254*1</f>
        <v>30.1961457346254</v>
      </c>
      <c r="AI123">
        <f>1.40656474403135*1</f>
        <v>1.40656474403135</v>
      </c>
      <c r="AJ123">
        <v>1</v>
      </c>
      <c r="AK123">
        <v>0</v>
      </c>
      <c r="AL123">
        <v>0</v>
      </c>
    </row>
    <row r="124" spans="1:38" hidden="1" x14ac:dyDescent="0.2">
      <c r="A124" t="s">
        <v>304</v>
      </c>
      <c r="B124" t="s">
        <v>305</v>
      </c>
      <c r="C124" t="s">
        <v>305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6.3</v>
      </c>
      <c r="AE124">
        <v>418</v>
      </c>
      <c r="AF124">
        <v>58.040816326530603</v>
      </c>
      <c r="AG124">
        <v>52.98612360990451</v>
      </c>
      <c r="AH124">
        <f>28.7131816759609*1</f>
        <v>28.7131816759609</v>
      </c>
      <c r="AI124">
        <f>1.58261237286613*1</f>
        <v>1.5826123728661301</v>
      </c>
      <c r="AJ124">
        <v>1</v>
      </c>
      <c r="AK124">
        <v>0</v>
      </c>
      <c r="AL124">
        <v>0</v>
      </c>
    </row>
    <row r="125" spans="1:38" hidden="1" x14ac:dyDescent="0.2">
      <c r="A125" t="s">
        <v>306</v>
      </c>
      <c r="B125" t="s">
        <v>307</v>
      </c>
      <c r="C125" t="s">
        <v>306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6.4</v>
      </c>
      <c r="AE125">
        <v>420</v>
      </c>
      <c r="AF125">
        <v>67.758800221278634</v>
      </c>
      <c r="AG125">
        <v>88.132591730683771</v>
      </c>
      <c r="AH125">
        <f>34.3704014493298*1</f>
        <v>34.370401449329798</v>
      </c>
      <c r="AI125">
        <f>2.04948131481073*1</f>
        <v>2.04948131481073</v>
      </c>
      <c r="AJ125">
        <v>1</v>
      </c>
      <c r="AK125">
        <v>0</v>
      </c>
      <c r="AL125">
        <v>0</v>
      </c>
    </row>
    <row r="126" spans="1:38" hidden="1" x14ac:dyDescent="0.2">
      <c r="A126" t="s">
        <v>308</v>
      </c>
      <c r="B126" t="s">
        <v>309</v>
      </c>
      <c r="C126" t="s">
        <v>309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5.3</v>
      </c>
      <c r="AE126">
        <v>427</v>
      </c>
      <c r="AF126">
        <v>55.79999999999999</v>
      </c>
      <c r="AG126">
        <v>64.752487294882457</v>
      </c>
      <c r="AH126">
        <f>30.6722031420119*1</f>
        <v>30.672203142011899</v>
      </c>
      <c r="AI126">
        <f>1.81768935657556*1</f>
        <v>1.8176893565755601</v>
      </c>
      <c r="AJ126">
        <v>1</v>
      </c>
      <c r="AK126">
        <v>0</v>
      </c>
      <c r="AL126">
        <v>0</v>
      </c>
    </row>
    <row r="127" spans="1:38" hidden="1" x14ac:dyDescent="0.2">
      <c r="A127" t="s">
        <v>310</v>
      </c>
      <c r="B127" t="s">
        <v>311</v>
      </c>
      <c r="C127" t="s">
        <v>310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6.3</v>
      </c>
      <c r="AE127">
        <v>429</v>
      </c>
      <c r="AF127">
        <v>64.299979967197174</v>
      </c>
      <c r="AG127">
        <v>82.764222235845594</v>
      </c>
      <c r="AH127">
        <f>36.650998317069*1</f>
        <v>36.650998317069003</v>
      </c>
      <c r="AI127">
        <f>1.20412170110653*1</f>
        <v>1.2041217011065299</v>
      </c>
      <c r="AJ127">
        <v>1</v>
      </c>
      <c r="AK127">
        <v>0</v>
      </c>
      <c r="AL127">
        <v>0</v>
      </c>
    </row>
    <row r="128" spans="1:38" hidden="1" x14ac:dyDescent="0.2">
      <c r="A128" t="s">
        <v>312</v>
      </c>
      <c r="B128" t="s">
        <v>313</v>
      </c>
      <c r="C128" t="s">
        <v>313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6.2</v>
      </c>
      <c r="AE128">
        <v>433</v>
      </c>
      <c r="AF128">
        <v>61.902439024390247</v>
      </c>
      <c r="AG128">
        <v>80.877545722849774</v>
      </c>
      <c r="AH128">
        <f>37.0685062140373*1</f>
        <v>37.068506214037299</v>
      </c>
      <c r="AI128">
        <f>1.94843331439206*1</f>
        <v>1.94843331439206</v>
      </c>
      <c r="AJ128">
        <v>1</v>
      </c>
      <c r="AK128">
        <v>0</v>
      </c>
      <c r="AL128">
        <v>0</v>
      </c>
    </row>
    <row r="129" spans="1:38" hidden="1" x14ac:dyDescent="0.2">
      <c r="A129" t="s">
        <v>314</v>
      </c>
      <c r="B129" t="s">
        <v>315</v>
      </c>
      <c r="C129" t="s">
        <v>315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9.1999999999999993</v>
      </c>
      <c r="AE129">
        <v>435</v>
      </c>
      <c r="AF129">
        <v>86.460867673143582</v>
      </c>
      <c r="AG129">
        <v>72.019014670767362</v>
      </c>
      <c r="AH129">
        <f>45.706931117219*1</f>
        <v>45.706931117219</v>
      </c>
      <c r="AI129">
        <f>2.6139136664225*1</f>
        <v>2.6139136664225</v>
      </c>
      <c r="AJ129">
        <v>1</v>
      </c>
      <c r="AK129">
        <v>0</v>
      </c>
      <c r="AL129">
        <v>0</v>
      </c>
    </row>
    <row r="130" spans="1:38" hidden="1" x14ac:dyDescent="0.2">
      <c r="A130" t="s">
        <v>223</v>
      </c>
      <c r="B130" t="s">
        <v>316</v>
      </c>
      <c r="C130" t="s">
        <v>316</v>
      </c>
      <c r="D130" t="s">
        <v>5</v>
      </c>
      <c r="E130">
        <v>0</v>
      </c>
      <c r="F130">
        <v>0</v>
      </c>
      <c r="G130">
        <v>1</v>
      </c>
      <c r="H130">
        <v>0</v>
      </c>
      <c r="I130" t="s">
        <v>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6.4</v>
      </c>
      <c r="AE130">
        <v>436</v>
      </c>
      <c r="AF130">
        <v>48.07828360236374</v>
      </c>
      <c r="AG130">
        <v>70.27553111145123</v>
      </c>
      <c r="AH130">
        <f>15.8295014643791*1</f>
        <v>15.829501464379099</v>
      </c>
      <c r="AI130">
        <f>0.730331902954531*1</f>
        <v>0.73033190295453099</v>
      </c>
      <c r="AJ130">
        <v>1</v>
      </c>
      <c r="AK130">
        <v>0</v>
      </c>
      <c r="AL130">
        <v>0</v>
      </c>
    </row>
    <row r="131" spans="1:38" hidden="1" x14ac:dyDescent="0.2">
      <c r="A131" t="s">
        <v>317</v>
      </c>
      <c r="B131" t="s">
        <v>318</v>
      </c>
      <c r="C131" t="s">
        <v>318</v>
      </c>
      <c r="D131" t="s">
        <v>4</v>
      </c>
      <c r="E131">
        <v>0</v>
      </c>
      <c r="F131">
        <v>1</v>
      </c>
      <c r="G131">
        <v>0</v>
      </c>
      <c r="H131">
        <v>0</v>
      </c>
      <c r="I131" t="s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437</v>
      </c>
      <c r="AF131">
        <v>68.869565217391326</v>
      </c>
      <c r="AG131">
        <v>70.898176441519581</v>
      </c>
      <c r="AH131">
        <f>56.0597075818872*1</f>
        <v>56.059707581887203</v>
      </c>
      <c r="AI131">
        <f>3.33143175217975*1</f>
        <v>3.3314317521797499</v>
      </c>
      <c r="AJ131">
        <v>1</v>
      </c>
      <c r="AK131">
        <v>0</v>
      </c>
      <c r="AL131">
        <v>0</v>
      </c>
    </row>
    <row r="132" spans="1:38" hidden="1" x14ac:dyDescent="0.2">
      <c r="A132" t="s">
        <v>319</v>
      </c>
      <c r="B132" t="s">
        <v>320</v>
      </c>
      <c r="C132" t="s">
        <v>320</v>
      </c>
      <c r="D132" t="s">
        <v>6</v>
      </c>
      <c r="E132">
        <v>0</v>
      </c>
      <c r="F132">
        <v>0</v>
      </c>
      <c r="G132">
        <v>0</v>
      </c>
      <c r="H132">
        <v>1</v>
      </c>
      <c r="I132" t="s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14.8</v>
      </c>
      <c r="AE132">
        <v>438</v>
      </c>
      <c r="AF132">
        <v>133.42500000000001</v>
      </c>
      <c r="AG132">
        <v>206.69770283295861</v>
      </c>
      <c r="AH132">
        <f>66.4040385751565*1</f>
        <v>66.404038575156505</v>
      </c>
      <c r="AI132">
        <f>3.74410585837114*1</f>
        <v>3.7441058583711402</v>
      </c>
      <c r="AJ132">
        <v>1</v>
      </c>
      <c r="AK132">
        <v>0</v>
      </c>
      <c r="AL132">
        <v>0</v>
      </c>
    </row>
    <row r="133" spans="1:38" hidden="1" x14ac:dyDescent="0.2">
      <c r="A133" t="s">
        <v>321</v>
      </c>
      <c r="B133" t="s">
        <v>322</v>
      </c>
      <c r="C133" t="s">
        <v>322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5.4</v>
      </c>
      <c r="AE133">
        <v>441</v>
      </c>
      <c r="AF133">
        <v>44.4</v>
      </c>
      <c r="AG133">
        <v>48.047755762923543</v>
      </c>
      <c r="AH133">
        <f>53.5995028931717*1</f>
        <v>53.599502893171703</v>
      </c>
      <c r="AI133">
        <f>2.96393380067554*1</f>
        <v>2.96393380067554</v>
      </c>
      <c r="AJ133">
        <v>1</v>
      </c>
      <c r="AK133">
        <v>0</v>
      </c>
      <c r="AL133">
        <v>0</v>
      </c>
    </row>
    <row r="134" spans="1:38" hidden="1" x14ac:dyDescent="0.2">
      <c r="A134" t="s">
        <v>323</v>
      </c>
      <c r="B134" t="s">
        <v>97</v>
      </c>
      <c r="C134" t="s">
        <v>97</v>
      </c>
      <c r="D134" t="s">
        <v>4</v>
      </c>
      <c r="E134">
        <v>0</v>
      </c>
      <c r="F134">
        <v>1</v>
      </c>
      <c r="G134">
        <v>0</v>
      </c>
      <c r="H134">
        <v>0</v>
      </c>
      <c r="I134" t="s">
        <v>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4.5999999999999996</v>
      </c>
      <c r="AE134">
        <v>442</v>
      </c>
      <c r="AF134">
        <v>46.340425531914867</v>
      </c>
      <c r="AG134">
        <v>40.549890367072877</v>
      </c>
      <c r="AH134">
        <f>23.6660620504271*1</f>
        <v>23.666062050427101</v>
      </c>
      <c r="AI134">
        <f>1.33592622044943*1</f>
        <v>1.33592622044943</v>
      </c>
      <c r="AJ134">
        <v>1</v>
      </c>
      <c r="AK134">
        <v>0</v>
      </c>
      <c r="AL134">
        <v>0</v>
      </c>
    </row>
    <row r="135" spans="1:38" hidden="1" x14ac:dyDescent="0.2">
      <c r="A135" t="s">
        <v>324</v>
      </c>
      <c r="B135" t="s">
        <v>325</v>
      </c>
      <c r="C135" t="s">
        <v>325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6.4</v>
      </c>
      <c r="AE135">
        <v>452</v>
      </c>
      <c r="AF135">
        <v>63.747011187029493</v>
      </c>
      <c r="AG135">
        <v>84.248973739330978</v>
      </c>
      <c r="AH135">
        <f>22.7425540785577*1</f>
        <v>22.742554078557699</v>
      </c>
      <c r="AI135">
        <f>1.06123678357827*1</f>
        <v>1.0612367835782699</v>
      </c>
      <c r="AJ135">
        <v>1</v>
      </c>
      <c r="AK135">
        <v>0</v>
      </c>
      <c r="AL135">
        <v>0</v>
      </c>
    </row>
    <row r="136" spans="1:38" hidden="1" x14ac:dyDescent="0.2">
      <c r="A136" t="s">
        <v>326</v>
      </c>
      <c r="B136" t="s">
        <v>327</v>
      </c>
      <c r="C136" t="s">
        <v>326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5.3</v>
      </c>
      <c r="AE136">
        <v>460</v>
      </c>
      <c r="AF136">
        <v>0</v>
      </c>
      <c r="AG136">
        <v>0</v>
      </c>
      <c r="AH136">
        <f>0*1</f>
        <v>0</v>
      </c>
      <c r="AI136">
        <f>0*1</f>
        <v>0</v>
      </c>
      <c r="AJ136">
        <v>1</v>
      </c>
      <c r="AK136">
        <v>0</v>
      </c>
      <c r="AL136">
        <v>0</v>
      </c>
    </row>
    <row r="137" spans="1:38" hidden="1" x14ac:dyDescent="0.2">
      <c r="A137" t="s">
        <v>328</v>
      </c>
      <c r="B137" t="s">
        <v>329</v>
      </c>
      <c r="C137" t="s">
        <v>330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8.3000000000000007</v>
      </c>
      <c r="AE137">
        <v>462</v>
      </c>
      <c r="AF137">
        <v>82.674418604651265</v>
      </c>
      <c r="AG137">
        <v>80.059077371876995</v>
      </c>
      <c r="AH137">
        <f>64.5924867861507*1</f>
        <v>64.592486786150701</v>
      </c>
      <c r="AI137">
        <f>3.49245415972523*1</f>
        <v>3.4924541597252299</v>
      </c>
      <c r="AJ137">
        <v>1</v>
      </c>
      <c r="AK137">
        <v>0</v>
      </c>
      <c r="AL137">
        <v>0</v>
      </c>
    </row>
    <row r="138" spans="1:38" hidden="1" x14ac:dyDescent="0.2">
      <c r="A138" t="s">
        <v>331</v>
      </c>
      <c r="B138" t="s">
        <v>332</v>
      </c>
      <c r="C138" t="s">
        <v>333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4.8</v>
      </c>
      <c r="AE138">
        <v>464</v>
      </c>
      <c r="AF138">
        <v>44.857142857142847</v>
      </c>
      <c r="AG138">
        <v>55.117978365171467</v>
      </c>
      <c r="AH138">
        <f>27.1988914582638*1</f>
        <v>27.198891458263802</v>
      </c>
      <c r="AI138">
        <f>1.52033799461095*1</f>
        <v>1.5203379946109501</v>
      </c>
      <c r="AJ138">
        <v>1</v>
      </c>
      <c r="AK138">
        <v>0</v>
      </c>
      <c r="AL138">
        <v>0</v>
      </c>
    </row>
    <row r="139" spans="1:38" hidden="1" x14ac:dyDescent="0.2">
      <c r="A139" t="s">
        <v>334</v>
      </c>
      <c r="B139" t="s">
        <v>335</v>
      </c>
      <c r="C139" t="s">
        <v>336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</v>
      </c>
      <c r="AE139">
        <v>465</v>
      </c>
      <c r="AF139">
        <v>58.895687549076563</v>
      </c>
      <c r="AG139">
        <v>64.360553699492499</v>
      </c>
      <c r="AH139">
        <f>28.4364364210024*1</f>
        <v>28.436436421002401</v>
      </c>
      <c r="AI139">
        <f>1.37859877073764*1</f>
        <v>1.3785987707376399</v>
      </c>
      <c r="AJ139">
        <v>1</v>
      </c>
      <c r="AK139">
        <v>0</v>
      </c>
      <c r="AL139">
        <v>0</v>
      </c>
    </row>
    <row r="140" spans="1:38" hidden="1" x14ac:dyDescent="0.2">
      <c r="A140" t="s">
        <v>337</v>
      </c>
      <c r="B140" t="s">
        <v>338</v>
      </c>
      <c r="C140" t="s">
        <v>338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468</v>
      </c>
      <c r="AF140">
        <v>44.779216675038192</v>
      </c>
      <c r="AG140">
        <v>61.7000948286504</v>
      </c>
      <c r="AH140">
        <f>29.75244432903*1</f>
        <v>29.752444329029998</v>
      </c>
      <c r="AI140">
        <f>1.64728562297523*1</f>
        <v>1.64728562297523</v>
      </c>
      <c r="AJ140">
        <v>1</v>
      </c>
      <c r="AK140">
        <v>0</v>
      </c>
      <c r="AL140">
        <v>0</v>
      </c>
    </row>
    <row r="141" spans="1:38" hidden="1" x14ac:dyDescent="0.2">
      <c r="A141" t="s">
        <v>339</v>
      </c>
      <c r="B141" t="s">
        <v>340</v>
      </c>
      <c r="C141" t="s">
        <v>340</v>
      </c>
      <c r="D141" t="s">
        <v>6</v>
      </c>
      <c r="E141">
        <v>0</v>
      </c>
      <c r="F141">
        <v>0</v>
      </c>
      <c r="G141">
        <v>0</v>
      </c>
      <c r="H141">
        <v>1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6.9</v>
      </c>
      <c r="AE141">
        <v>471</v>
      </c>
      <c r="AF141">
        <v>59.765372284183059</v>
      </c>
      <c r="AG141">
        <v>77.909619181277662</v>
      </c>
      <c r="AH141">
        <f>30.4327321690924*1</f>
        <v>30.4327321690924</v>
      </c>
      <c r="AI141">
        <f>1.35780464250626*1</f>
        <v>1.35780464250626</v>
      </c>
      <c r="AJ141">
        <v>1</v>
      </c>
      <c r="AK141">
        <v>0</v>
      </c>
      <c r="AL141">
        <v>0</v>
      </c>
    </row>
    <row r="142" spans="1:38" hidden="1" x14ac:dyDescent="0.2">
      <c r="A142" t="s">
        <v>341</v>
      </c>
      <c r="B142" t="s">
        <v>342</v>
      </c>
      <c r="C142" t="s">
        <v>342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5.2</v>
      </c>
      <c r="AE142">
        <v>474</v>
      </c>
      <c r="AF142">
        <v>0</v>
      </c>
      <c r="AG142">
        <v>0</v>
      </c>
      <c r="AH142">
        <f>0*1</f>
        <v>0</v>
      </c>
      <c r="AI142">
        <f>0*1</f>
        <v>0</v>
      </c>
      <c r="AJ142">
        <v>1</v>
      </c>
      <c r="AK142">
        <v>0</v>
      </c>
      <c r="AL142">
        <v>0</v>
      </c>
    </row>
    <row r="143" spans="1:38" hidden="1" x14ac:dyDescent="0.2">
      <c r="A143" t="s">
        <v>343</v>
      </c>
      <c r="B143" t="s">
        <v>344</v>
      </c>
      <c r="C143" t="s">
        <v>82</v>
      </c>
      <c r="D143" t="s">
        <v>4</v>
      </c>
      <c r="E143">
        <v>0</v>
      </c>
      <c r="F143">
        <v>1</v>
      </c>
      <c r="G143">
        <v>0</v>
      </c>
      <c r="H143">
        <v>0</v>
      </c>
      <c r="I143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4.4000000000000004</v>
      </c>
      <c r="AE143">
        <v>476</v>
      </c>
      <c r="AF143">
        <v>48.807692307692292</v>
      </c>
      <c r="AG143">
        <v>46.644157664118083</v>
      </c>
      <c r="AH143">
        <f>36.8428334754318*1</f>
        <v>36.842833475431803</v>
      </c>
      <c r="AI143">
        <f>2.05507006448972*1</f>
        <v>2.05507006448972</v>
      </c>
      <c r="AJ143">
        <v>1</v>
      </c>
      <c r="AK143">
        <v>0</v>
      </c>
      <c r="AL143">
        <v>0</v>
      </c>
    </row>
    <row r="144" spans="1:38" hidden="1" x14ac:dyDescent="0.2">
      <c r="A144" t="s">
        <v>345</v>
      </c>
      <c r="B144" t="s">
        <v>94</v>
      </c>
      <c r="C144" t="s">
        <v>94</v>
      </c>
      <c r="D144" t="s">
        <v>3</v>
      </c>
      <c r="E144">
        <v>1</v>
      </c>
      <c r="F144">
        <v>0</v>
      </c>
      <c r="G144">
        <v>0</v>
      </c>
      <c r="H144">
        <v>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5.0999999999999996</v>
      </c>
      <c r="AE144">
        <v>479</v>
      </c>
      <c r="AF144">
        <v>63.789473684210563</v>
      </c>
      <c r="AG144">
        <v>70.047232029242338</v>
      </c>
      <c r="AH144">
        <f>47.3655689933323*1</f>
        <v>47.365568993332303</v>
      </c>
      <c r="AI144">
        <f>2.68146717614568*1</f>
        <v>2.6814671761456799</v>
      </c>
      <c r="AJ144">
        <v>1</v>
      </c>
      <c r="AK144">
        <v>0</v>
      </c>
      <c r="AL144">
        <v>0</v>
      </c>
    </row>
    <row r="145" spans="1:38" hidden="1" x14ac:dyDescent="0.2">
      <c r="A145" t="s">
        <v>113</v>
      </c>
      <c r="B145" t="s">
        <v>346</v>
      </c>
      <c r="C145" t="s">
        <v>346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6.6</v>
      </c>
      <c r="AE145">
        <v>481</v>
      </c>
      <c r="AF145">
        <v>78.578680203045622</v>
      </c>
      <c r="AG145">
        <v>86.981852967382224</v>
      </c>
      <c r="AH145">
        <f>32.4138987300741*1</f>
        <v>32.413898730074102</v>
      </c>
      <c r="AI145">
        <f>1.69996097504787*1</f>
        <v>1.6999609750478699</v>
      </c>
      <c r="AJ145">
        <v>1</v>
      </c>
      <c r="AK145">
        <v>0</v>
      </c>
      <c r="AL145">
        <v>0</v>
      </c>
    </row>
    <row r="146" spans="1:38" hidden="1" x14ac:dyDescent="0.2">
      <c r="A146" t="s">
        <v>347</v>
      </c>
      <c r="B146" t="s">
        <v>348</v>
      </c>
      <c r="C146" t="s">
        <v>348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496</v>
      </c>
      <c r="AF146">
        <v>68.460674157303345</v>
      </c>
      <c r="AG146">
        <v>73.318943483433458</v>
      </c>
      <c r="AH146">
        <f>38.7627323735136*1</f>
        <v>38.7627323735136</v>
      </c>
      <c r="AI146">
        <f>2.00945900035991*1</f>
        <v>2.00945900035991</v>
      </c>
      <c r="AJ146">
        <v>1</v>
      </c>
      <c r="AK146">
        <v>0</v>
      </c>
      <c r="AL146">
        <v>0</v>
      </c>
    </row>
    <row r="147" spans="1:38" hidden="1" x14ac:dyDescent="0.2">
      <c r="A147" t="s">
        <v>328</v>
      </c>
      <c r="B147" t="s">
        <v>349</v>
      </c>
      <c r="C147" t="s">
        <v>350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6.1</v>
      </c>
      <c r="AE147">
        <v>498</v>
      </c>
      <c r="AF147">
        <v>67.140000000000043</v>
      </c>
      <c r="AG147">
        <v>73.196593141381072</v>
      </c>
      <c r="AH147">
        <f>48.6115747063112*1</f>
        <v>48.611574706311202</v>
      </c>
      <c r="AI147">
        <f>2.60270772123783*1</f>
        <v>2.60270772123783</v>
      </c>
      <c r="AJ147">
        <v>1</v>
      </c>
      <c r="AK147">
        <v>0</v>
      </c>
      <c r="AL147">
        <v>0</v>
      </c>
    </row>
    <row r="148" spans="1:38" hidden="1" x14ac:dyDescent="0.2">
      <c r="A148" t="s">
        <v>351</v>
      </c>
      <c r="B148" t="s">
        <v>352</v>
      </c>
      <c r="C148" t="s">
        <v>352</v>
      </c>
      <c r="D148" t="s">
        <v>4</v>
      </c>
      <c r="E148">
        <v>0</v>
      </c>
      <c r="F148">
        <v>1</v>
      </c>
      <c r="G148">
        <v>0</v>
      </c>
      <c r="H148">
        <v>0</v>
      </c>
      <c r="I148" t="s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4.4000000000000004</v>
      </c>
      <c r="AE148">
        <v>499</v>
      </c>
      <c r="AF148">
        <v>53.953405018446666</v>
      </c>
      <c r="AG148">
        <v>55.892028327436194</v>
      </c>
      <c r="AH148">
        <f>41.0513118280642*1</f>
        <v>41.0513118280642</v>
      </c>
      <c r="AI148">
        <f>2.210828426827*1</f>
        <v>2.2108284268270002</v>
      </c>
      <c r="AJ148">
        <v>1</v>
      </c>
      <c r="AK148">
        <v>0</v>
      </c>
      <c r="AL148">
        <v>0</v>
      </c>
    </row>
    <row r="149" spans="1:38" hidden="1" x14ac:dyDescent="0.2">
      <c r="A149" t="s">
        <v>353</v>
      </c>
      <c r="B149" t="s">
        <v>354</v>
      </c>
      <c r="C149" t="s">
        <v>354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7.5</v>
      </c>
      <c r="AE149">
        <v>501</v>
      </c>
      <c r="AF149">
        <v>115.9657440543625</v>
      </c>
      <c r="AG149">
        <v>46.129437476648981</v>
      </c>
      <c r="AH149">
        <f>56.6441024156126*1</f>
        <v>56.644102415612601</v>
      </c>
      <c r="AI149">
        <f>2.70414953239943*1</f>
        <v>2.70414953239943</v>
      </c>
      <c r="AJ149">
        <v>1</v>
      </c>
      <c r="AK149">
        <v>0</v>
      </c>
      <c r="AL149">
        <v>0</v>
      </c>
    </row>
    <row r="150" spans="1:38" x14ac:dyDescent="0.2">
      <c r="A150" t="s">
        <v>140</v>
      </c>
      <c r="B150" t="s">
        <v>141</v>
      </c>
      <c r="C150" t="s">
        <v>141</v>
      </c>
      <c r="D150" t="s">
        <v>6</v>
      </c>
      <c r="E150">
        <v>0</v>
      </c>
      <c r="F150">
        <v>0</v>
      </c>
      <c r="G150">
        <v>0</v>
      </c>
      <c r="H150">
        <v>1</v>
      </c>
      <c r="I150" t="s">
        <v>15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6.2</v>
      </c>
      <c r="AE150">
        <v>130</v>
      </c>
      <c r="AF150">
        <v>85.375807379772979</v>
      </c>
      <c r="AG150">
        <v>49.814152686625157</v>
      </c>
      <c r="AH150">
        <f>99.099619873466*1</f>
        <v>99.099619873465997</v>
      </c>
      <c r="AI150">
        <f>5.50057138357755*1</f>
        <v>5.50057138357755</v>
      </c>
      <c r="AJ150">
        <v>1</v>
      </c>
      <c r="AK150">
        <v>1</v>
      </c>
      <c r="AL150">
        <v>1</v>
      </c>
    </row>
    <row r="151" spans="1:38" x14ac:dyDescent="0.2">
      <c r="A151" t="s">
        <v>376</v>
      </c>
      <c r="B151" t="s">
        <v>377</v>
      </c>
      <c r="C151" t="s">
        <v>377</v>
      </c>
      <c r="D151" t="s">
        <v>4</v>
      </c>
      <c r="E151">
        <v>0</v>
      </c>
      <c r="F151">
        <v>1</v>
      </c>
      <c r="G151">
        <v>0</v>
      </c>
      <c r="H151">
        <v>0</v>
      </c>
      <c r="I151" t="s">
        <v>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5.2</v>
      </c>
      <c r="AE151">
        <v>528</v>
      </c>
      <c r="AF151">
        <v>68.625000000000014</v>
      </c>
      <c r="AG151">
        <v>52.408503128698719</v>
      </c>
      <c r="AH151">
        <f>87.8439575533167*1</f>
        <v>87.843957553316699</v>
      </c>
      <c r="AI151">
        <f>4.98725315650906*1</f>
        <v>4.9872531565090599</v>
      </c>
      <c r="AJ151">
        <v>1</v>
      </c>
      <c r="AK151">
        <v>1</v>
      </c>
      <c r="AL151">
        <v>1</v>
      </c>
    </row>
    <row r="152" spans="1:38" x14ac:dyDescent="0.2">
      <c r="A152" t="s">
        <v>419</v>
      </c>
      <c r="B152" t="s">
        <v>420</v>
      </c>
      <c r="C152" t="s">
        <v>419</v>
      </c>
      <c r="D152" t="s">
        <v>5</v>
      </c>
      <c r="E152">
        <v>0</v>
      </c>
      <c r="F152">
        <v>0</v>
      </c>
      <c r="G152">
        <v>1</v>
      </c>
      <c r="H152">
        <v>0</v>
      </c>
      <c r="I152" t="s">
        <v>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9.8000000000000007</v>
      </c>
      <c r="AE152">
        <v>624</v>
      </c>
      <c r="AF152">
        <v>93.020196145394664</v>
      </c>
      <c r="AG152">
        <v>116.4741013328628</v>
      </c>
      <c r="AH152">
        <f>61.095668543505*1</f>
        <v>61.095668543504999</v>
      </c>
      <c r="AI152">
        <f>3.71269283934428*1</f>
        <v>3.71269283934428</v>
      </c>
      <c r="AJ152">
        <v>1</v>
      </c>
      <c r="AK152">
        <v>1</v>
      </c>
      <c r="AL152">
        <v>1</v>
      </c>
    </row>
    <row r="153" spans="1:38" hidden="1" x14ac:dyDescent="0.2">
      <c r="A153" t="s">
        <v>361</v>
      </c>
      <c r="B153" t="s">
        <v>362</v>
      </c>
      <c r="C153" t="s">
        <v>363</v>
      </c>
      <c r="D153" t="s">
        <v>5</v>
      </c>
      <c r="E153">
        <v>0</v>
      </c>
      <c r="F153">
        <v>0</v>
      </c>
      <c r="G153">
        <v>1</v>
      </c>
      <c r="H153">
        <v>0</v>
      </c>
      <c r="I153" t="s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506</v>
      </c>
      <c r="AF153">
        <v>56.211798885634039</v>
      </c>
      <c r="AG153">
        <v>43.66270357383727</v>
      </c>
      <c r="AH153">
        <f>55.642162816815*1</f>
        <v>55.642162816815002</v>
      </c>
      <c r="AI153">
        <f>3.30920718701026*1</f>
        <v>3.30920718701026</v>
      </c>
      <c r="AJ153">
        <v>1</v>
      </c>
      <c r="AK153">
        <v>0</v>
      </c>
      <c r="AL153">
        <v>0</v>
      </c>
    </row>
    <row r="154" spans="1:38" hidden="1" x14ac:dyDescent="0.2">
      <c r="A154" t="s">
        <v>364</v>
      </c>
      <c r="B154" t="s">
        <v>365</v>
      </c>
      <c r="C154" t="s">
        <v>365</v>
      </c>
      <c r="D154" t="s">
        <v>4</v>
      </c>
      <c r="E154">
        <v>0</v>
      </c>
      <c r="F154">
        <v>1</v>
      </c>
      <c r="G154">
        <v>0</v>
      </c>
      <c r="H154">
        <v>0</v>
      </c>
      <c r="I154" t="s">
        <v>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4.5</v>
      </c>
      <c r="AE154">
        <v>512</v>
      </c>
      <c r="AF154">
        <v>39.690727463546018</v>
      </c>
      <c r="AG154">
        <v>53.381450769130652</v>
      </c>
      <c r="AH154">
        <f>27.4312340612935*1</f>
        <v>27.431234061293502</v>
      </c>
      <c r="AI154">
        <f>1.3995420753642*1</f>
        <v>1.3995420753642001</v>
      </c>
      <c r="AJ154">
        <v>1</v>
      </c>
      <c r="AK154">
        <v>0</v>
      </c>
      <c r="AL154">
        <v>0</v>
      </c>
    </row>
    <row r="155" spans="1:38" hidden="1" x14ac:dyDescent="0.2">
      <c r="A155" t="s">
        <v>366</v>
      </c>
      <c r="B155" t="s">
        <v>367</v>
      </c>
      <c r="C155" t="s">
        <v>367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4.5999999999999996</v>
      </c>
      <c r="AE155">
        <v>513</v>
      </c>
      <c r="AF155">
        <v>42.187500000000007</v>
      </c>
      <c r="AG155">
        <v>43.068653423454748</v>
      </c>
      <c r="AH155">
        <f>18.8474984420089*1</f>
        <v>18.847498442008899</v>
      </c>
      <c r="AI155">
        <f>1.06431782537776*1</f>
        <v>1.0643178253777601</v>
      </c>
      <c r="AJ155">
        <v>1</v>
      </c>
      <c r="AK155">
        <v>0</v>
      </c>
      <c r="AL155">
        <v>0</v>
      </c>
    </row>
    <row r="156" spans="1:38" hidden="1" x14ac:dyDescent="0.2">
      <c r="A156" t="s">
        <v>368</v>
      </c>
      <c r="B156" t="s">
        <v>369</v>
      </c>
      <c r="C156" t="s">
        <v>369</v>
      </c>
      <c r="D156" t="s">
        <v>3</v>
      </c>
      <c r="E156">
        <v>1</v>
      </c>
      <c r="F156">
        <v>0</v>
      </c>
      <c r="G156">
        <v>0</v>
      </c>
      <c r="H156">
        <v>0</v>
      </c>
      <c r="I156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4.9000000000000004</v>
      </c>
      <c r="AE156">
        <v>516</v>
      </c>
      <c r="AF156">
        <v>72.555555555555586</v>
      </c>
      <c r="AG156">
        <v>76.59491638584754</v>
      </c>
      <c r="AH156">
        <f>36.7478102134854*1</f>
        <v>36.747810213485401</v>
      </c>
      <c r="AI156">
        <f>2.00347626257975*1</f>
        <v>2.00347626257975</v>
      </c>
      <c r="AJ156">
        <v>1</v>
      </c>
      <c r="AK156">
        <v>0</v>
      </c>
      <c r="AL156">
        <v>0</v>
      </c>
    </row>
    <row r="157" spans="1:38" hidden="1" x14ac:dyDescent="0.2">
      <c r="A157" t="s">
        <v>370</v>
      </c>
      <c r="B157" t="s">
        <v>371</v>
      </c>
      <c r="C157" t="s">
        <v>371</v>
      </c>
      <c r="D157" t="s">
        <v>4</v>
      </c>
      <c r="E157">
        <v>0</v>
      </c>
      <c r="F157">
        <v>1</v>
      </c>
      <c r="G157">
        <v>0</v>
      </c>
      <c r="H157">
        <v>0</v>
      </c>
      <c r="I157" t="s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5.4</v>
      </c>
      <c r="AE157">
        <v>518</v>
      </c>
      <c r="AF157">
        <v>62.692447164671663</v>
      </c>
      <c r="AG157">
        <v>56.898370280602052</v>
      </c>
      <c r="AH157">
        <f>35.8579654769105*1</f>
        <v>35.857965476910501</v>
      </c>
      <c r="AI157">
        <f>1.69442829979797*1</f>
        <v>1.6944282997979701</v>
      </c>
      <c r="AJ157">
        <v>1</v>
      </c>
      <c r="AK157">
        <v>0</v>
      </c>
      <c r="AL157">
        <v>0</v>
      </c>
    </row>
    <row r="158" spans="1:38" hidden="1" x14ac:dyDescent="0.2">
      <c r="A158" t="s">
        <v>372</v>
      </c>
      <c r="B158" t="s">
        <v>373</v>
      </c>
      <c r="C158" t="s">
        <v>373</v>
      </c>
      <c r="D158" t="s">
        <v>5</v>
      </c>
      <c r="E158">
        <v>0</v>
      </c>
      <c r="F158">
        <v>0</v>
      </c>
      <c r="G158">
        <v>1</v>
      </c>
      <c r="H158">
        <v>0</v>
      </c>
      <c r="I158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5.5</v>
      </c>
      <c r="AE158">
        <v>520</v>
      </c>
      <c r="AF158">
        <v>0</v>
      </c>
      <c r="AG158">
        <v>0</v>
      </c>
      <c r="AH158">
        <f>0*1</f>
        <v>0</v>
      </c>
      <c r="AI158">
        <f>0*1</f>
        <v>0</v>
      </c>
      <c r="AJ158">
        <v>1</v>
      </c>
      <c r="AK158">
        <v>0</v>
      </c>
      <c r="AL158">
        <v>0</v>
      </c>
    </row>
    <row r="159" spans="1:38" hidden="1" x14ac:dyDescent="0.2">
      <c r="A159" t="s">
        <v>374</v>
      </c>
      <c r="B159" t="s">
        <v>375</v>
      </c>
      <c r="C159" t="s">
        <v>375</v>
      </c>
      <c r="D159" t="s">
        <v>5</v>
      </c>
      <c r="E159">
        <v>0</v>
      </c>
      <c r="F159">
        <v>0</v>
      </c>
      <c r="G159">
        <v>1</v>
      </c>
      <c r="H159">
        <v>0</v>
      </c>
      <c r="I159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4.8</v>
      </c>
      <c r="AE159">
        <v>523</v>
      </c>
      <c r="AF159">
        <v>18</v>
      </c>
      <c r="AG159">
        <v>78.215786461042825</v>
      </c>
      <c r="AH159">
        <f>6.80210508861898*1</f>
        <v>6.8021050886189798</v>
      </c>
      <c r="AI159">
        <f>0.266337413903664*1</f>
        <v>0.266337413903664</v>
      </c>
      <c r="AJ159">
        <v>1</v>
      </c>
      <c r="AK159">
        <v>0</v>
      </c>
      <c r="AL159">
        <v>0</v>
      </c>
    </row>
    <row r="160" spans="1:38" x14ac:dyDescent="0.2">
      <c r="A160" t="s">
        <v>97</v>
      </c>
      <c r="B160" t="s">
        <v>355</v>
      </c>
      <c r="C160" t="s">
        <v>355</v>
      </c>
      <c r="D160" t="s">
        <v>4</v>
      </c>
      <c r="E160">
        <v>0</v>
      </c>
      <c r="F160">
        <v>1</v>
      </c>
      <c r="G160">
        <v>0</v>
      </c>
      <c r="H160">
        <v>0</v>
      </c>
      <c r="I160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4.9000000000000004</v>
      </c>
      <c r="AE160">
        <v>502</v>
      </c>
      <c r="AF160">
        <v>53.999999999999993</v>
      </c>
      <c r="AG160">
        <v>46.358600016685713</v>
      </c>
      <c r="AH160">
        <f>57.8998629104781*1</f>
        <v>57.899862910478099</v>
      </c>
      <c r="AI160">
        <f>3.35975577114127*1</f>
        <v>3.3597557711412702</v>
      </c>
      <c r="AJ160">
        <v>1</v>
      </c>
      <c r="AK160">
        <v>1</v>
      </c>
      <c r="AL160">
        <v>1</v>
      </c>
    </row>
    <row r="161" spans="1:38" hidden="1" x14ac:dyDescent="0.2">
      <c r="A161" t="s">
        <v>378</v>
      </c>
      <c r="B161" t="s">
        <v>379</v>
      </c>
      <c r="C161" t="s">
        <v>379</v>
      </c>
      <c r="D161" t="s">
        <v>5</v>
      </c>
      <c r="E161">
        <v>0</v>
      </c>
      <c r="F161">
        <v>0</v>
      </c>
      <c r="G161">
        <v>1</v>
      </c>
      <c r="H161">
        <v>0</v>
      </c>
      <c r="I161" t="s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529</v>
      </c>
      <c r="AF161">
        <v>36</v>
      </c>
      <c r="AG161">
        <v>29.221114584049619</v>
      </c>
      <c r="AH161">
        <f>29.1353502566918*1</f>
        <v>29.135350256691801</v>
      </c>
      <c r="AI161">
        <f>1.66790728112466*1</f>
        <v>1.66790728112466</v>
      </c>
      <c r="AJ161">
        <v>1</v>
      </c>
      <c r="AK161">
        <v>0</v>
      </c>
      <c r="AL161">
        <v>0</v>
      </c>
    </row>
    <row r="162" spans="1:38" hidden="1" x14ac:dyDescent="0.2">
      <c r="A162" t="s">
        <v>380</v>
      </c>
      <c r="B162" t="s">
        <v>381</v>
      </c>
      <c r="C162" t="s">
        <v>381</v>
      </c>
      <c r="D162" t="s">
        <v>6</v>
      </c>
      <c r="E162">
        <v>0</v>
      </c>
      <c r="F162">
        <v>0</v>
      </c>
      <c r="G162">
        <v>0</v>
      </c>
      <c r="H162">
        <v>1</v>
      </c>
      <c r="I162" t="s">
        <v>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5.5</v>
      </c>
      <c r="AE162">
        <v>530</v>
      </c>
      <c r="AF162">
        <v>28.358729436662859</v>
      </c>
      <c r="AG162">
        <v>70.604845728752281</v>
      </c>
      <c r="AH162">
        <f>7.00129282487095*1</f>
        <v>7.0012928248709496</v>
      </c>
      <c r="AI162">
        <f>0.495647258109012*1</f>
        <v>0.495647258109012</v>
      </c>
      <c r="AJ162">
        <v>1</v>
      </c>
      <c r="AK162">
        <v>0</v>
      </c>
      <c r="AL162">
        <v>0</v>
      </c>
    </row>
    <row r="163" spans="1:38" hidden="1" x14ac:dyDescent="0.2">
      <c r="A163" t="s">
        <v>382</v>
      </c>
      <c r="B163" t="s">
        <v>383</v>
      </c>
      <c r="C163" t="s">
        <v>384</v>
      </c>
      <c r="D163" t="s">
        <v>5</v>
      </c>
      <c r="E163">
        <v>0</v>
      </c>
      <c r="F163">
        <v>0</v>
      </c>
      <c r="G163">
        <v>1</v>
      </c>
      <c r="H163">
        <v>0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4.8</v>
      </c>
      <c r="AE163">
        <v>537</v>
      </c>
      <c r="AF163">
        <v>23.1560510634392</v>
      </c>
      <c r="AG163">
        <v>45.668493555837458</v>
      </c>
      <c r="AH163">
        <f>7.30519429702651*1</f>
        <v>7.3051942970265102</v>
      </c>
      <c r="AI163">
        <f>0.418289000819659*1</f>
        <v>0.41828900081965897</v>
      </c>
      <c r="AJ163">
        <v>1</v>
      </c>
      <c r="AK163">
        <v>0</v>
      </c>
      <c r="AL163">
        <v>0</v>
      </c>
    </row>
    <row r="164" spans="1:38" hidden="1" x14ac:dyDescent="0.2">
      <c r="A164" t="s">
        <v>353</v>
      </c>
      <c r="B164" t="s">
        <v>385</v>
      </c>
      <c r="C164" t="s">
        <v>385</v>
      </c>
      <c r="D164" t="s">
        <v>5</v>
      </c>
      <c r="E164">
        <v>0</v>
      </c>
      <c r="F164">
        <v>0</v>
      </c>
      <c r="G164">
        <v>1</v>
      </c>
      <c r="H164">
        <v>0</v>
      </c>
      <c r="I164" t="s">
        <v>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5.2</v>
      </c>
      <c r="AE164">
        <v>538</v>
      </c>
      <c r="AF164">
        <v>53.271944930955748</v>
      </c>
      <c r="AG164">
        <v>41.996783056987411</v>
      </c>
      <c r="AH164">
        <f>38.8468744349439*1</f>
        <v>38.846874434943899</v>
      </c>
      <c r="AI164">
        <f>2.64534899065103*1</f>
        <v>2.6453489906510299</v>
      </c>
      <c r="AJ164">
        <v>1</v>
      </c>
      <c r="AK164">
        <v>0</v>
      </c>
      <c r="AL164">
        <v>0</v>
      </c>
    </row>
    <row r="165" spans="1:38" hidden="1" x14ac:dyDescent="0.2">
      <c r="A165" t="s">
        <v>87</v>
      </c>
      <c r="B165" t="s">
        <v>386</v>
      </c>
      <c r="C165" t="s">
        <v>386</v>
      </c>
      <c r="D165" t="s">
        <v>5</v>
      </c>
      <c r="E165">
        <v>0</v>
      </c>
      <c r="F165">
        <v>0</v>
      </c>
      <c r="G165">
        <v>1</v>
      </c>
      <c r="H165">
        <v>0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6.4</v>
      </c>
      <c r="AE165">
        <v>539</v>
      </c>
      <c r="AF165">
        <v>88.609377352187991</v>
      </c>
      <c r="AG165">
        <v>48.896739783157827</v>
      </c>
      <c r="AH165">
        <f>78.7793084005968*1</f>
        <v>78.779308400596804</v>
      </c>
      <c r="AI165">
        <f>4.57298903517321*1</f>
        <v>4.5729890351732099</v>
      </c>
      <c r="AJ165">
        <v>1</v>
      </c>
      <c r="AK165">
        <v>0</v>
      </c>
      <c r="AL165">
        <v>0</v>
      </c>
    </row>
    <row r="166" spans="1:38" hidden="1" x14ac:dyDescent="0.2">
      <c r="A166" t="s">
        <v>387</v>
      </c>
      <c r="B166" t="s">
        <v>388</v>
      </c>
      <c r="C166" t="s">
        <v>388</v>
      </c>
      <c r="D166" t="s">
        <v>5</v>
      </c>
      <c r="E166">
        <v>0</v>
      </c>
      <c r="F166">
        <v>0</v>
      </c>
      <c r="G166">
        <v>1</v>
      </c>
      <c r="H166">
        <v>0</v>
      </c>
      <c r="I166" t="s">
        <v>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5.2</v>
      </c>
      <c r="AE166">
        <v>540</v>
      </c>
      <c r="AF166">
        <v>63.203711536204963</v>
      </c>
      <c r="AG166">
        <v>45.832464063402533</v>
      </c>
      <c r="AH166">
        <f>55.2143287733228*1</f>
        <v>55.214328773322798</v>
      </c>
      <c r="AI166">
        <f>3.10233702075448*1</f>
        <v>3.1023370207544798</v>
      </c>
      <c r="AJ166">
        <v>1</v>
      </c>
      <c r="AK166">
        <v>0</v>
      </c>
      <c r="AL166">
        <v>0</v>
      </c>
    </row>
    <row r="167" spans="1:38" x14ac:dyDescent="0.2">
      <c r="A167" t="s">
        <v>227</v>
      </c>
      <c r="B167" t="s">
        <v>228</v>
      </c>
      <c r="C167" t="s">
        <v>228</v>
      </c>
      <c r="D167" t="s">
        <v>3</v>
      </c>
      <c r="E167">
        <v>1</v>
      </c>
      <c r="F167">
        <v>0</v>
      </c>
      <c r="G167">
        <v>0</v>
      </c>
      <c r="H167">
        <v>0</v>
      </c>
      <c r="I167" t="s">
        <v>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</v>
      </c>
      <c r="AE167">
        <v>283</v>
      </c>
      <c r="AF167">
        <v>66.236842105263122</v>
      </c>
      <c r="AG167">
        <v>66.882605270850021</v>
      </c>
      <c r="AH167">
        <f>57.6226466131638*1</f>
        <v>57.622646613163802</v>
      </c>
      <c r="AI167">
        <f>3.1496826912856*1</f>
        <v>3.1496826912856002</v>
      </c>
      <c r="AJ167">
        <v>1</v>
      </c>
      <c r="AK167">
        <v>1</v>
      </c>
      <c r="AL167">
        <v>1</v>
      </c>
    </row>
    <row r="168" spans="1:38" hidden="1" x14ac:dyDescent="0.2">
      <c r="A168" t="s">
        <v>391</v>
      </c>
      <c r="B168" t="s">
        <v>392</v>
      </c>
      <c r="C168" t="s">
        <v>393</v>
      </c>
      <c r="D168" t="s">
        <v>4</v>
      </c>
      <c r="E168">
        <v>0</v>
      </c>
      <c r="F168">
        <v>1</v>
      </c>
      <c r="G168">
        <v>0</v>
      </c>
      <c r="H168">
        <v>0</v>
      </c>
      <c r="I168" t="s">
        <v>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4.3</v>
      </c>
      <c r="AE168">
        <v>543</v>
      </c>
      <c r="AF168">
        <v>35.790697674418638</v>
      </c>
      <c r="AG168">
        <v>25.78663978941649</v>
      </c>
      <c r="AH168">
        <f>33.1558681329672*1</f>
        <v>33.1558681329672</v>
      </c>
      <c r="AI168">
        <f>1.94180565095434*1</f>
        <v>1.94180565095434</v>
      </c>
      <c r="AJ168">
        <v>1</v>
      </c>
      <c r="AK168">
        <v>0</v>
      </c>
      <c r="AL168">
        <v>0</v>
      </c>
    </row>
    <row r="169" spans="1:38" x14ac:dyDescent="0.2">
      <c r="A169" t="s">
        <v>229</v>
      </c>
      <c r="B169" t="s">
        <v>230</v>
      </c>
      <c r="C169" t="s">
        <v>230</v>
      </c>
      <c r="D169" t="s">
        <v>4</v>
      </c>
      <c r="E169">
        <v>0</v>
      </c>
      <c r="F169">
        <v>1</v>
      </c>
      <c r="G169">
        <v>0</v>
      </c>
      <c r="H169">
        <v>0</v>
      </c>
      <c r="I169" t="s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4.8</v>
      </c>
      <c r="AE169">
        <v>284</v>
      </c>
      <c r="AF169">
        <v>54.55542846304494</v>
      </c>
      <c r="AG169">
        <v>54.941411922813217</v>
      </c>
      <c r="AH169">
        <f>41.5631172954362*1</f>
        <v>41.5631172954362</v>
      </c>
      <c r="AI169">
        <f>2.46881289993695*1</f>
        <v>2.4688128999369501</v>
      </c>
      <c r="AJ169">
        <v>1</v>
      </c>
      <c r="AK169">
        <v>1</v>
      </c>
      <c r="AL169">
        <v>1</v>
      </c>
    </row>
    <row r="170" spans="1:38" hidden="1" x14ac:dyDescent="0.2">
      <c r="A170" t="s">
        <v>396</v>
      </c>
      <c r="B170" t="s">
        <v>397</v>
      </c>
      <c r="C170" t="s">
        <v>397</v>
      </c>
      <c r="D170" t="s">
        <v>6</v>
      </c>
      <c r="E170">
        <v>0</v>
      </c>
      <c r="F170">
        <v>0</v>
      </c>
      <c r="G170">
        <v>0</v>
      </c>
      <c r="H170">
        <v>1</v>
      </c>
      <c r="I170" t="s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6.8</v>
      </c>
      <c r="AE170">
        <v>552</v>
      </c>
      <c r="AF170">
        <v>68.929541158346282</v>
      </c>
      <c r="AG170">
        <v>58.186694906525517</v>
      </c>
      <c r="AH170">
        <f>67.2189492414797*1</f>
        <v>67.218949241479706</v>
      </c>
      <c r="AI170">
        <f>4.2911401263452*1</f>
        <v>4.2911401263451996</v>
      </c>
      <c r="AJ170">
        <v>1</v>
      </c>
      <c r="AK170">
        <v>0</v>
      </c>
      <c r="AL170">
        <v>0</v>
      </c>
    </row>
    <row r="171" spans="1:38" hidden="1" x14ac:dyDescent="0.2">
      <c r="A171" t="s">
        <v>95</v>
      </c>
      <c r="B171" t="s">
        <v>398</v>
      </c>
      <c r="C171" t="s">
        <v>398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4.9000000000000004</v>
      </c>
      <c r="AE171">
        <v>554</v>
      </c>
      <c r="AF171">
        <v>34.875</v>
      </c>
      <c r="AG171">
        <v>28.411149817854689</v>
      </c>
      <c r="AH171">
        <f>34.110596968722*1</f>
        <v>34.110596968722</v>
      </c>
      <c r="AI171">
        <f>1.93671361511879*1</f>
        <v>1.93671361511879</v>
      </c>
      <c r="AJ171">
        <v>1</v>
      </c>
      <c r="AK171">
        <v>0</v>
      </c>
      <c r="AL171">
        <v>0</v>
      </c>
    </row>
    <row r="172" spans="1:38" hidden="1" x14ac:dyDescent="0.2">
      <c r="A172" t="s">
        <v>399</v>
      </c>
      <c r="B172" t="s">
        <v>400</v>
      </c>
      <c r="C172" t="s">
        <v>400</v>
      </c>
      <c r="D172" t="s">
        <v>6</v>
      </c>
      <c r="E172">
        <v>0</v>
      </c>
      <c r="F172">
        <v>0</v>
      </c>
      <c r="G172">
        <v>0</v>
      </c>
      <c r="H172">
        <v>1</v>
      </c>
      <c r="I172" t="s">
        <v>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5</v>
      </c>
      <c r="AE172">
        <v>562</v>
      </c>
      <c r="AF172">
        <v>40.421052631578959</v>
      </c>
      <c r="AG172">
        <v>45.622965717000163</v>
      </c>
      <c r="AH172">
        <f>22.6097400940062*1</f>
        <v>22.609740094006199</v>
      </c>
      <c r="AI172">
        <f>1.21133552580663*1</f>
        <v>1.2113355258066301</v>
      </c>
      <c r="AJ172">
        <v>1</v>
      </c>
      <c r="AK172">
        <v>0</v>
      </c>
      <c r="AL172">
        <v>0</v>
      </c>
    </row>
    <row r="173" spans="1:38" hidden="1" x14ac:dyDescent="0.2">
      <c r="A173" t="s">
        <v>111</v>
      </c>
      <c r="B173" t="s">
        <v>401</v>
      </c>
      <c r="C173" t="s">
        <v>401</v>
      </c>
      <c r="D173" t="s">
        <v>6</v>
      </c>
      <c r="E173">
        <v>0</v>
      </c>
      <c r="F173">
        <v>0</v>
      </c>
      <c r="G173">
        <v>0</v>
      </c>
      <c r="H173">
        <v>1</v>
      </c>
      <c r="I173" t="s">
        <v>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5.0999999999999996</v>
      </c>
      <c r="AE173">
        <v>568</v>
      </c>
      <c r="AF173">
        <v>39.183819631250699</v>
      </c>
      <c r="AG173">
        <v>36.475095510559683</v>
      </c>
      <c r="AH173">
        <f>27.4551111729298*1</f>
        <v>27.455111172929801</v>
      </c>
      <c r="AI173">
        <f>1.34755587784037*1</f>
        <v>1.34755587784037</v>
      </c>
      <c r="AJ173">
        <v>1</v>
      </c>
      <c r="AK173">
        <v>0</v>
      </c>
      <c r="AL173">
        <v>0</v>
      </c>
    </row>
    <row r="174" spans="1:38" hidden="1" x14ac:dyDescent="0.2">
      <c r="A174" t="s">
        <v>402</v>
      </c>
      <c r="B174" t="s">
        <v>403</v>
      </c>
      <c r="C174" t="s">
        <v>403</v>
      </c>
      <c r="D174" t="s">
        <v>4</v>
      </c>
      <c r="E174">
        <v>0</v>
      </c>
      <c r="F174">
        <v>1</v>
      </c>
      <c r="G174">
        <v>0</v>
      </c>
      <c r="H174">
        <v>0</v>
      </c>
      <c r="I174" t="s">
        <v>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4</v>
      </c>
      <c r="AE174">
        <v>570</v>
      </c>
      <c r="AF174">
        <v>37.33156429604751</v>
      </c>
      <c r="AG174">
        <v>44.383722141558728</v>
      </c>
      <c r="AH174">
        <f>14.8097636641051*1</f>
        <v>14.8097636641051</v>
      </c>
      <c r="AI174">
        <f>0.827036456420351*1</f>
        <v>0.82703645642035095</v>
      </c>
      <c r="AJ174">
        <v>1</v>
      </c>
      <c r="AK174">
        <v>0</v>
      </c>
      <c r="AL174">
        <v>0</v>
      </c>
    </row>
    <row r="175" spans="1:38" hidden="1" x14ac:dyDescent="0.2">
      <c r="A175" t="s">
        <v>404</v>
      </c>
      <c r="B175" t="s">
        <v>405</v>
      </c>
      <c r="C175" t="s">
        <v>405</v>
      </c>
      <c r="D175" t="s">
        <v>4</v>
      </c>
      <c r="E175">
        <v>0</v>
      </c>
      <c r="F175">
        <v>1</v>
      </c>
      <c r="G175">
        <v>0</v>
      </c>
      <c r="H175">
        <v>0</v>
      </c>
      <c r="I175" t="s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4.3</v>
      </c>
      <c r="AE175">
        <v>591</v>
      </c>
      <c r="AF175">
        <v>32.760157093776883</v>
      </c>
      <c r="AG175">
        <v>45.553415244545107</v>
      </c>
      <c r="AH175">
        <f>13.8797644338786*1</f>
        <v>13.8797644338786</v>
      </c>
      <c r="AI175">
        <f>0.736887461853823*1</f>
        <v>0.73688746185382303</v>
      </c>
      <c r="AJ175">
        <v>1</v>
      </c>
      <c r="AK175">
        <v>0</v>
      </c>
      <c r="AL175">
        <v>0</v>
      </c>
    </row>
    <row r="176" spans="1:38" hidden="1" x14ac:dyDescent="0.2">
      <c r="A176" t="s">
        <v>406</v>
      </c>
      <c r="B176" t="s">
        <v>407</v>
      </c>
      <c r="C176" t="s">
        <v>407</v>
      </c>
      <c r="D176" t="s">
        <v>5</v>
      </c>
      <c r="E176">
        <v>0</v>
      </c>
      <c r="F176">
        <v>0</v>
      </c>
      <c r="G176">
        <v>1</v>
      </c>
      <c r="H176">
        <v>0</v>
      </c>
      <c r="I176" t="s">
        <v>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4.8</v>
      </c>
      <c r="AE176">
        <v>594</v>
      </c>
      <c r="AF176">
        <v>0</v>
      </c>
      <c r="AG176">
        <v>0</v>
      </c>
      <c r="AH176">
        <f>0*1</f>
        <v>0</v>
      </c>
      <c r="AI176">
        <f>0*1</f>
        <v>0</v>
      </c>
      <c r="AJ176">
        <v>1</v>
      </c>
      <c r="AK176">
        <v>0</v>
      </c>
      <c r="AL176">
        <v>0</v>
      </c>
    </row>
    <row r="177" spans="1:38" hidden="1" x14ac:dyDescent="0.2">
      <c r="A177" t="s">
        <v>408</v>
      </c>
      <c r="B177" t="s">
        <v>409</v>
      </c>
      <c r="C177" t="s">
        <v>409</v>
      </c>
      <c r="D177" t="s">
        <v>5</v>
      </c>
      <c r="E177">
        <v>0</v>
      </c>
      <c r="F177">
        <v>0</v>
      </c>
      <c r="G177">
        <v>1</v>
      </c>
      <c r="H177">
        <v>0</v>
      </c>
      <c r="I177" t="s">
        <v>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4.9000000000000004</v>
      </c>
      <c r="AE177">
        <v>604</v>
      </c>
      <c r="AF177">
        <v>33.827586206896576</v>
      </c>
      <c r="AG177">
        <v>32.275254520395883</v>
      </c>
      <c r="AH177">
        <f>25.4856101352516*1</f>
        <v>25.485610135251601</v>
      </c>
      <c r="AI177">
        <f>1.41840430963446*1</f>
        <v>1.4184043096344601</v>
      </c>
      <c r="AJ177">
        <v>1</v>
      </c>
      <c r="AK177">
        <v>0</v>
      </c>
      <c r="AL177">
        <v>0</v>
      </c>
    </row>
    <row r="178" spans="1:38" hidden="1" x14ac:dyDescent="0.2">
      <c r="A178" t="s">
        <v>410</v>
      </c>
      <c r="B178" t="s">
        <v>411</v>
      </c>
      <c r="C178" t="s">
        <v>411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6.5</v>
      </c>
      <c r="AE178">
        <v>613</v>
      </c>
      <c r="AF178">
        <v>65.599999999999994</v>
      </c>
      <c r="AG178">
        <v>58.449551801294213</v>
      </c>
      <c r="AH178">
        <f>64.4890369336274*1</f>
        <v>64.489036933627403</v>
      </c>
      <c r="AI178">
        <f>3.62792367009523*1</f>
        <v>3.62792367009523</v>
      </c>
      <c r="AJ178">
        <v>1</v>
      </c>
      <c r="AK178">
        <v>0</v>
      </c>
      <c r="AL178">
        <v>0</v>
      </c>
    </row>
    <row r="179" spans="1:38" hidden="1" x14ac:dyDescent="0.2">
      <c r="A179" t="s">
        <v>412</v>
      </c>
      <c r="B179" t="s">
        <v>413</v>
      </c>
      <c r="C179" t="s">
        <v>413</v>
      </c>
      <c r="D179" t="s">
        <v>5</v>
      </c>
      <c r="E179">
        <v>0</v>
      </c>
      <c r="F179">
        <v>0</v>
      </c>
      <c r="G179">
        <v>1</v>
      </c>
      <c r="H179">
        <v>0</v>
      </c>
      <c r="I179" t="s">
        <v>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6.5</v>
      </c>
      <c r="AE179">
        <v>614</v>
      </c>
      <c r="AF179">
        <v>70.346938775510182</v>
      </c>
      <c r="AG179">
        <v>67.891434313909272</v>
      </c>
      <c r="AH179">
        <f>44.3284903931052*1</f>
        <v>44.328490393105199</v>
      </c>
      <c r="AI179">
        <f>2.50523743009331*1</f>
        <v>2.50523743009331</v>
      </c>
      <c r="AJ179">
        <v>1</v>
      </c>
      <c r="AK179">
        <v>0</v>
      </c>
      <c r="AL179">
        <v>0</v>
      </c>
    </row>
    <row r="180" spans="1:38" hidden="1" x14ac:dyDescent="0.2">
      <c r="A180" t="s">
        <v>229</v>
      </c>
      <c r="B180" t="s">
        <v>414</v>
      </c>
      <c r="C180" t="s">
        <v>414</v>
      </c>
      <c r="D180" t="s">
        <v>5</v>
      </c>
      <c r="E180">
        <v>0</v>
      </c>
      <c r="F180">
        <v>0</v>
      </c>
      <c r="G180">
        <v>1</v>
      </c>
      <c r="H180">
        <v>0</v>
      </c>
      <c r="I180" t="s">
        <v>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7.6</v>
      </c>
      <c r="AE180">
        <v>616</v>
      </c>
      <c r="AF180">
        <v>76.403370446768349</v>
      </c>
      <c r="AG180">
        <v>73.746759478330858</v>
      </c>
      <c r="AH180">
        <f>54.5464271801975*1</f>
        <v>54.546427180197497</v>
      </c>
      <c r="AI180">
        <f>3.75772398469786*1</f>
        <v>3.7577239846978601</v>
      </c>
      <c r="AJ180">
        <v>1</v>
      </c>
      <c r="AK180">
        <v>0</v>
      </c>
      <c r="AL180">
        <v>0</v>
      </c>
    </row>
    <row r="181" spans="1:38" hidden="1" x14ac:dyDescent="0.2">
      <c r="A181" t="s">
        <v>191</v>
      </c>
      <c r="B181" t="s">
        <v>415</v>
      </c>
      <c r="C181" t="s">
        <v>416</v>
      </c>
      <c r="D181" t="s">
        <v>4</v>
      </c>
      <c r="E181">
        <v>0</v>
      </c>
      <c r="F181">
        <v>1</v>
      </c>
      <c r="G181">
        <v>0</v>
      </c>
      <c r="H181">
        <v>0</v>
      </c>
      <c r="I181" t="s">
        <v>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5.5</v>
      </c>
      <c r="AE181">
        <v>617</v>
      </c>
      <c r="AF181">
        <v>71.845171018453101</v>
      </c>
      <c r="AG181">
        <v>76.709571177209398</v>
      </c>
      <c r="AH181">
        <f>34.681026408339*1</f>
        <v>34.681026408339001</v>
      </c>
      <c r="AI181">
        <f>2.24733036955299*1</f>
        <v>2.2473303695529898</v>
      </c>
      <c r="AJ181">
        <v>1</v>
      </c>
      <c r="AK181">
        <v>0</v>
      </c>
      <c r="AL181">
        <v>0</v>
      </c>
    </row>
    <row r="182" spans="1:38" hidden="1" x14ac:dyDescent="0.2">
      <c r="A182" t="s">
        <v>417</v>
      </c>
      <c r="B182" t="s">
        <v>213</v>
      </c>
      <c r="C182" t="s">
        <v>418</v>
      </c>
      <c r="D182" t="s">
        <v>5</v>
      </c>
      <c r="E182">
        <v>0</v>
      </c>
      <c r="F182">
        <v>0</v>
      </c>
      <c r="G182">
        <v>1</v>
      </c>
      <c r="H182">
        <v>0</v>
      </c>
      <c r="I182" t="s">
        <v>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4.8</v>
      </c>
      <c r="AE182">
        <v>621</v>
      </c>
      <c r="AF182">
        <v>39.428571428571423</v>
      </c>
      <c r="AG182">
        <v>37.531940637858561</v>
      </c>
      <c r="AH182">
        <f>15.5487626165846*1</f>
        <v>15.5487626165846</v>
      </c>
      <c r="AI182">
        <f>0.873589523656585*1</f>
        <v>0.87358952365658504</v>
      </c>
      <c r="AJ182">
        <v>1</v>
      </c>
      <c r="AK182">
        <v>0</v>
      </c>
      <c r="AL182">
        <v>0</v>
      </c>
    </row>
    <row r="183" spans="1:38" x14ac:dyDescent="0.2">
      <c r="A183" t="s">
        <v>212</v>
      </c>
      <c r="B183" t="s">
        <v>213</v>
      </c>
      <c r="C183" t="s">
        <v>214</v>
      </c>
      <c r="D183" t="s">
        <v>5</v>
      </c>
      <c r="E183">
        <v>0</v>
      </c>
      <c r="F183">
        <v>0</v>
      </c>
      <c r="G183">
        <v>1</v>
      </c>
      <c r="H183">
        <v>0</v>
      </c>
      <c r="I183" t="s">
        <v>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5.9</v>
      </c>
      <c r="AE183">
        <v>257</v>
      </c>
      <c r="AF183">
        <v>65.162841222722932</v>
      </c>
      <c r="AG183">
        <v>48.431031265023542</v>
      </c>
      <c r="AH183">
        <f>29.5443948429302*1</f>
        <v>29.544394842930199</v>
      </c>
      <c r="AI183">
        <f>1.91885931586876*1</f>
        <v>1.9188593158687599</v>
      </c>
      <c r="AJ183">
        <v>1</v>
      </c>
      <c r="AK183">
        <v>1</v>
      </c>
      <c r="AL183">
        <v>1</v>
      </c>
    </row>
    <row r="184" spans="1:38" hidden="1" x14ac:dyDescent="0.2">
      <c r="A184" t="s">
        <v>421</v>
      </c>
      <c r="B184" t="s">
        <v>422</v>
      </c>
      <c r="C184" t="s">
        <v>422</v>
      </c>
      <c r="D184" t="s">
        <v>4</v>
      </c>
      <c r="E184">
        <v>0</v>
      </c>
      <c r="F184">
        <v>1</v>
      </c>
      <c r="G184">
        <v>0</v>
      </c>
      <c r="H184">
        <v>0</v>
      </c>
      <c r="I184" t="s">
        <v>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4.9000000000000004</v>
      </c>
      <c r="AE184">
        <v>626</v>
      </c>
      <c r="AF184">
        <v>45.391304347826079</v>
      </c>
      <c r="AG184">
        <v>44.787498883069752</v>
      </c>
      <c r="AH184">
        <f>18.2330581881293*1</f>
        <v>18.233058188129299</v>
      </c>
      <c r="AI184">
        <f>1.11504129440365*1</f>
        <v>1.1150412944036501</v>
      </c>
      <c r="AJ184">
        <v>1</v>
      </c>
      <c r="AK184">
        <v>0</v>
      </c>
      <c r="AL184">
        <v>0</v>
      </c>
    </row>
    <row r="185" spans="1:38" hidden="1" x14ac:dyDescent="0.2">
      <c r="A185" t="s">
        <v>423</v>
      </c>
      <c r="B185" t="s">
        <v>424</v>
      </c>
      <c r="C185" t="s">
        <v>424</v>
      </c>
      <c r="D185" t="s">
        <v>5</v>
      </c>
      <c r="E185">
        <v>0</v>
      </c>
      <c r="F185">
        <v>0</v>
      </c>
      <c r="G185">
        <v>1</v>
      </c>
      <c r="H185">
        <v>0</v>
      </c>
      <c r="I185" t="s">
        <v>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6.2</v>
      </c>
      <c r="AE185">
        <v>630</v>
      </c>
      <c r="AF185">
        <v>58.327706843826363</v>
      </c>
      <c r="AG185">
        <v>77.182172249209231</v>
      </c>
      <c r="AH185">
        <f>24.535478380459*1</f>
        <v>24.535478380459001</v>
      </c>
      <c r="AI185">
        <f>1.25921843628073*1</f>
        <v>1.2592184362807299</v>
      </c>
      <c r="AJ185">
        <v>1</v>
      </c>
      <c r="AK185">
        <v>0</v>
      </c>
      <c r="AL185">
        <v>0</v>
      </c>
    </row>
    <row r="186" spans="1:38" hidden="1" x14ac:dyDescent="0.2">
      <c r="A186" t="s">
        <v>425</v>
      </c>
      <c r="B186" t="s">
        <v>426</v>
      </c>
      <c r="C186" t="s">
        <v>426</v>
      </c>
      <c r="D186" t="s">
        <v>4</v>
      </c>
      <c r="E186">
        <v>0</v>
      </c>
      <c r="F186">
        <v>1</v>
      </c>
      <c r="G186">
        <v>0</v>
      </c>
      <c r="H186">
        <v>0</v>
      </c>
      <c r="I186" t="s">
        <v>30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4.5999999999999996</v>
      </c>
      <c r="AE186">
        <v>640</v>
      </c>
      <c r="AF186">
        <v>58.067796610169452</v>
      </c>
      <c r="AG186">
        <v>61.674939423401213</v>
      </c>
      <c r="AH186">
        <f>36.805592991286*1</f>
        <v>36.805592991285998</v>
      </c>
      <c r="AI186">
        <f>1.9003747316248*1</f>
        <v>1.9003747316248001</v>
      </c>
      <c r="AJ186">
        <v>1</v>
      </c>
      <c r="AK186">
        <v>0</v>
      </c>
      <c r="AL186">
        <v>0</v>
      </c>
    </row>
    <row r="187" spans="1:38" hidden="1" x14ac:dyDescent="0.2">
      <c r="A187" t="s">
        <v>427</v>
      </c>
      <c r="B187" t="s">
        <v>428</v>
      </c>
      <c r="C187" t="s">
        <v>429</v>
      </c>
      <c r="D187" t="s">
        <v>5</v>
      </c>
      <c r="E187">
        <v>0</v>
      </c>
      <c r="F187">
        <v>0</v>
      </c>
      <c r="G187">
        <v>1</v>
      </c>
      <c r="H187">
        <v>0</v>
      </c>
      <c r="I187" t="s">
        <v>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5</v>
      </c>
      <c r="AE187">
        <v>641</v>
      </c>
      <c r="AF187">
        <v>30.63829787234042</v>
      </c>
      <c r="AG187">
        <v>41.625865865326972</v>
      </c>
      <c r="AH187">
        <f>12.3812435538316*1</f>
        <v>12.381243553831601</v>
      </c>
      <c r="AI187">
        <f>0.667248354502639*1</f>
        <v>0.66724835450263897</v>
      </c>
      <c r="AJ187">
        <v>1</v>
      </c>
      <c r="AK187">
        <v>0</v>
      </c>
      <c r="AL187">
        <v>0</v>
      </c>
    </row>
    <row r="188" spans="1:38" hidden="1" x14ac:dyDescent="0.2">
      <c r="A188" t="s">
        <v>430</v>
      </c>
      <c r="B188" t="s">
        <v>431</v>
      </c>
      <c r="C188" t="s">
        <v>431</v>
      </c>
      <c r="D188" t="s">
        <v>6</v>
      </c>
      <c r="E188">
        <v>0</v>
      </c>
      <c r="F188">
        <v>0</v>
      </c>
      <c r="G188">
        <v>0</v>
      </c>
      <c r="H188">
        <v>1</v>
      </c>
      <c r="I188" t="s">
        <v>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5.3</v>
      </c>
      <c r="AE188">
        <v>642</v>
      </c>
      <c r="AF188">
        <v>63.861702127659598</v>
      </c>
      <c r="AG188">
        <v>60.538583959954003</v>
      </c>
      <c r="AH188">
        <f>34.9999393287383*1</f>
        <v>34.9999393287383</v>
      </c>
      <c r="AI188">
        <f>1.86167970864482*1</f>
        <v>1.86167970864482</v>
      </c>
      <c r="AJ188">
        <v>1</v>
      </c>
      <c r="AK188">
        <v>0</v>
      </c>
      <c r="AL188">
        <v>0</v>
      </c>
    </row>
    <row r="189" spans="1:38" hidden="1" x14ac:dyDescent="0.2">
      <c r="A189" t="s">
        <v>432</v>
      </c>
      <c r="B189" t="s">
        <v>433</v>
      </c>
      <c r="C189" t="s">
        <v>433</v>
      </c>
      <c r="D189" t="s">
        <v>5</v>
      </c>
      <c r="E189">
        <v>0</v>
      </c>
      <c r="F189">
        <v>0</v>
      </c>
      <c r="G189">
        <v>1</v>
      </c>
      <c r="H189">
        <v>0</v>
      </c>
      <c r="I189" t="s">
        <v>30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7.4</v>
      </c>
      <c r="AE189">
        <v>644</v>
      </c>
      <c r="AF189">
        <v>82.104395561479819</v>
      </c>
      <c r="AG189">
        <v>85.761477138463235</v>
      </c>
      <c r="AH189">
        <f>57.250757689328*1</f>
        <v>57.250757689327997</v>
      </c>
      <c r="AI189">
        <f>2.96907619132469*1</f>
        <v>2.9690761913246901</v>
      </c>
      <c r="AJ189">
        <v>1</v>
      </c>
      <c r="AK189">
        <v>0</v>
      </c>
      <c r="AL189">
        <v>0</v>
      </c>
    </row>
    <row r="190" spans="1:38" hidden="1" x14ac:dyDescent="0.2">
      <c r="A190" t="s">
        <v>434</v>
      </c>
      <c r="B190" t="s">
        <v>435</v>
      </c>
      <c r="C190" t="s">
        <v>434</v>
      </c>
      <c r="D190" t="s">
        <v>4</v>
      </c>
      <c r="E190">
        <v>0</v>
      </c>
      <c r="F190">
        <v>1</v>
      </c>
      <c r="G190">
        <v>0</v>
      </c>
      <c r="H190">
        <v>0</v>
      </c>
      <c r="I190" t="s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4.4000000000000004</v>
      </c>
      <c r="AE190">
        <v>648</v>
      </c>
      <c r="AF190">
        <v>35.708098344183043</v>
      </c>
      <c r="AG190">
        <v>33.013614190421407</v>
      </c>
      <c r="AH190">
        <f>17.702338018764*1</f>
        <v>17.702338018763999</v>
      </c>
      <c r="AI190">
        <f>0.557510845267241*1</f>
        <v>0.55751084526724104</v>
      </c>
      <c r="AJ190">
        <v>1</v>
      </c>
      <c r="AK190">
        <v>0</v>
      </c>
      <c r="AL190">
        <v>0</v>
      </c>
    </row>
    <row r="191" spans="1:38" hidden="1" x14ac:dyDescent="0.2">
      <c r="A191" t="s">
        <v>436</v>
      </c>
      <c r="B191" t="s">
        <v>437</v>
      </c>
      <c r="C191" t="s">
        <v>437</v>
      </c>
      <c r="D191" t="s">
        <v>4</v>
      </c>
      <c r="E191">
        <v>0</v>
      </c>
      <c r="F191">
        <v>1</v>
      </c>
      <c r="G191">
        <v>0</v>
      </c>
      <c r="H191">
        <v>0</v>
      </c>
      <c r="I191" t="s">
        <v>30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4.4000000000000004</v>
      </c>
      <c r="AE191">
        <v>652</v>
      </c>
      <c r="AF191">
        <v>49.74999999999995</v>
      </c>
      <c r="AG191">
        <v>56.484185568124531</v>
      </c>
      <c r="AH191">
        <f>24.2071358605634*1</f>
        <v>24.207135860563401</v>
      </c>
      <c r="AI191">
        <f>1.27436967068474*1</f>
        <v>1.2743696706847401</v>
      </c>
      <c r="AJ191">
        <v>1</v>
      </c>
      <c r="AK191">
        <v>0</v>
      </c>
      <c r="AL191">
        <v>0</v>
      </c>
    </row>
    <row r="192" spans="1:38" hidden="1" x14ac:dyDescent="0.2">
      <c r="A192" t="s">
        <v>438</v>
      </c>
      <c r="B192" t="s">
        <v>439</v>
      </c>
      <c r="C192" t="s">
        <v>439</v>
      </c>
      <c r="D192" t="s">
        <v>5</v>
      </c>
      <c r="E192">
        <v>0</v>
      </c>
      <c r="F192">
        <v>0</v>
      </c>
      <c r="G192">
        <v>1</v>
      </c>
      <c r="H192">
        <v>0</v>
      </c>
      <c r="I192" t="s">
        <v>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6.2</v>
      </c>
      <c r="AE192">
        <v>653</v>
      </c>
      <c r="AF192">
        <v>70.500000000000057</v>
      </c>
      <c r="AG192">
        <v>81.914679952419291</v>
      </c>
      <c r="AH192">
        <f>28.8869532087442*1</f>
        <v>28.886953208744199</v>
      </c>
      <c r="AI192">
        <f>1.53895079810533*1</f>
        <v>1.5389507981053301</v>
      </c>
      <c r="AJ192">
        <v>1</v>
      </c>
      <c r="AK192">
        <v>0</v>
      </c>
      <c r="AL192">
        <v>0</v>
      </c>
    </row>
    <row r="193" spans="1:38" hidden="1" x14ac:dyDescent="0.2">
      <c r="A193" t="s">
        <v>70</v>
      </c>
      <c r="B193" t="s">
        <v>440</v>
      </c>
      <c r="C193" t="s">
        <v>441</v>
      </c>
      <c r="D193" t="s">
        <v>5</v>
      </c>
      <c r="E193">
        <v>0</v>
      </c>
      <c r="F193">
        <v>0</v>
      </c>
      <c r="G193">
        <v>1</v>
      </c>
      <c r="H193">
        <v>0</v>
      </c>
      <c r="I193" t="s">
        <v>30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5.7</v>
      </c>
      <c r="AE193">
        <v>655</v>
      </c>
      <c r="AF193">
        <v>60.206276646352549</v>
      </c>
      <c r="AG193">
        <v>63.072298685063657</v>
      </c>
      <c r="AH193">
        <f>30.2605719730943*1</f>
        <v>30.260571973094301</v>
      </c>
      <c r="AI193">
        <f>1.8693835835541*1</f>
        <v>1.8693835835540999</v>
      </c>
      <c r="AJ193">
        <v>1</v>
      </c>
      <c r="AK193">
        <v>0</v>
      </c>
      <c r="AL193">
        <v>0</v>
      </c>
    </row>
    <row r="194" spans="1:38" hidden="1" x14ac:dyDescent="0.2">
      <c r="A194" t="s">
        <v>442</v>
      </c>
      <c r="B194" t="s">
        <v>443</v>
      </c>
      <c r="C194" t="s">
        <v>443</v>
      </c>
      <c r="D194" t="s">
        <v>4</v>
      </c>
      <c r="E194">
        <v>0</v>
      </c>
      <c r="F194">
        <v>1</v>
      </c>
      <c r="G194">
        <v>0</v>
      </c>
      <c r="H194">
        <v>0</v>
      </c>
      <c r="I194" t="s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4.3</v>
      </c>
      <c r="AE194">
        <v>656</v>
      </c>
      <c r="AF194">
        <v>0</v>
      </c>
      <c r="AG194">
        <v>0</v>
      </c>
      <c r="AH194">
        <f>0*1</f>
        <v>0</v>
      </c>
      <c r="AI194">
        <f>0*1</f>
        <v>0</v>
      </c>
      <c r="AJ194">
        <v>1</v>
      </c>
      <c r="AK194">
        <v>0</v>
      </c>
      <c r="AL194">
        <v>0</v>
      </c>
    </row>
    <row r="195" spans="1:38" hidden="1" x14ac:dyDescent="0.2">
      <c r="A195" t="s">
        <v>444</v>
      </c>
      <c r="B195" t="s">
        <v>445</v>
      </c>
      <c r="C195" t="s">
        <v>445</v>
      </c>
      <c r="D195" t="s">
        <v>5</v>
      </c>
      <c r="E195">
        <v>0</v>
      </c>
      <c r="F195">
        <v>0</v>
      </c>
      <c r="G195">
        <v>1</v>
      </c>
      <c r="H195">
        <v>0</v>
      </c>
      <c r="I195" t="s">
        <v>30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4.9000000000000004</v>
      </c>
      <c r="AE195">
        <v>658</v>
      </c>
      <c r="AF195">
        <v>58.872373256984027</v>
      </c>
      <c r="AG195">
        <v>53.302060265797003</v>
      </c>
      <c r="AH195">
        <f>48.6575310929843*1</f>
        <v>48.6575310929843</v>
      </c>
      <c r="AI195">
        <f>2.97047376733104*1</f>
        <v>2.9704737673310402</v>
      </c>
      <c r="AJ195">
        <v>1</v>
      </c>
      <c r="AK195">
        <v>0</v>
      </c>
      <c r="AL195">
        <v>0</v>
      </c>
    </row>
    <row r="196" spans="1:38" hidden="1" x14ac:dyDescent="0.2">
      <c r="A196" t="s">
        <v>446</v>
      </c>
      <c r="B196" t="s">
        <v>447</v>
      </c>
      <c r="C196" t="s">
        <v>447</v>
      </c>
      <c r="D196" t="s">
        <v>5</v>
      </c>
      <c r="E196">
        <v>0</v>
      </c>
      <c r="F196">
        <v>0</v>
      </c>
      <c r="G196">
        <v>1</v>
      </c>
      <c r="H196">
        <v>0</v>
      </c>
      <c r="I196" t="s">
        <v>30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5.6</v>
      </c>
      <c r="AE196">
        <v>661</v>
      </c>
      <c r="AF196">
        <v>38.302410976030018</v>
      </c>
      <c r="AG196">
        <v>67.158485449488566</v>
      </c>
      <c r="AH196">
        <f>23.6122510789014*1</f>
        <v>23.612251078901402</v>
      </c>
      <c r="AI196">
        <f>1.40838061777028*1</f>
        <v>1.40838061777028</v>
      </c>
      <c r="AJ196">
        <v>1</v>
      </c>
      <c r="AK196">
        <v>0</v>
      </c>
      <c r="AL196">
        <v>0</v>
      </c>
    </row>
    <row r="197" spans="1:38" hidden="1" x14ac:dyDescent="0.2">
      <c r="A197" t="s">
        <v>448</v>
      </c>
      <c r="B197" t="s">
        <v>449</v>
      </c>
      <c r="C197" t="s">
        <v>449</v>
      </c>
      <c r="D197" t="s">
        <v>4</v>
      </c>
      <c r="E197">
        <v>0</v>
      </c>
      <c r="F197">
        <v>1</v>
      </c>
      <c r="G197">
        <v>0</v>
      </c>
      <c r="H197">
        <v>0</v>
      </c>
      <c r="I197" t="s">
        <v>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4.8</v>
      </c>
      <c r="AE197">
        <v>671</v>
      </c>
      <c r="AF197">
        <v>0</v>
      </c>
      <c r="AG197">
        <v>0</v>
      </c>
      <c r="AH197">
        <f>0*1</f>
        <v>0</v>
      </c>
      <c r="AI197">
        <f>0*1</f>
        <v>0</v>
      </c>
      <c r="AJ197">
        <v>1</v>
      </c>
      <c r="AK197">
        <v>0</v>
      </c>
      <c r="AL197">
        <v>0</v>
      </c>
    </row>
    <row r="198" spans="1:38" hidden="1" x14ac:dyDescent="0.2">
      <c r="A198" t="s">
        <v>450</v>
      </c>
      <c r="B198" t="s">
        <v>451</v>
      </c>
      <c r="C198" t="s">
        <v>451</v>
      </c>
      <c r="D198" t="s">
        <v>5</v>
      </c>
      <c r="E198">
        <v>0</v>
      </c>
      <c r="F198">
        <v>0</v>
      </c>
      <c r="G198">
        <v>1</v>
      </c>
      <c r="H198">
        <v>0</v>
      </c>
      <c r="I198" t="s">
        <v>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4.9000000000000004</v>
      </c>
      <c r="AE198">
        <v>673</v>
      </c>
      <c r="AF198">
        <v>0</v>
      </c>
      <c r="AG198">
        <v>0</v>
      </c>
      <c r="AH198">
        <f>0*1</f>
        <v>0</v>
      </c>
      <c r="AI198">
        <f>0*1</f>
        <v>0</v>
      </c>
      <c r="AJ198">
        <v>1</v>
      </c>
      <c r="AK198">
        <v>0</v>
      </c>
      <c r="AL198">
        <v>0</v>
      </c>
    </row>
    <row r="199" spans="1:38" x14ac:dyDescent="0.2">
      <c r="A199" t="s">
        <v>394</v>
      </c>
      <c r="B199" t="s">
        <v>395</v>
      </c>
      <c r="C199" t="s">
        <v>395</v>
      </c>
      <c r="D199" t="s">
        <v>3</v>
      </c>
      <c r="E199">
        <v>1</v>
      </c>
      <c r="F199">
        <v>0</v>
      </c>
      <c r="G199">
        <v>0</v>
      </c>
      <c r="H199">
        <v>0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4.9000000000000004</v>
      </c>
      <c r="AE199">
        <v>549</v>
      </c>
      <c r="AF199">
        <v>0</v>
      </c>
      <c r="AG199">
        <v>0</v>
      </c>
      <c r="AH199">
        <f>0*1</f>
        <v>0</v>
      </c>
      <c r="AI199">
        <f>0*1</f>
        <v>0</v>
      </c>
      <c r="AJ199">
        <v>1</v>
      </c>
      <c r="AK199">
        <v>1</v>
      </c>
      <c r="AL199">
        <v>1</v>
      </c>
    </row>
    <row r="200" spans="1:38" hidden="1" x14ac:dyDescent="0.2">
      <c r="A200" t="s">
        <v>455</v>
      </c>
      <c r="B200" t="s">
        <v>456</v>
      </c>
      <c r="C200" t="s">
        <v>456</v>
      </c>
      <c r="D200" t="s">
        <v>4</v>
      </c>
      <c r="E200">
        <v>0</v>
      </c>
      <c r="F200">
        <v>1</v>
      </c>
      <c r="G200">
        <v>0</v>
      </c>
      <c r="H200">
        <v>0</v>
      </c>
      <c r="I200" t="s">
        <v>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4.3</v>
      </c>
      <c r="AE200">
        <v>680</v>
      </c>
      <c r="AF200">
        <v>60.728376483474371</v>
      </c>
      <c r="AG200">
        <v>45.065862137763702</v>
      </c>
      <c r="AH200">
        <f>18.1710534891807*1</f>
        <v>18.1710534891807</v>
      </c>
      <c r="AI200">
        <f>0.718005980788383*1</f>
        <v>0.71800598078838296</v>
      </c>
      <c r="AJ200">
        <v>1</v>
      </c>
      <c r="AK200">
        <v>0</v>
      </c>
      <c r="AL200">
        <v>0</v>
      </c>
    </row>
    <row r="201" spans="1:38" hidden="1" x14ac:dyDescent="0.2">
      <c r="A201" t="s">
        <v>457</v>
      </c>
      <c r="B201" t="s">
        <v>458</v>
      </c>
      <c r="C201" t="s">
        <v>458</v>
      </c>
      <c r="D201" t="s">
        <v>5</v>
      </c>
      <c r="E201">
        <v>0</v>
      </c>
      <c r="F201">
        <v>0</v>
      </c>
      <c r="G201">
        <v>1</v>
      </c>
      <c r="H201">
        <v>0</v>
      </c>
      <c r="I201" t="s">
        <v>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4.8</v>
      </c>
      <c r="AE201">
        <v>682</v>
      </c>
      <c r="AF201">
        <v>23.849961555415359</v>
      </c>
      <c r="AG201">
        <v>36.255165544837674</v>
      </c>
      <c r="AH201">
        <f>15.196957840513*1</f>
        <v>15.196957840513001</v>
      </c>
      <c r="AI201">
        <f>0.70045309851384*1</f>
        <v>0.70045309851383997</v>
      </c>
      <c r="AJ201">
        <v>1</v>
      </c>
      <c r="AK201">
        <v>0</v>
      </c>
      <c r="AL201">
        <v>0</v>
      </c>
    </row>
    <row r="202" spans="1:38" hidden="1" x14ac:dyDescent="0.2">
      <c r="A202" t="s">
        <v>459</v>
      </c>
      <c r="B202" t="s">
        <v>460</v>
      </c>
      <c r="C202" t="s">
        <v>461</v>
      </c>
      <c r="D202" t="s">
        <v>5</v>
      </c>
      <c r="E202">
        <v>0</v>
      </c>
      <c r="F202">
        <v>0</v>
      </c>
      <c r="G202">
        <v>1</v>
      </c>
      <c r="H202">
        <v>0</v>
      </c>
      <c r="I202" t="s">
        <v>31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5.3</v>
      </c>
      <c r="AE202">
        <v>686</v>
      </c>
      <c r="AF202">
        <v>0</v>
      </c>
      <c r="AG202">
        <v>0</v>
      </c>
      <c r="AH202">
        <f>0*1</f>
        <v>0</v>
      </c>
      <c r="AI202">
        <f>0*1</f>
        <v>0</v>
      </c>
      <c r="AJ202">
        <v>1</v>
      </c>
      <c r="AK202">
        <v>0</v>
      </c>
      <c r="AL202">
        <v>0</v>
      </c>
    </row>
    <row r="203" spans="1:38" hidden="1" x14ac:dyDescent="0.2">
      <c r="A203" t="s">
        <v>462</v>
      </c>
      <c r="B203" t="s">
        <v>463</v>
      </c>
      <c r="C203" t="s">
        <v>464</v>
      </c>
      <c r="D203" t="s">
        <v>5</v>
      </c>
      <c r="E203">
        <v>0</v>
      </c>
      <c r="F203">
        <v>0</v>
      </c>
      <c r="G203">
        <v>1</v>
      </c>
      <c r="H203">
        <v>0</v>
      </c>
      <c r="I203" t="s">
        <v>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6.1</v>
      </c>
      <c r="AE203">
        <v>688</v>
      </c>
      <c r="AF203">
        <v>53.754180890576912</v>
      </c>
      <c r="AG203">
        <v>72.713914906820378</v>
      </c>
      <c r="AH203">
        <f>24.8028946728708*1</f>
        <v>24.802894672870799</v>
      </c>
      <c r="AI203">
        <f>1.35344461913135*1</f>
        <v>1.3534446191313501</v>
      </c>
      <c r="AJ203">
        <v>1</v>
      </c>
      <c r="AK203">
        <v>0</v>
      </c>
      <c r="AL203">
        <v>0</v>
      </c>
    </row>
    <row r="204" spans="1:38" hidden="1" x14ac:dyDescent="0.2">
      <c r="A204" t="s">
        <v>465</v>
      </c>
      <c r="B204" t="s">
        <v>466</v>
      </c>
      <c r="C204" t="s">
        <v>467</v>
      </c>
      <c r="D204" t="s">
        <v>5</v>
      </c>
      <c r="E204">
        <v>0</v>
      </c>
      <c r="F204">
        <v>0</v>
      </c>
      <c r="G204">
        <v>1</v>
      </c>
      <c r="H204">
        <v>0</v>
      </c>
      <c r="I204" t="s">
        <v>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4.9000000000000004</v>
      </c>
      <c r="AE204">
        <v>691</v>
      </c>
      <c r="AF204">
        <v>41.794825614573</v>
      </c>
      <c r="AG204">
        <v>32.460814977209559</v>
      </c>
      <c r="AH204">
        <f>29.984911685375*1</f>
        <v>29.984911685375</v>
      </c>
      <c r="AI204">
        <f>1.63572893231826*1</f>
        <v>1.63572893231826</v>
      </c>
      <c r="AJ204">
        <v>1</v>
      </c>
      <c r="AK204">
        <v>0</v>
      </c>
      <c r="AL204">
        <v>0</v>
      </c>
    </row>
    <row r="205" spans="1:38" hidden="1" x14ac:dyDescent="0.2">
      <c r="A205" t="s">
        <v>468</v>
      </c>
      <c r="B205" t="s">
        <v>469</v>
      </c>
      <c r="C205" t="s">
        <v>470</v>
      </c>
      <c r="D205" t="s">
        <v>5</v>
      </c>
      <c r="E205">
        <v>0</v>
      </c>
      <c r="F205">
        <v>0</v>
      </c>
      <c r="G205">
        <v>1</v>
      </c>
      <c r="H205">
        <v>0</v>
      </c>
      <c r="I205" t="s">
        <v>31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4.9000000000000004</v>
      </c>
      <c r="AE205">
        <v>695</v>
      </c>
      <c r="AF205">
        <v>41.74137931034484</v>
      </c>
      <c r="AG205">
        <v>37.933364137333207</v>
      </c>
      <c r="AH205">
        <f>36.8237945611727*1</f>
        <v>36.823794561172697</v>
      </c>
      <c r="AI205">
        <f>2.07520108379272*1</f>
        <v>2.0752010837927202</v>
      </c>
      <c r="AJ205">
        <v>1</v>
      </c>
      <c r="AK205">
        <v>0</v>
      </c>
      <c r="AL205">
        <v>0</v>
      </c>
    </row>
    <row r="206" spans="1:38" hidden="1" x14ac:dyDescent="0.2">
      <c r="A206" t="s">
        <v>471</v>
      </c>
      <c r="B206" t="s">
        <v>472</v>
      </c>
      <c r="C206" t="s">
        <v>473</v>
      </c>
      <c r="D206" t="s">
        <v>4</v>
      </c>
      <c r="E206">
        <v>0</v>
      </c>
      <c r="F206">
        <v>1</v>
      </c>
      <c r="G206">
        <v>0</v>
      </c>
      <c r="H206">
        <v>0</v>
      </c>
      <c r="I206" t="s">
        <v>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4.5</v>
      </c>
      <c r="AE206">
        <v>697</v>
      </c>
      <c r="AF206">
        <v>62.653803059255218</v>
      </c>
      <c r="AG206">
        <v>51.390632865021992</v>
      </c>
      <c r="AH206">
        <f>22.3536594537547*1</f>
        <v>22.353659453754702</v>
      </c>
      <c r="AI206">
        <f>1.05570391521833*1</f>
        <v>1.0557039152183301</v>
      </c>
      <c r="AJ206">
        <v>1</v>
      </c>
      <c r="AK206">
        <v>0</v>
      </c>
      <c r="AL206">
        <v>0</v>
      </c>
    </row>
    <row r="207" spans="1:38" hidden="1" x14ac:dyDescent="0.2">
      <c r="A207" t="s">
        <v>474</v>
      </c>
      <c r="B207" t="s">
        <v>475</v>
      </c>
      <c r="C207" t="s">
        <v>476</v>
      </c>
      <c r="D207" t="s">
        <v>4</v>
      </c>
      <c r="E207">
        <v>0</v>
      </c>
      <c r="F207">
        <v>1</v>
      </c>
      <c r="G207">
        <v>0</v>
      </c>
      <c r="H207">
        <v>0</v>
      </c>
      <c r="I207" t="s">
        <v>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4.3</v>
      </c>
      <c r="AE207">
        <v>704</v>
      </c>
      <c r="AF207">
        <v>41.83098591549296</v>
      </c>
      <c r="AG207">
        <v>44.508620382598792</v>
      </c>
      <c r="AH207">
        <f>24.032999325616*1</f>
        <v>24.032999325616</v>
      </c>
      <c r="AI207">
        <f>1.29511779870617*1</f>
        <v>1.2951177987061699</v>
      </c>
      <c r="AJ207">
        <v>1</v>
      </c>
      <c r="AK207">
        <v>0</v>
      </c>
      <c r="AL207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2025-01-13T19:02:49Z</dcterms:created>
  <dcterms:modified xsi:type="dcterms:W3CDTF">2025-01-13T19:39:05Z</dcterms:modified>
</cp:coreProperties>
</file>