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C648A20E-3E33-2243-BC5A-C23A7B2AA71C}" xr6:coauthVersionLast="47" xr6:coauthVersionMax="47" xr10:uidLastSave="{00000000-0000-0000-0000-000000000000}"/>
  <bookViews>
    <workbookView xWindow="46680" yWindow="6240" windowWidth="37340" windowHeight="18540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LUT!$I$2:$I$3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SHU!$I$2:$I$3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LUT!$I$5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SHU!$I$5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0" l="1"/>
  <c r="F6" i="20" s="1"/>
  <c r="D5" i="20"/>
  <c r="D4" i="20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D4" i="18"/>
  <c r="F4" i="18" s="1"/>
  <c r="D3" i="18"/>
  <c r="F3" i="18" s="1"/>
  <c r="D2" i="18"/>
  <c r="F2" i="18" s="1"/>
  <c r="D6" i="17"/>
  <c r="F6" i="17" s="1"/>
  <c r="D5" i="17"/>
  <c r="F5" i="17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D15" i="15"/>
  <c r="F15" i="15" s="1"/>
  <c r="D14" i="15"/>
  <c r="F14" i="15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5" i="12"/>
  <c r="F5" i="12" s="1"/>
  <c r="D4" i="12"/>
  <c r="F4" i="12" s="1"/>
  <c r="D3" i="12"/>
  <c r="F3" i="12" s="1"/>
  <c r="D2" i="12"/>
  <c r="F2" i="12" s="1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4" i="10"/>
  <c r="F14" i="10" s="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3" i="9"/>
  <c r="F13" i="9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6" i="6"/>
  <c r="F6" i="6" s="1"/>
  <c r="D5" i="6"/>
  <c r="D4" i="6"/>
  <c r="F4" i="6" s="1"/>
  <c r="D3" i="6"/>
  <c r="F3" i="6" s="1"/>
  <c r="D2" i="6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D13" i="2"/>
  <c r="F13" i="2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I5" i="19" a="1"/>
  <c r="I5" i="19" s="1"/>
  <c r="I5" i="18" a="1"/>
  <c r="I5" i="18" s="1"/>
  <c r="I5" i="17" a="1"/>
  <c r="I5" i="17" s="1"/>
  <c r="I5" i="16" a="1"/>
  <c r="I5" i="16" s="1"/>
  <c r="F2" i="16"/>
  <c r="I7" i="16" s="1"/>
  <c r="I5" i="15" a="1"/>
  <c r="I5" i="15" s="1"/>
  <c r="F2" i="15"/>
  <c r="I7" i="15" s="1"/>
  <c r="I5" i="14" a="1"/>
  <c r="I5" i="14" s="1"/>
  <c r="F2" i="14"/>
  <c r="I7" i="14" s="1"/>
  <c r="I5" i="13" a="1"/>
  <c r="I5" i="13" s="1"/>
  <c r="I7" i="12"/>
  <c r="I5" i="12" a="1"/>
  <c r="I5" i="12" s="1"/>
  <c r="I7" i="11"/>
  <c r="I5" i="11" a="1"/>
  <c r="I5" i="11" s="1"/>
  <c r="I7" i="10"/>
  <c r="I5" i="10" a="1"/>
  <c r="I5" i="10" s="1"/>
  <c r="I5" i="9" a="1"/>
  <c r="I5" i="9" s="1"/>
  <c r="F2" i="9"/>
  <c r="I5" i="8" a="1"/>
  <c r="I5" i="8" s="1"/>
  <c r="I5" i="7" a="1"/>
  <c r="I5" i="7" s="1"/>
  <c r="I5" i="6" a="1"/>
  <c r="I5" i="6" s="1"/>
  <c r="F2" i="6"/>
  <c r="I7" i="5"/>
  <c r="I5" i="5" a="1"/>
  <c r="I5" i="5" s="1"/>
  <c r="I5" i="4" a="1"/>
  <c r="I5" i="4" s="1"/>
  <c r="I5" i="3" a="1"/>
  <c r="I5" i="3" s="1"/>
  <c r="F2" i="3"/>
  <c r="I7" i="3" s="1"/>
  <c r="I5" i="2" a="1"/>
  <c r="I5" i="2" s="1"/>
  <c r="F2" i="2"/>
  <c r="I7" i="2" s="1"/>
  <c r="I5" i="1" a="1"/>
  <c r="I5" i="1" s="1"/>
  <c r="I7" i="8"/>
  <c r="I7" i="17"/>
  <c r="I7" i="19"/>
  <c r="I7" i="4"/>
  <c r="I7" i="7"/>
  <c r="I7" i="1"/>
  <c r="I7" i="13"/>
  <c r="F5" i="9"/>
  <c r="F5" i="18"/>
  <c r="I7" i="18" s="1"/>
  <c r="F5" i="20"/>
  <c r="I7" i="20" s="1"/>
  <c r="F5" i="6"/>
  <c r="I7" i="9" l="1"/>
  <c r="I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<sst xmlns="http://schemas.openxmlformats.org/spreadsheetml/2006/main" count="390" uniqueCount="198">
  <si>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</si>
  <si>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</si>
  <si>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</si>
  <si>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</si>
  <si>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</si>
  <si>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</si>
  <si>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</si>
  <si>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</si>
  <si>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</si>
  <si>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</si>
  <si>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</si>
  <si>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</si>
  <si>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</si>
  <si>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</si>
  <si>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</si>
  <si>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</si>
  <si>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</si>
  <si>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</si>
  <si>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</si>
  <si>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</si>
  <si>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</si>
  <si>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</si>
  <si>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</si>
  <si>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</si>
  <si>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</si>
  <si>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</si>
  <si>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</si>
  <si>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</si>
  <si>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</si>
  <si>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</si>
  <si>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</si>
  <si>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Diego Carlos</t>
  </si>
  <si>
    <t>Cash</t>
  </si>
  <si>
    <t>Martinez</t>
  </si>
  <si>
    <t>Diaby</t>
  </si>
  <si>
    <t>Pau</t>
  </si>
  <si>
    <t>Billing</t>
  </si>
  <si>
    <t>L.Cook</t>
  </si>
  <si>
    <t>Solanke</t>
  </si>
  <si>
    <t>Kelly</t>
  </si>
  <si>
    <t>Christie</t>
  </si>
  <si>
    <t>Tavernier</t>
  </si>
  <si>
    <t>Senesi</t>
  </si>
  <si>
    <t>Neto</t>
  </si>
  <si>
    <t>Semenyo</t>
  </si>
  <si>
    <t>Zabarnyi</t>
  </si>
  <si>
    <t>Kerkez</t>
  </si>
  <si>
    <t>Mee</t>
  </si>
  <si>
    <t>Maupay</t>
  </si>
  <si>
    <t>Nørgaard</t>
  </si>
  <si>
    <t>Pinnock</t>
  </si>
  <si>
    <t>Janelt</t>
  </si>
  <si>
    <t>Mbeumo</t>
  </si>
  <si>
    <t>Wissa</t>
  </si>
  <si>
    <t>Jensen</t>
  </si>
  <si>
    <t>Collins</t>
  </si>
  <si>
    <t>Hickey</t>
  </si>
  <si>
    <t>Flekken</t>
  </si>
  <si>
    <t>Gross</t>
  </si>
  <si>
    <t>João Pedro</t>
  </si>
  <si>
    <t>Steele</t>
  </si>
  <si>
    <t>Ferguson</t>
  </si>
  <si>
    <t>Mitoma</t>
  </si>
  <si>
    <t>Adingra</t>
  </si>
  <si>
    <t>Taylor</t>
  </si>
  <si>
    <t>Brownhill</t>
  </si>
  <si>
    <t>Koleosho</t>
  </si>
  <si>
    <t>Trafford</t>
  </si>
  <si>
    <t>Amdouni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</si>
  <si>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</si>
  <si>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</si>
  <si>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</si>
  <si>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</si>
  <si>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</si>
  <si>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</si>
  <si>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</si>
  <si>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</si>
  <si>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N.Jackson</t>
  </si>
  <si>
    <t>Disasi</t>
  </si>
  <si>
    <t>Schlupp</t>
  </si>
  <si>
    <t>Hughes</t>
  </si>
  <si>
    <t>Ward</t>
  </si>
  <si>
    <t>J.Ayew</t>
  </si>
  <si>
    <t>Mitchell</t>
  </si>
  <si>
    <t>Eze</t>
  </si>
  <si>
    <t>Johnstone</t>
  </si>
  <si>
    <t>Mateta</t>
  </si>
  <si>
    <t>Guéhi</t>
  </si>
  <si>
    <t>Edouard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</si>
  <si>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</si>
  <si>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</si>
  <si>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</si>
  <si>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</si>
  <si>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</si>
  <si>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</si>
  <si>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</si>
  <si>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</si>
  <si>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</si>
  <si>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</si>
  <si>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</si>
  <si>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Patterson</t>
  </si>
  <si>
    <t>Onana</t>
  </si>
  <si>
    <t>Raúl</t>
  </si>
  <si>
    <t>Cairney</t>
  </si>
  <si>
    <t>Iwobi</t>
  </si>
  <si>
    <t>Diop</t>
  </si>
  <si>
    <t>Leno</t>
  </si>
  <si>
    <t>Ream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</si>
  <si>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</si>
  <si>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</si>
  <si>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</si>
  <si>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</si>
  <si>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</si>
  <si>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</si>
  <si>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</si>
  <si>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</si>
  <si>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</si>
  <si>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</si>
  <si>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</si>
  <si>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</si>
  <si>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</si>
  <si>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</si>
  <si>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</si>
  <si>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</si>
  <si>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Szoboszlai</t>
  </si>
  <si>
    <t>Gomez</t>
  </si>
  <si>
    <t>Kaminski</t>
  </si>
  <si>
    <t>Adebayo</t>
  </si>
  <si>
    <t>Morris</t>
  </si>
  <si>
    <t>Brown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</si>
  <si>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</si>
  <si>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</si>
  <si>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</si>
  <si>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</si>
  <si>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</si>
  <si>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</si>
  <si>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</si>
  <si>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</si>
  <si>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Akanji</t>
  </si>
  <si>
    <t>Gvardiol</t>
  </si>
  <si>
    <t>Eriksen</t>
  </si>
  <si>
    <t>Maguire</t>
  </si>
  <si>
    <t>Rashford</t>
  </si>
  <si>
    <t>McTominay</t>
  </si>
  <si>
    <t>Lindelof</t>
  </si>
  <si>
    <t>Martial</t>
  </si>
  <si>
    <t>Evans</t>
  </si>
  <si>
    <t>B.Fernandes</t>
  </si>
  <si>
    <t>Dalot</t>
  </si>
  <si>
    <t>Garnacho</t>
  </si>
  <si>
    <t>Lascelles</t>
  </si>
  <si>
    <t>Trippier</t>
  </si>
  <si>
    <t>Schär</t>
  </si>
  <si>
    <t>Longstaff</t>
  </si>
  <si>
    <t>Burn</t>
  </si>
  <si>
    <t>Joelinton</t>
  </si>
  <si>
    <t>Pope</t>
  </si>
  <si>
    <t>Gordon</t>
  </si>
  <si>
    <t>Anderson</t>
  </si>
  <si>
    <t>Livramento</t>
  </si>
  <si>
    <t>Bruno G.</t>
  </si>
  <si>
    <t>Almirón</t>
  </si>
  <si>
    <t>Isak</t>
  </si>
  <si>
    <t>Wood</t>
  </si>
  <si>
    <t>Gibbs-White</t>
  </si>
  <si>
    <t>Boly</t>
  </si>
  <si>
    <t>Elanga</t>
  </si>
  <si>
    <t>Mangala</t>
  </si>
  <si>
    <t>Awoniyi</t>
  </si>
  <si>
    <t>Toffolo</t>
  </si>
  <si>
    <t>Norwood</t>
  </si>
  <si>
    <t>Archer</t>
  </si>
  <si>
    <t>McAtee</t>
  </si>
  <si>
    <t>Foderingham</t>
  </si>
  <si>
    <t>Hamer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</si>
  <si>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</si>
  <si>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</si>
  <si>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</si>
  <si>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</si>
  <si>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</si>
  <si>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</si>
  <si>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</si>
  <si>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</si>
  <si>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Udogie</t>
  </si>
  <si>
    <t>Vicario</t>
  </si>
  <si>
    <t>Antonio</t>
  </si>
  <si>
    <t>Ward-Prowse</t>
  </si>
  <si>
    <t>Zouma</t>
  </si>
  <si>
    <t>Bowen</t>
  </si>
  <si>
    <t>Areola</t>
  </si>
  <si>
    <t>L.Paquetá</t>
  </si>
  <si>
    <t>Coufal</t>
  </si>
  <si>
    <t>Souček</t>
  </si>
  <si>
    <t>Lemina</t>
  </si>
  <si>
    <t>José Sá</t>
  </si>
  <si>
    <t>Toti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</si>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</sst>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 totalsRowShown="0">
  <autoFilter ref="A1:F15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3" totalsRowShown="0">
  <autoFilter ref="A1:F13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2" totalsRowShown="0">
  <autoFilter ref="A1:F12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 totalsRowShown="0">
  <autoFilter ref="A1:F12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 totalsRowShown="0">
  <autoFilter ref="A1:F7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6" totalsRowShown="0">
  <autoFilter ref="A1:F6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11" totalsRowShown="0">
  <autoFilter ref="A1:F11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2" totalsRowShown="0">
  <autoFilter ref="A1:F12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3" totalsRowShown="0">
  <autoFilter ref="A1:F13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4" totalsRowShown="0">
  <autoFilter ref="A1:F14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2" totalsRowShown="0">
  <autoFilter ref="A1:F12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5" totalsRowShown="0">
  <autoFilter ref="A1:F5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2" totalsRowShown="0">
  <autoFilter ref="A1:F12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5" totalsRowShown="0">
  <autoFilter ref="A1:F15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 totalsRowShown="0">
  <autoFilter ref="A1:F8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6" totalsRowShown="0">
  <autoFilter ref="A1:F6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1" totalsRowShown="0">
  <autoFilter ref="A1:F11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 totalsRowShown="0">
  <autoFilter ref="A1:F9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6" totalsRowShown="0">
  <autoFilter ref="A1:F6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28.089334684838349</v>
      </c>
      <c r="C2">
        <v>27.986111111111111</v>
      </c>
      <c r="D2">
        <f>TableARS[[#This Row],[ARIMAPP]]*$I$2+TableARS[[#This Row],[LSTMPP]]*$I$3</f>
        <v>29.79864773711617</v>
      </c>
      <c r="E2">
        <v>40</v>
      </c>
      <c r="F2">
        <f>ABS(TableARS[[#This Row],[PP]]-TableARS[[#This Row],[AP]])</f>
        <v>10.20135226288383</v>
      </c>
      <c r="H2" t="s">
        <v>0</v>
      </c>
      <c r="I2">
        <v>0.55156078043611401</v>
      </c>
    </row>
    <row r="3" spans="1:9" x14ac:dyDescent="0.2">
      <c r="A3" t="s">
        <v>11</v>
      </c>
      <c r="B3">
        <v>41.056338028169023</v>
      </c>
      <c r="C3">
        <v>40.26025006721747</v>
      </c>
      <c r="D3">
        <f>TableARS[[#This Row],[ARIMAPP]]*$I$2+TableARS[[#This Row],[LSTMPP]]*$I$3</f>
        <v>43.22491507657675</v>
      </c>
      <c r="E3">
        <v>37</v>
      </c>
      <c r="F3">
        <f>ABS(TableARS[[#This Row],[PP]]-TableARS[[#This Row],[AP]])</f>
        <v>6.2249150765767496</v>
      </c>
      <c r="H3" t="s">
        <v>1</v>
      </c>
      <c r="I3">
        <v>0.51117042734586482</v>
      </c>
    </row>
    <row r="4" spans="1:9" x14ac:dyDescent="0.2">
      <c r="A4" t="s">
        <v>12</v>
      </c>
      <c r="B4">
        <v>32.446808510638299</v>
      </c>
      <c r="C4">
        <v>30.733333333333341</v>
      </c>
      <c r="D4">
        <f>TableARS[[#This Row],[ARIMAPP]]*$I$2+TableARS[[#This Row],[LSTMPP]]*$I$3</f>
        <v>33.606358158551721</v>
      </c>
      <c r="E4">
        <v>50</v>
      </c>
      <c r="F4">
        <f>ABS(TableARS[[#This Row],[PP]]-TableARS[[#This Row],[AP]])</f>
        <v>16.393641841448279</v>
      </c>
    </row>
    <row r="5" spans="1:9" x14ac:dyDescent="0.2">
      <c r="A5" t="s">
        <v>13</v>
      </c>
      <c r="B5">
        <v>56.442890764581087</v>
      </c>
      <c r="C5">
        <v>40.463338924296423</v>
      </c>
      <c r="D5">
        <f>TableARS[[#This Row],[ARIMAPP]]*$I$2+TableARS[[#This Row],[LSTMPP]]*$I$3</f>
        <v>51.815347129955839</v>
      </c>
      <c r="E5">
        <v>53</v>
      </c>
      <c r="F5">
        <f>ABS(TableARS[[#This Row],[PP]]-TableARS[[#This Row],[AP]])</f>
        <v>1.184652870044161</v>
      </c>
      <c r="H5" t="s">
        <v>2</v>
      </c>
      <c r="I5" cm="1">
        <f t="array" ref="I5">(SUM(TableARS[PP]-TableARS[AP]))^2</f>
        <v>8.0779356694631609E-28</v>
      </c>
    </row>
    <row r="6" spans="1:9" x14ac:dyDescent="0.2">
      <c r="A6" t="s">
        <v>14</v>
      </c>
      <c r="B6">
        <v>40.91010380829249</v>
      </c>
      <c r="C6">
        <v>39.803883169698707</v>
      </c>
      <c r="D6">
        <f>TableARS[[#This Row],[ARIMAPP]]*$I$2+TableARS[[#This Row],[LSTMPP]]*$I$3</f>
        <v>42.910976754104013</v>
      </c>
      <c r="E6">
        <v>30</v>
      </c>
      <c r="F6">
        <f>ABS(TableARS[[#This Row],[PP]]-TableARS[[#This Row],[AP]])</f>
        <v>12.910976754104013</v>
      </c>
    </row>
    <row r="7" spans="1:9" x14ac:dyDescent="0.2">
      <c r="A7" t="s">
        <v>15</v>
      </c>
      <c r="B7">
        <v>32.043010752688161</v>
      </c>
      <c r="C7">
        <v>30.743243243243231</v>
      </c>
      <c r="D7">
        <f>TableARS[[#This Row],[ARIMAPP]]*$I$2+TableARS[[#This Row],[LSTMPP]]*$I$3</f>
        <v>33.388704804921986</v>
      </c>
      <c r="E7">
        <v>34</v>
      </c>
      <c r="F7">
        <f>ABS(TableARS[[#This Row],[PP]]-TableARS[[#This Row],[AP]])</f>
        <v>0.61129519507801433</v>
      </c>
      <c r="H7" t="s">
        <v>3</v>
      </c>
      <c r="I7">
        <f>AVERAGE(TableARS[DIFF])/10</f>
        <v>0.74256772052102726</v>
      </c>
    </row>
    <row r="8" spans="1:9" x14ac:dyDescent="0.2">
      <c r="A8" t="s">
        <v>16</v>
      </c>
      <c r="B8">
        <v>55.489514732719208</v>
      </c>
      <c r="C8">
        <v>43.929260629412227</v>
      </c>
      <c r="D8">
        <f>TableARS[[#This Row],[ARIMAPP]]*$I$2+TableARS[[#This Row],[LSTMPP]]*$I$3</f>
        <v>53.061178980924375</v>
      </c>
      <c r="E8">
        <v>49</v>
      </c>
      <c r="F8">
        <f>ABS(TableARS[[#This Row],[PP]]-TableARS[[#This Row],[AP]])</f>
        <v>4.0611789809243746</v>
      </c>
    </row>
    <row r="9" spans="1:9" x14ac:dyDescent="0.2">
      <c r="A9" t="s">
        <v>17</v>
      </c>
      <c r="B9">
        <v>42.258064516129032</v>
      </c>
      <c r="C9">
        <v>35.457646823292912</v>
      </c>
      <c r="D9">
        <f>TableARS[[#This Row],[ARIMAPP]]*$I$2+TableARS[[#This Row],[LSTMPP]]*$I$3</f>
        <v>41.432791523577166</v>
      </c>
      <c r="E9">
        <v>36</v>
      </c>
      <c r="F9">
        <f>ABS(TableARS[[#This Row],[PP]]-TableARS[[#This Row],[AP]])</f>
        <v>5.4327915235771655</v>
      </c>
    </row>
    <row r="10" spans="1:9" x14ac:dyDescent="0.2">
      <c r="A10" t="s">
        <v>18</v>
      </c>
      <c r="B10">
        <v>15.8265845102394</v>
      </c>
      <c r="C10">
        <v>28.382352941176482</v>
      </c>
      <c r="D10">
        <f>TableARS[[#This Row],[ARIMAPP]]*$I$2+TableARS[[#This Row],[LSTMPP]]*$I$3</f>
        <v>23.237542786128103</v>
      </c>
      <c r="E10">
        <v>34</v>
      </c>
      <c r="F10">
        <f>ABS(TableARS[[#This Row],[PP]]-TableARS[[#This Row],[AP]])</f>
        <v>10.762457213871897</v>
      </c>
    </row>
    <row r="11" spans="1:9" x14ac:dyDescent="0.2">
      <c r="A11" t="s">
        <v>19</v>
      </c>
      <c r="B11">
        <v>42.446039492493597</v>
      </c>
      <c r="C11">
        <v>36.259020051620148</v>
      </c>
      <c r="D11">
        <f>TableARS[[#This Row],[ARIMAPP]]*$I$2+TableARS[[#This Row],[LSTMPP]]*$I$3</f>
        <v>41.946109443830835</v>
      </c>
      <c r="E11">
        <v>43</v>
      </c>
      <c r="F11">
        <f>ABS(TableARS[[#This Row],[PP]]-TableARS[[#This Row],[AP]])</f>
        <v>1.0538905561691649</v>
      </c>
    </row>
    <row r="12" spans="1:9" x14ac:dyDescent="0.2">
      <c r="A12" t="s">
        <v>20</v>
      </c>
      <c r="B12">
        <v>40.054972457983268</v>
      </c>
      <c r="C12">
        <v>35</v>
      </c>
      <c r="D12">
        <f>TableARS[[#This Row],[ARIMAPP]]*$I$2+TableARS[[#This Row],[LSTMPP]]*$I$3</f>
        <v>39.983716826377574</v>
      </c>
      <c r="E12">
        <v>44</v>
      </c>
      <c r="F12">
        <f>ABS(TableARS[[#This Row],[PP]]-TableARS[[#This Row],[AP]])</f>
        <v>4.0162831736224263</v>
      </c>
    </row>
    <row r="13" spans="1:9" x14ac:dyDescent="0.2">
      <c r="A13" t="s">
        <v>21</v>
      </c>
      <c r="B13">
        <v>51.538461538461547</v>
      </c>
      <c r="C13">
        <v>51.498520528573287</v>
      </c>
      <c r="D13">
        <f>TableARS[[#This Row],[ARIMAPP]]*$I$2+TableARS[[#This Row],[LSTMPP]]*$I$3</f>
        <v>54.751114814901101</v>
      </c>
      <c r="E13">
        <v>32</v>
      </c>
      <c r="F13">
        <f>ABS(TableARS[[#This Row],[PP]]-TableARS[[#This Row],[AP]])</f>
        <v>22.751114814901101</v>
      </c>
    </row>
    <row r="14" spans="1:9" x14ac:dyDescent="0.2">
      <c r="A14" t="s">
        <v>22</v>
      </c>
      <c r="B14">
        <v>24.411764705882351</v>
      </c>
      <c r="C14">
        <v>25</v>
      </c>
      <c r="D14">
        <f>TableARS[[#This Row],[ARIMAPP]]*$I$2+TableARS[[#This Row],[LSTMPP]]*$I$3</f>
        <v>26.243832676645873</v>
      </c>
      <c r="E14">
        <v>34</v>
      </c>
      <c r="F14">
        <f>ABS(TableARS[[#This Row],[PP]]-TableARS[[#This Row],[AP]])</f>
        <v>7.7561673233541271</v>
      </c>
    </row>
    <row r="15" spans="1:9" x14ac:dyDescent="0.2">
      <c r="A15" t="s">
        <v>23</v>
      </c>
      <c r="B15">
        <v>35.365853658536601</v>
      </c>
      <c r="C15">
        <v>33.437664871273483</v>
      </c>
      <c r="D15">
        <f>TableARS[[#This Row],[ARIMAPP]]*$I$2+TableARS[[#This Row],[LSTMPP]]*$I$3</f>
        <v>36.598763286388525</v>
      </c>
      <c r="E15">
        <v>36</v>
      </c>
      <c r="F15">
        <f>ABS(TableARS[[#This Row],[PP]]-TableARS[[#This Row],[AP]])</f>
        <v>0.59876328638852527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24</v>
      </c>
      <c r="B2">
        <v>27.68925587951037</v>
      </c>
      <c r="C2">
        <v>34.513756199628212</v>
      </c>
      <c r="D2">
        <f>TableAVL[[#This Row],[ARIMAPP]]*$I$2+TableAVL[[#This Row],[LSTMPP]]*$I$3</f>
        <v>33.918712655078522</v>
      </c>
      <c r="E2">
        <v>24</v>
      </c>
      <c r="F2">
        <f>ABS(TableAVL[[#This Row],[PP]]-TableAVL[[#This Row],[AP]])</f>
        <v>9.9187126550785223</v>
      </c>
      <c r="H2" t="s">
        <v>0</v>
      </c>
      <c r="I2">
        <v>0.55994194656290897</v>
      </c>
    </row>
    <row r="3" spans="1:9" x14ac:dyDescent="0.2">
      <c r="A3" t="s">
        <v>25</v>
      </c>
      <c r="B3">
        <v>32.894736842105253</v>
      </c>
      <c r="C3">
        <v>35.473821542590677</v>
      </c>
      <c r="D3">
        <f>TableAVL[[#This Row],[ARIMAPP]]*$I$2+TableAVL[[#This Row],[LSTMPP]]*$I$3</f>
        <v>37.345709370862146</v>
      </c>
      <c r="E3">
        <v>23</v>
      </c>
      <c r="F3">
        <f>ABS(TableAVL[[#This Row],[PP]]-TableAVL[[#This Row],[AP]])</f>
        <v>14.345709370862146</v>
      </c>
      <c r="H3" t="s">
        <v>1</v>
      </c>
      <c r="I3">
        <v>0.53353615620734374</v>
      </c>
    </row>
    <row r="4" spans="1:9" x14ac:dyDescent="0.2">
      <c r="A4" t="s">
        <v>26</v>
      </c>
      <c r="B4">
        <v>42.366257171507513</v>
      </c>
      <c r="C4">
        <v>26.891891891891891</v>
      </c>
      <c r="D4">
        <f>TableAVL[[#This Row],[ARIMAPP]]*$I$2+TableAVL[[#This Row],[LSTMPP]]*$I$3</f>
        <v>38.070441142342155</v>
      </c>
      <c r="E4">
        <v>50</v>
      </c>
      <c r="F4">
        <f>ABS(TableAVL[[#This Row],[PP]]-TableAVL[[#This Row],[AP]])</f>
        <v>11.929558857657845</v>
      </c>
    </row>
    <row r="5" spans="1:9" x14ac:dyDescent="0.2">
      <c r="A5" t="s">
        <v>27</v>
      </c>
      <c r="B5">
        <v>29.62686567164177</v>
      </c>
      <c r="C5">
        <v>29.485981308411208</v>
      </c>
      <c r="D5">
        <f>TableAVL[[#This Row],[ARIMAPP]]*$I$2+TableAVL[[#This Row],[LSTMPP]]*$I$3</f>
        <v>32.321161964028221</v>
      </c>
      <c r="E5">
        <v>43</v>
      </c>
      <c r="F5">
        <f>ABS(TableAVL[[#This Row],[PP]]-TableAVL[[#This Row],[AP]])</f>
        <v>10.678838035971779</v>
      </c>
      <c r="H5" t="s">
        <v>2</v>
      </c>
      <c r="I5" cm="1">
        <f t="array" ref="I5">(SUM(TableAVL[PP]-TableAVL[AP]))^2</f>
        <v>1.374511241257091E-26</v>
      </c>
    </row>
    <row r="6" spans="1:9" x14ac:dyDescent="0.2">
      <c r="A6" t="s">
        <v>28</v>
      </c>
      <c r="B6">
        <v>28.527131782945752</v>
      </c>
      <c r="C6">
        <v>28.640776699029121</v>
      </c>
      <c r="D6">
        <f>TableAVL[[#This Row],[ARIMAPP]]*$I$2+TableAVL[[#This Row],[LSTMPP]]*$I$3</f>
        <v>31.254427611192124</v>
      </c>
      <c r="E6">
        <v>30</v>
      </c>
      <c r="F6">
        <f>ABS(TableAVL[[#This Row],[PP]]-TableAVL[[#This Row],[AP]])</f>
        <v>1.2544276111921242</v>
      </c>
    </row>
    <row r="7" spans="1:9" x14ac:dyDescent="0.2">
      <c r="A7" t="s">
        <v>29</v>
      </c>
      <c r="B7">
        <v>44.999999999999979</v>
      </c>
      <c r="C7">
        <v>41.280059963855358</v>
      </c>
      <c r="D7">
        <f>TableAVL[[#This Row],[ARIMAPP]]*$I$2+TableAVL[[#This Row],[LSTMPP]]*$I$3</f>
        <v>47.221792116454935</v>
      </c>
      <c r="E7">
        <v>54</v>
      </c>
      <c r="F7">
        <f>ABS(TableAVL[[#This Row],[PP]]-TableAVL[[#This Row],[AP]])</f>
        <v>6.7782078835450648</v>
      </c>
      <c r="H7" t="s">
        <v>3</v>
      </c>
      <c r="I7">
        <f>AVERAGE(TableAVL[DIFF])/10</f>
        <v>0.88479346167675621</v>
      </c>
    </row>
    <row r="8" spans="1:9" x14ac:dyDescent="0.2">
      <c r="A8" t="s">
        <v>30</v>
      </c>
      <c r="B8">
        <v>28.72727272727272</v>
      </c>
      <c r="C8">
        <v>28.409090909090899</v>
      </c>
      <c r="D8">
        <f>TableAVL[[#This Row],[ARIMAPP]]*$I$2+TableAVL[[#This Row],[LSTMPP]]*$I$3</f>
        <v>31.242882175334007</v>
      </c>
      <c r="E8">
        <v>40</v>
      </c>
      <c r="F8">
        <f>ABS(TableAVL[[#This Row],[PP]]-TableAVL[[#This Row],[AP]])</f>
        <v>8.7571178246659933</v>
      </c>
    </row>
    <row r="9" spans="1:9" x14ac:dyDescent="0.2">
      <c r="A9" t="s">
        <v>31</v>
      </c>
      <c r="B9">
        <v>9.9999999992925126</v>
      </c>
      <c r="C9">
        <v>17.5</v>
      </c>
      <c r="D9">
        <f>TableAVL[[#This Row],[ARIMAPP]]*$I$2+TableAVL[[#This Row],[LSTMPP]]*$I$3</f>
        <v>14.936302198861453</v>
      </c>
      <c r="E9">
        <v>24</v>
      </c>
      <c r="F9">
        <f>ABS(TableAVL[[#This Row],[PP]]-TableAVL[[#This Row],[AP]])</f>
        <v>9.063697801138547</v>
      </c>
    </row>
    <row r="10" spans="1:9" x14ac:dyDescent="0.2">
      <c r="A10" t="s">
        <v>32</v>
      </c>
      <c r="B10">
        <v>26.5625</v>
      </c>
      <c r="C10">
        <v>26</v>
      </c>
      <c r="D10">
        <f>TableAVL[[#This Row],[ARIMAPP]]*$I$2+TableAVL[[#This Row],[LSTMPP]]*$I$3</f>
        <v>28.745398016968206</v>
      </c>
      <c r="E10">
        <v>21</v>
      </c>
      <c r="F10">
        <f>ABS(TableAVL[[#This Row],[PP]]-TableAVL[[#This Row],[AP]])</f>
        <v>7.7453980169682062</v>
      </c>
    </row>
    <row r="11" spans="1:9" x14ac:dyDescent="0.2">
      <c r="A11" t="s">
        <v>33</v>
      </c>
      <c r="B11">
        <v>35.79328278647386</v>
      </c>
      <c r="C11">
        <v>32.03125</v>
      </c>
      <c r="D11">
        <f>TableAVL[[#This Row],[ARIMAPP]]*$I$2+TableAVL[[#This Row],[LSTMPP]]*$I$3</f>
        <v>37.131990440851311</v>
      </c>
      <c r="E11">
        <v>36</v>
      </c>
      <c r="F11">
        <f>ABS(TableAVL[[#This Row],[PP]]-TableAVL[[#This Row],[AP]])</f>
        <v>1.1319904408513111</v>
      </c>
    </row>
    <row r="12" spans="1:9" x14ac:dyDescent="0.2">
      <c r="A12" t="s">
        <v>34</v>
      </c>
      <c r="B12">
        <v>54.082126246890191</v>
      </c>
      <c r="C12">
        <v>42.000000000000007</v>
      </c>
      <c r="D12">
        <f>TableAVL[[#This Row],[ARIMAPP]]*$I$2+TableAVL[[#This Row],[LSTMPP]]*$I$3</f>
        <v>52.691369605653122</v>
      </c>
      <c r="E12">
        <v>34</v>
      </c>
      <c r="F12">
        <f>ABS(TableAVL[[#This Row],[PP]]-TableAVL[[#This Row],[AP]])</f>
        <v>18.691369605653122</v>
      </c>
    </row>
    <row r="13" spans="1:9" x14ac:dyDescent="0.2">
      <c r="A13" t="s">
        <v>35</v>
      </c>
      <c r="B13">
        <v>30</v>
      </c>
      <c r="C13">
        <v>30.591280676287909</v>
      </c>
      <c r="D13">
        <f>TableAVL[[#This Row],[ARIMAPP]]*$I$2+TableAVL[[#This Row],[LSTMPP]]*$I$3</f>
        <v>33.119812702373913</v>
      </c>
      <c r="E13">
        <v>39</v>
      </c>
      <c r="F13">
        <f>ABS(TableAVL[[#This Row],[PP]]-TableAVL[[#This Row],[AP]])</f>
        <v>5.8801872976260867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36</v>
      </c>
      <c r="B2">
        <v>26.45015244114623</v>
      </c>
      <c r="C2">
        <v>26.875</v>
      </c>
      <c r="D2">
        <f>TableBOU[[#This Row],[ARIMAPP]]*$I$2+TableBOU[[#This Row],[LSTMPP]]*$I$3</f>
        <v>31.149190177955838</v>
      </c>
      <c r="E2">
        <v>32</v>
      </c>
      <c r="F2">
        <f>ABS(TableBOU[[#This Row],[PP]]-TableBOU[[#This Row],[AP]])</f>
        <v>0.85080982204416244</v>
      </c>
      <c r="H2" t="s">
        <v>0</v>
      </c>
      <c r="I2">
        <v>0.58288097500394098</v>
      </c>
    </row>
    <row r="3" spans="1:9" x14ac:dyDescent="0.2">
      <c r="A3" t="s">
        <v>37</v>
      </c>
      <c r="B3">
        <v>16.693006479535889</v>
      </c>
      <c r="C3">
        <v>23.660714285714281</v>
      </c>
      <c r="D3">
        <f>TableBOU[[#This Row],[ARIMAPP]]*$I$2+TableBOU[[#This Row],[LSTMPP]]*$I$3</f>
        <v>23.580379336144556</v>
      </c>
      <c r="E3">
        <v>24</v>
      </c>
      <c r="F3">
        <f>ABS(TableBOU[[#This Row],[PP]]-TableBOU[[#This Row],[AP]])</f>
        <v>0.41962066385544361</v>
      </c>
      <c r="H3" t="s">
        <v>1</v>
      </c>
      <c r="I3">
        <v>0.58537300591842434</v>
      </c>
    </row>
    <row r="4" spans="1:9" x14ac:dyDescent="0.2">
      <c r="A4" t="s">
        <v>38</v>
      </c>
      <c r="B4">
        <v>41.106100203432632</v>
      </c>
      <c r="C4">
        <v>27.1875</v>
      </c>
      <c r="D4">
        <f>TableBOU[[#This Row],[ARIMAPP]]*$I$2+TableBOU[[#This Row],[LSTMPP]]*$I$3</f>
        <v>39.87479236359367</v>
      </c>
      <c r="E4">
        <v>44</v>
      </c>
      <c r="F4">
        <f>ABS(TableBOU[[#This Row],[PP]]-TableBOU[[#This Row],[AP]])</f>
        <v>4.1252076364063299</v>
      </c>
    </row>
    <row r="5" spans="1:9" x14ac:dyDescent="0.2">
      <c r="A5" t="s">
        <v>39</v>
      </c>
      <c r="B5">
        <v>23.103448275862061</v>
      </c>
      <c r="C5">
        <v>26.739130434782609</v>
      </c>
      <c r="D5">
        <f>TableBOU[[#This Row],[ARIMAPP]]*$I$2+TableBOU[[#This Row],[LSTMPP]]*$I$3</f>
        <v>29.118925615241118</v>
      </c>
      <c r="E5">
        <v>22</v>
      </c>
      <c r="F5">
        <f>ABS(TableBOU[[#This Row],[PP]]-TableBOU[[#This Row],[AP]])</f>
        <v>7.1189256152411176</v>
      </c>
      <c r="H5" t="s">
        <v>2</v>
      </c>
      <c r="I5" cm="1">
        <f t="array" ref="I5">(SUM(TableBOU[PP]-TableBOU[AP]))^2</f>
        <v>1.8175355256292112E-27</v>
      </c>
    </row>
    <row r="6" spans="1:9" x14ac:dyDescent="0.2">
      <c r="A6" t="s">
        <v>40</v>
      </c>
      <c r="B6">
        <v>20.270270270270281</v>
      </c>
      <c r="C6">
        <v>24.482758620689651</v>
      </c>
      <c r="D6">
        <f>TableBOU[[#This Row],[ARIMAPP]]*$I$2+TableBOU[[#This Row],[LSTMPP]]*$I$3</f>
        <v>26.146700905696857</v>
      </c>
      <c r="E6">
        <v>26</v>
      </c>
      <c r="F6">
        <f>ABS(TableBOU[[#This Row],[PP]]-TableBOU[[#This Row],[AP]])</f>
        <v>0.14670090569685712</v>
      </c>
    </row>
    <row r="7" spans="1:9" x14ac:dyDescent="0.2">
      <c r="A7" t="s">
        <v>41</v>
      </c>
      <c r="B7">
        <v>37.544681837677082</v>
      </c>
      <c r="C7">
        <v>33</v>
      </c>
      <c r="D7">
        <f>TableBOU[[#This Row],[ARIMAPP]]*$I$2+TableBOU[[#This Row],[LSTMPP]]*$I$3</f>
        <v>41.201389951065977</v>
      </c>
      <c r="E7">
        <v>40</v>
      </c>
      <c r="F7">
        <f>ABS(TableBOU[[#This Row],[PP]]-TableBOU[[#This Row],[AP]])</f>
        <v>1.2013899510659769</v>
      </c>
      <c r="H7" t="s">
        <v>3</v>
      </c>
      <c r="I7">
        <f>AVERAGE(TableBOU[DIFF])/10</f>
        <v>0.28431165561478433</v>
      </c>
    </row>
    <row r="8" spans="1:9" x14ac:dyDescent="0.2">
      <c r="A8" t="s">
        <v>42</v>
      </c>
      <c r="B8">
        <v>21.764705882352938</v>
      </c>
      <c r="C8">
        <v>27.037037037037031</v>
      </c>
      <c r="D8">
        <f>TableBOU[[#This Row],[ARIMAPP]]*$I$2+TableBOU[[#This Row],[LSTMPP]]*$I$3</f>
        <v>28.512984626878026</v>
      </c>
      <c r="E8">
        <v>38</v>
      </c>
      <c r="F8">
        <f>ABS(TableBOU[[#This Row],[PP]]-TableBOU[[#This Row],[AP]])</f>
        <v>9.4870153731219737</v>
      </c>
    </row>
    <row r="9" spans="1:9" x14ac:dyDescent="0.2">
      <c r="A9" t="s">
        <v>43</v>
      </c>
      <c r="B9">
        <v>35.333333333333321</v>
      </c>
      <c r="C9">
        <v>36.812139840528012</v>
      </c>
      <c r="D9">
        <f>TableBOU[[#This Row],[ARIMAPP]]*$I$2+TableBOU[[#This Row],[LSTMPP]]*$I$3</f>
        <v>42.143960736211838</v>
      </c>
      <c r="E9">
        <v>42</v>
      </c>
      <c r="F9">
        <f>ABS(TableBOU[[#This Row],[PP]]-TableBOU[[#This Row],[AP]])</f>
        <v>0.14396073621183803</v>
      </c>
    </row>
    <row r="10" spans="1:9" x14ac:dyDescent="0.2">
      <c r="A10" t="s">
        <v>44</v>
      </c>
      <c r="B10">
        <v>30.926998576454789</v>
      </c>
      <c r="C10">
        <v>22.5</v>
      </c>
      <c r="D10">
        <f>TableBOU[[#This Row],[ARIMAPP]]*$I$2+TableBOU[[#This Row],[LSTMPP]]*$I$3</f>
        <v>31.197651717354006</v>
      </c>
      <c r="E10">
        <v>28</v>
      </c>
      <c r="F10">
        <f>ABS(TableBOU[[#This Row],[PP]]-TableBOU[[#This Row],[AP]])</f>
        <v>3.197651717354006</v>
      </c>
    </row>
    <row r="11" spans="1:9" x14ac:dyDescent="0.2">
      <c r="A11" t="s">
        <v>45</v>
      </c>
      <c r="B11">
        <v>16.36363636363636</v>
      </c>
      <c r="C11">
        <v>20</v>
      </c>
      <c r="D11">
        <f>TableBOU[[#This Row],[ARIMAPP]]*$I$2+TableBOU[[#This Row],[LSTMPP]]*$I$3</f>
        <v>21.245512436614792</v>
      </c>
      <c r="E11">
        <v>22</v>
      </c>
      <c r="F11">
        <f>ABS(TableBOU[[#This Row],[PP]]-TableBOU[[#This Row],[AP]])</f>
        <v>0.75448756338520795</v>
      </c>
    </row>
    <row r="12" spans="1:9" x14ac:dyDescent="0.2">
      <c r="A12" t="s">
        <v>46</v>
      </c>
      <c r="B12">
        <v>20</v>
      </c>
      <c r="C12">
        <v>22.5</v>
      </c>
      <c r="D12">
        <f>TableBOU[[#This Row],[ARIMAPP]]*$I$2+TableBOU[[#This Row],[LSTMPP]]*$I$3</f>
        <v>24.828512133243365</v>
      </c>
      <c r="E12">
        <v>21</v>
      </c>
      <c r="F12">
        <f>ABS(TableBOU[[#This Row],[PP]]-TableBOU[[#This Row],[AP]])</f>
        <v>3.8285121332433647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47</v>
      </c>
      <c r="B2">
        <v>34.092604828384623</v>
      </c>
      <c r="C2">
        <v>30.125</v>
      </c>
      <c r="D2">
        <f>TableBRE[[#This Row],[ARIMAPP]]*$I$2+TableBRE[[#This Row],[LSTMPP]]*$I$3</f>
        <v>35.552086261195342</v>
      </c>
      <c r="E2">
        <v>28</v>
      </c>
      <c r="F2">
        <f>ABS(TableBRE[[#This Row],[PP]]-TableBRE[[#This Row],[AP]])</f>
        <v>7.5520862611953419</v>
      </c>
      <c r="H2" t="s">
        <v>0</v>
      </c>
      <c r="I2">
        <v>0.55377603026550104</v>
      </c>
    </row>
    <row r="3" spans="1:9" x14ac:dyDescent="0.2">
      <c r="A3" t="s">
        <v>48</v>
      </c>
      <c r="B3">
        <v>14.8133931206638</v>
      </c>
      <c r="C3">
        <v>30.873786407766989</v>
      </c>
      <c r="D3">
        <f>TableBRE[[#This Row],[ARIMAPP]]*$I$2+TableBRE[[#This Row],[LSTMPP]]*$I$3</f>
        <v>25.290130251406087</v>
      </c>
      <c r="E3">
        <v>30</v>
      </c>
      <c r="F3">
        <f>ABS(TableBRE[[#This Row],[PP]]-TableBRE[[#This Row],[AP]])</f>
        <v>4.7098697485939134</v>
      </c>
      <c r="H3" t="s">
        <v>1</v>
      </c>
      <c r="I3">
        <v>0.55344129121732966</v>
      </c>
    </row>
    <row r="4" spans="1:9" x14ac:dyDescent="0.2">
      <c r="A4" t="s">
        <v>49</v>
      </c>
      <c r="B4">
        <v>30.50847457627118</v>
      </c>
      <c r="C4">
        <v>32.272045331898397</v>
      </c>
      <c r="D4">
        <f>TableBRE[[#This Row],[ARIMAPP]]*$I$2+TableBRE[[#This Row],[LSTMPP]]*$I$3</f>
        <v>34.755544379013458</v>
      </c>
      <c r="E4">
        <v>24</v>
      </c>
      <c r="F4">
        <f>ABS(TableBRE[[#This Row],[PP]]-TableBRE[[#This Row],[AP]])</f>
        <v>10.755544379013458</v>
      </c>
    </row>
    <row r="5" spans="1:9" x14ac:dyDescent="0.2">
      <c r="A5" t="s">
        <v>50</v>
      </c>
      <c r="B5">
        <v>31.692307692307718</v>
      </c>
      <c r="C5">
        <v>29.13461538461539</v>
      </c>
      <c r="D5">
        <f>TableBRE[[#This Row],[ARIMAPP]]*$I$2+TableBRE[[#This Row],[LSTMPP]]*$I$3</f>
        <v>33.674739501380792</v>
      </c>
      <c r="E5">
        <v>33</v>
      </c>
      <c r="F5">
        <f>ABS(TableBRE[[#This Row],[PP]]-TableBRE[[#This Row],[AP]])</f>
        <v>0.67473950138079175</v>
      </c>
      <c r="H5" t="s">
        <v>2</v>
      </c>
      <c r="I5" cm="1">
        <f t="array" ref="I5">(SUM(TableBRE[PP]-TableBRE[AP]))^2</f>
        <v>4.0894549326657252E-27</v>
      </c>
    </row>
    <row r="6" spans="1:9" x14ac:dyDescent="0.2">
      <c r="A6" t="s">
        <v>51</v>
      </c>
      <c r="B6">
        <v>26.85714285714284</v>
      </c>
      <c r="C6">
        <v>26.964285714285719</v>
      </c>
      <c r="D6">
        <f>TableBRE[[#This Row],[ARIMAPP]]*$I$2+TableBRE[[#This Row],[LSTMPP]]*$I$3</f>
        <v>29.795991058169303</v>
      </c>
      <c r="E6">
        <v>23</v>
      </c>
      <c r="F6">
        <f>ABS(TableBRE[[#This Row],[PP]]-TableBRE[[#This Row],[AP]])</f>
        <v>6.795991058169303</v>
      </c>
    </row>
    <row r="7" spans="1:9" x14ac:dyDescent="0.2">
      <c r="A7" t="s">
        <v>52</v>
      </c>
      <c r="B7">
        <v>38.799999999999983</v>
      </c>
      <c r="C7">
        <v>30.75</v>
      </c>
      <c r="D7">
        <f>TableBRE[[#This Row],[ARIMAPP]]*$I$2+TableBRE[[#This Row],[LSTMPP]]*$I$3</f>
        <v>38.504829679234319</v>
      </c>
      <c r="E7">
        <v>52</v>
      </c>
      <c r="F7">
        <f>ABS(TableBRE[[#This Row],[PP]]-TableBRE[[#This Row],[AP]])</f>
        <v>13.495170320765681</v>
      </c>
      <c r="H7" t="s">
        <v>3</v>
      </c>
      <c r="I7">
        <f>AVERAGE(TableBRE[DIFF])/10</f>
        <v>0.69994215436994045</v>
      </c>
    </row>
    <row r="8" spans="1:9" x14ac:dyDescent="0.2">
      <c r="A8" t="s">
        <v>53</v>
      </c>
      <c r="B8">
        <v>30.778512164030829</v>
      </c>
      <c r="C8">
        <v>28.482142857142851</v>
      </c>
      <c r="D8">
        <f>TableBRE[[#This Row],[ARIMAPP]]*$I$2+TableBRE[[#This Row],[LSTMPP]]*$I$3</f>
        <v>32.807596203169012</v>
      </c>
      <c r="E8">
        <v>27</v>
      </c>
      <c r="F8">
        <f>ABS(TableBRE[[#This Row],[PP]]-TableBRE[[#This Row],[AP]])</f>
        <v>5.8075962031690125</v>
      </c>
    </row>
    <row r="9" spans="1:9" x14ac:dyDescent="0.2">
      <c r="A9" t="s">
        <v>54</v>
      </c>
      <c r="B9">
        <v>33.622288381029179</v>
      </c>
      <c r="C9">
        <v>27.2020756491121</v>
      </c>
      <c r="D9">
        <f>TableBRE[[#This Row],[ARIMAPP]]*$I$2+TableBRE[[#This Row],[LSTMPP]]*$I$3</f>
        <v>33.673969259124306</v>
      </c>
      <c r="E9">
        <v>51</v>
      </c>
      <c r="F9">
        <f>ABS(TableBRE[[#This Row],[PP]]-TableBRE[[#This Row],[AP]])</f>
        <v>17.326030740875694</v>
      </c>
    </row>
    <row r="10" spans="1:9" x14ac:dyDescent="0.2">
      <c r="A10" t="s">
        <v>55</v>
      </c>
      <c r="B10">
        <v>23.69565217391305</v>
      </c>
      <c r="C10">
        <v>26.944444444444439</v>
      </c>
      <c r="D10">
        <f>TableBRE[[#This Row],[ARIMAPP]]*$I$2+TableBRE[[#This Row],[LSTMPP]]*$I$3</f>
        <v>28.034252319888594</v>
      </c>
      <c r="E10">
        <v>31</v>
      </c>
      <c r="F10">
        <f>ABS(TableBRE[[#This Row],[PP]]-TableBRE[[#This Row],[AP]])</f>
        <v>2.9657476801114058</v>
      </c>
    </row>
    <row r="11" spans="1:9" x14ac:dyDescent="0.2">
      <c r="A11" t="s">
        <v>56</v>
      </c>
      <c r="B11">
        <v>23.91304347826086</v>
      </c>
      <c r="C11">
        <v>24.166666666666671</v>
      </c>
      <c r="D11">
        <f>TableBRE[[#This Row],[ARIMAPP]]*$I$2+TableBRE[[#This Row],[LSTMPP]]*$I$3</f>
        <v>26.617301493376431</v>
      </c>
      <c r="E11">
        <v>23</v>
      </c>
      <c r="F11">
        <f>ABS(TableBRE[[#This Row],[PP]]-TableBRE[[#This Row],[AP]])</f>
        <v>3.6173014933764307</v>
      </c>
    </row>
    <row r="12" spans="1:9" x14ac:dyDescent="0.2">
      <c r="A12" t="s">
        <v>57</v>
      </c>
      <c r="B12">
        <v>28.333333333333339</v>
      </c>
      <c r="C12">
        <v>30</v>
      </c>
      <c r="D12">
        <f>TableBRE[[#This Row],[ARIMAPP]]*$I$2+TableBRE[[#This Row],[LSTMPP]]*$I$3</f>
        <v>32.293559594042421</v>
      </c>
      <c r="E12">
        <v>29</v>
      </c>
      <c r="F12">
        <f>ABS(TableBRE[[#This Row],[PP]]-TableBRE[[#This Row],[AP]])</f>
        <v>3.2935595940424207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58</v>
      </c>
      <c r="B2">
        <v>34.533333333333367</v>
      </c>
      <c r="C2">
        <v>31.541666666666671</v>
      </c>
      <c r="D2">
        <f>TableBHA[[#This Row],[ARIMAPP]]*$I$2+TableBHA[[#This Row],[LSTMPP]]*$I$3</f>
        <v>28.585008711186248</v>
      </c>
      <c r="E2">
        <v>44</v>
      </c>
      <c r="F2">
        <f>ABS(TableBHA[[#This Row],[PP]]-TableBHA[[#This Row],[AP]])</f>
        <v>15.414991288813752</v>
      </c>
      <c r="H2" t="s">
        <v>0</v>
      </c>
      <c r="I2">
        <v>0.43527011074808764</v>
      </c>
    </row>
    <row r="3" spans="1:9" x14ac:dyDescent="0.2">
      <c r="A3" t="s">
        <v>59</v>
      </c>
      <c r="B3">
        <v>22.432432432432449</v>
      </c>
      <c r="C3">
        <v>25</v>
      </c>
      <c r="D3">
        <f>TableBHA[[#This Row],[ARIMAPP]]*$I$2+TableBHA[[#This Row],[LSTMPP]]*$I$3</f>
        <v>20.506847048039972</v>
      </c>
      <c r="E3">
        <v>29</v>
      </c>
      <c r="F3">
        <f>ABS(TableBHA[[#This Row],[PP]]-TableBHA[[#This Row],[AP]])</f>
        <v>8.4931529519600275</v>
      </c>
      <c r="H3" t="s">
        <v>1</v>
      </c>
      <c r="I3">
        <v>0.42970718795304425</v>
      </c>
    </row>
    <row r="4" spans="1:9" x14ac:dyDescent="0.2">
      <c r="A4" t="s">
        <v>60</v>
      </c>
      <c r="B4">
        <v>46.000000000000007</v>
      </c>
      <c r="C4">
        <v>45.364989237027018</v>
      </c>
      <c r="D4">
        <f>TableBHA[[#This Row],[ARIMAPP]]*$I$2+TableBHA[[#This Row],[LSTMPP]]*$I$3</f>
        <v>39.516087050975031</v>
      </c>
      <c r="E4">
        <v>20</v>
      </c>
      <c r="F4">
        <f>ABS(TableBHA[[#This Row],[PP]]-TableBHA[[#This Row],[AP]])</f>
        <v>19.516087050975031</v>
      </c>
    </row>
    <row r="5" spans="1:9" x14ac:dyDescent="0.2">
      <c r="A5" t="s">
        <v>61</v>
      </c>
      <c r="B5">
        <v>33.043478260869563</v>
      </c>
      <c r="C5">
        <v>29.900257576989251</v>
      </c>
      <c r="D5">
        <f>TableBHA[[#This Row],[ARIMAPP]]*$I$2+TableBHA[[#This Row],[LSTMPP]]*$I$3</f>
        <v>27.231194044590474</v>
      </c>
      <c r="E5">
        <v>25</v>
      </c>
      <c r="F5">
        <f>ABS(TableBHA[[#This Row],[PP]]-TableBHA[[#This Row],[AP]])</f>
        <v>2.2311940445904739</v>
      </c>
      <c r="H5" t="s">
        <v>2</v>
      </c>
      <c r="I5" cm="1">
        <f t="array" ref="I5">(SUM(TableBHA[PP]-TableBHA[AP]))^2</f>
        <v>5.0487097934144756E-29</v>
      </c>
    </row>
    <row r="6" spans="1:9" x14ac:dyDescent="0.2">
      <c r="A6" t="s">
        <v>62</v>
      </c>
      <c r="B6">
        <v>45.588235294117652</v>
      </c>
      <c r="C6">
        <v>42.545516704529931</v>
      </c>
      <c r="D6">
        <f>TableBHA[[#This Row],[ARIMAPP]]*$I$2+TableBHA[[#This Row],[LSTMPP]]*$I$3</f>
        <v>38.125310568393296</v>
      </c>
      <c r="E6">
        <v>22</v>
      </c>
      <c r="F6">
        <f>ABS(TableBHA[[#This Row],[PP]]-TableBHA[[#This Row],[AP]])</f>
        <v>16.125310568393296</v>
      </c>
    </row>
    <row r="7" spans="1:9" x14ac:dyDescent="0.2">
      <c r="A7" t="s">
        <v>63</v>
      </c>
      <c r="B7">
        <v>26.666666666666671</v>
      </c>
      <c r="C7">
        <v>31.25</v>
      </c>
      <c r="D7">
        <f>TableBHA[[#This Row],[ARIMAPP]]*$I$2+TableBHA[[#This Row],[LSTMPP]]*$I$3</f>
        <v>25.035552576814972</v>
      </c>
      <c r="E7">
        <v>39</v>
      </c>
      <c r="F7">
        <f>ABS(TableBHA[[#This Row],[PP]]-TableBHA[[#This Row],[AP]])</f>
        <v>13.964447423185028</v>
      </c>
      <c r="H7" t="s">
        <v>3</v>
      </c>
      <c r="I7">
        <f>AVERAGE(TableBHA[DIFF])/10</f>
        <v>1.26241972213196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64</v>
      </c>
      <c r="B2">
        <v>27.310924369747909</v>
      </c>
      <c r="C2">
        <v>28.368421052631589</v>
      </c>
      <c r="D2">
        <f>TableBUR[[#This Row],[ARIMAPP]]*$I$2+TableBUR[[#This Row],[LSTMPP]]*$I$3</f>
        <v>28.582720994368444</v>
      </c>
      <c r="E2">
        <v>23</v>
      </c>
      <c r="F2">
        <f>ABS(TableBUR[[#This Row],[PP]]-TableBUR[[#This Row],[AP]])</f>
        <v>5.5827209943684437</v>
      </c>
      <c r="H2" t="s">
        <v>0</v>
      </c>
      <c r="I2">
        <v>0.49734032866483824</v>
      </c>
    </row>
    <row r="3" spans="1:9" x14ac:dyDescent="0.2">
      <c r="A3" t="s">
        <v>65</v>
      </c>
      <c r="B3">
        <v>23.552631578947359</v>
      </c>
      <c r="C3">
        <v>25.5</v>
      </c>
      <c r="D3">
        <f>TableBUR[[#This Row],[ARIMAPP]]*$I$2+TableBUR[[#This Row],[LSTMPP]]*$I$3</f>
        <v>25.196883260005894</v>
      </c>
      <c r="E3">
        <v>29</v>
      </c>
      <c r="F3">
        <f>ABS(TableBUR[[#This Row],[PP]]-TableBUR[[#This Row],[AP]])</f>
        <v>3.8031167399941062</v>
      </c>
      <c r="H3" t="s">
        <v>1</v>
      </c>
      <c r="I3">
        <v>0.52875332272981823</v>
      </c>
    </row>
    <row r="4" spans="1:9" x14ac:dyDescent="0.2">
      <c r="A4" t="s">
        <v>66</v>
      </c>
      <c r="B4">
        <v>27.5</v>
      </c>
      <c r="C4">
        <v>30.102828951696949</v>
      </c>
      <c r="D4">
        <f>TableBUR[[#This Row],[ARIMAPP]]*$I$2+TableBUR[[#This Row],[LSTMPP]]*$I$3</f>
        <v>29.593829870060183</v>
      </c>
      <c r="E4">
        <v>28</v>
      </c>
      <c r="F4">
        <f>ABS(TableBUR[[#This Row],[PP]]-TableBUR[[#This Row],[AP]])</f>
        <v>1.5938298700601834</v>
      </c>
    </row>
    <row r="5" spans="1:9" x14ac:dyDescent="0.2">
      <c r="A5" t="s">
        <v>67</v>
      </c>
      <c r="B5">
        <v>19.99999999800562</v>
      </c>
      <c r="C5">
        <v>22.5</v>
      </c>
      <c r="D5">
        <f>TableBUR[[#This Row],[ARIMAPP]]*$I$2+TableBUR[[#This Row],[LSTMPP]]*$I$3</f>
        <v>21.843756333725789</v>
      </c>
      <c r="E5">
        <v>28</v>
      </c>
      <c r="F5">
        <f>ABS(TableBUR[[#This Row],[PP]]-TableBUR[[#This Row],[AP]])</f>
        <v>6.1562436662742108</v>
      </c>
      <c r="H5" t="s">
        <v>2</v>
      </c>
      <c r="I5" cm="1">
        <f t="array" ref="I5">(SUM(TableBUR[PP]-TableBUR[AP]))^2</f>
        <v>5.0487097934144756E-29</v>
      </c>
    </row>
    <row r="6" spans="1:9" x14ac:dyDescent="0.2">
      <c r="A6" t="s">
        <v>68</v>
      </c>
      <c r="B6">
        <v>30</v>
      </c>
      <c r="C6">
        <v>30</v>
      </c>
      <c r="D6">
        <f>TableBUR[[#This Row],[ARIMAPP]]*$I$2+TableBUR[[#This Row],[LSTMPP]]*$I$3</f>
        <v>30.782809541839697</v>
      </c>
      <c r="E6">
        <v>28</v>
      </c>
      <c r="F6">
        <f>ABS(TableBUR[[#This Row],[PP]]-TableBUR[[#This Row],[AP]])</f>
        <v>2.782809541839697</v>
      </c>
    </row>
    <row r="7" spans="1:9" x14ac:dyDescent="0.2">
      <c r="H7" t="s">
        <v>3</v>
      </c>
      <c r="I7">
        <f>AVERAGE(TableBUR[DIFF])/10</f>
        <v>0.39837441625073283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69</v>
      </c>
      <c r="B2">
        <v>42.257825003600693</v>
      </c>
      <c r="C2">
        <v>58.045650109518562</v>
      </c>
      <c r="D2">
        <f>TableCHE[[#This Row],[ARIMAPP]]*$I$2+TableCHE[[#This Row],[LSTMPP]]*$I$3</f>
        <v>64.908442153181824</v>
      </c>
      <c r="E2">
        <v>48</v>
      </c>
      <c r="F2">
        <f>ABS(TableCHE[[#This Row],[PP]]-TableCHE[[#This Row],[AP]])</f>
        <v>16.908442153181824</v>
      </c>
      <c r="H2" t="s">
        <v>0</v>
      </c>
      <c r="I2">
        <v>0.61322090072886004</v>
      </c>
    </row>
    <row r="3" spans="1:9" x14ac:dyDescent="0.2">
      <c r="A3" t="s">
        <v>70</v>
      </c>
      <c r="B3">
        <v>27.429778704470351</v>
      </c>
      <c r="C3">
        <v>28.812500000000011</v>
      </c>
      <c r="D3">
        <f>TableCHE[[#This Row],[ARIMAPP]]*$I$2+TableCHE[[#This Row],[LSTMPP]]*$I$3</f>
        <v>36.176747578710447</v>
      </c>
      <c r="E3">
        <v>36</v>
      </c>
      <c r="F3">
        <f>ABS(TableCHE[[#This Row],[PP]]-TableCHE[[#This Row],[AP]])</f>
        <v>0.17674757871044733</v>
      </c>
      <c r="H3" t="s">
        <v>1</v>
      </c>
      <c r="I3">
        <v>0.67179987764900051</v>
      </c>
    </row>
    <row r="4" spans="1:9" x14ac:dyDescent="0.2">
      <c r="A4" t="s">
        <v>71</v>
      </c>
      <c r="B4">
        <v>35.730337078651672</v>
      </c>
      <c r="C4">
        <v>32.402727502169149</v>
      </c>
      <c r="D4">
        <f>TableCHE[[#This Row],[ARIMAPP]]*$I$2+TableCHE[[#This Row],[LSTMPP]]*$I$3</f>
        <v>43.678737858167707</v>
      </c>
      <c r="E4">
        <v>33</v>
      </c>
      <c r="F4">
        <f>ABS(TableCHE[[#This Row],[PP]]-TableCHE[[#This Row],[AP]])</f>
        <v>10.678737858167707</v>
      </c>
    </row>
    <row r="5" spans="1:9" x14ac:dyDescent="0.2">
      <c r="A5" t="s">
        <v>72</v>
      </c>
      <c r="B5">
        <v>14.09090909090909</v>
      </c>
      <c r="C5">
        <v>19.117647058823529</v>
      </c>
      <c r="D5">
        <f>TableCHE[[#This Row],[ARIMAPP]]*$I$2+TableCHE[[#This Row],[LSTMPP]]*$I$3</f>
        <v>21.484072919870176</v>
      </c>
      <c r="E5">
        <v>64</v>
      </c>
      <c r="F5">
        <f>ABS(TableCHE[[#This Row],[PP]]-TableCHE[[#This Row],[AP]])</f>
        <v>42.515927080129828</v>
      </c>
      <c r="H5" t="s">
        <v>2</v>
      </c>
      <c r="I5" cm="1">
        <f t="array" ref="I5">(SUM(TableCHE[PP]-TableCHE[AP]))^2</f>
        <v>5.0487097934144756E-29</v>
      </c>
    </row>
    <row r="6" spans="1:9" x14ac:dyDescent="0.2">
      <c r="A6" t="s">
        <v>73</v>
      </c>
      <c r="B6">
        <v>34.754098360655739</v>
      </c>
      <c r="C6">
        <v>32.5</v>
      </c>
      <c r="D6">
        <f>TableCHE[[#This Row],[ARIMAPP]]*$I$2+TableCHE[[#This Row],[LSTMPP]]*$I$3</f>
        <v>43.145435524333223</v>
      </c>
      <c r="E6">
        <v>29</v>
      </c>
      <c r="F6">
        <f>ABS(TableCHE[[#This Row],[PP]]-TableCHE[[#This Row],[AP]])</f>
        <v>14.145435524333223</v>
      </c>
    </row>
    <row r="7" spans="1:9" x14ac:dyDescent="0.2">
      <c r="A7" t="s">
        <v>74</v>
      </c>
      <c r="B7">
        <v>26.818181818181809</v>
      </c>
      <c r="C7">
        <v>28.159040901959941</v>
      </c>
      <c r="D7">
        <f>TableCHE[[#This Row],[ARIMAPP]]*$I$2+TableCHE[[#This Row],[LSTMPP]]*$I$3</f>
        <v>35.362709843105677</v>
      </c>
      <c r="E7">
        <v>31</v>
      </c>
      <c r="F7">
        <f>ABS(TableCHE[[#This Row],[PP]]-TableCHE[[#This Row],[AP]])</f>
        <v>4.3627098431056766</v>
      </c>
      <c r="H7" t="s">
        <v>3</v>
      </c>
      <c r="I7">
        <f>AVERAGE(TableCHE[DIFF])/10</f>
        <v>1.4292784485326422</v>
      </c>
    </row>
    <row r="8" spans="1:9" x14ac:dyDescent="0.2">
      <c r="A8" t="s">
        <v>75</v>
      </c>
      <c r="B8">
        <v>17.222222222222221</v>
      </c>
      <c r="C8">
        <v>23.928571428571431</v>
      </c>
      <c r="D8">
        <f>TableCHE[[#This Row],[ARIMAPP]]*$I$2+TableCHE[[#This Row],[LSTMPP]]*$I$3</f>
        <v>26.636237981693355</v>
      </c>
      <c r="E8">
        <v>37</v>
      </c>
      <c r="F8">
        <f>ABS(TableCHE[[#This Row],[PP]]-TableCHE[[#This Row],[AP]])</f>
        <v>10.363762018306645</v>
      </c>
    </row>
    <row r="9" spans="1:9" x14ac:dyDescent="0.2">
      <c r="A9" t="s">
        <v>76</v>
      </c>
      <c r="B9">
        <v>23.18181818181818</v>
      </c>
      <c r="C9">
        <v>26.764705882352938</v>
      </c>
      <c r="D9">
        <f>TableCHE[[#This Row],[ARIMAPP]]*$I$2+TableCHE[[#This Row],[LSTMPP]]*$I$3</f>
        <v>32.196101563063401</v>
      </c>
      <c r="E9">
        <v>33</v>
      </c>
      <c r="F9">
        <f>ABS(TableCHE[[#This Row],[PP]]-TableCHE[[#This Row],[AP]])</f>
        <v>0.80389843693659913</v>
      </c>
    </row>
    <row r="10" spans="1:9" x14ac:dyDescent="0.2">
      <c r="A10" t="s">
        <v>77</v>
      </c>
      <c r="B10">
        <v>20</v>
      </c>
      <c r="C10">
        <v>23.75</v>
      </c>
      <c r="D10">
        <f>TableCHE[[#This Row],[ARIMAPP]]*$I$2+TableCHE[[#This Row],[LSTMPP]]*$I$3</f>
        <v>28.219665108740962</v>
      </c>
      <c r="E10">
        <v>46</v>
      </c>
      <c r="F10">
        <f>ABS(TableCHE[[#This Row],[PP]]-TableCHE[[#This Row],[AP]])</f>
        <v>17.780334891259038</v>
      </c>
    </row>
    <row r="11" spans="1:9" x14ac:dyDescent="0.2">
      <c r="A11" t="s">
        <v>78</v>
      </c>
      <c r="B11">
        <v>40.164116485077933</v>
      </c>
      <c r="C11">
        <v>35.07350114982556</v>
      </c>
      <c r="D11">
        <f>TableCHE[[#This Row],[ARIMAPP]]*$I$2+TableCHE[[#This Row],[LSTMPP]]*$I$3</f>
        <v>48.191849469133238</v>
      </c>
      <c r="E11">
        <v>23</v>
      </c>
      <c r="F11">
        <f>ABS(TableCHE[[#This Row],[PP]]-TableCHE[[#This Row],[AP]])</f>
        <v>25.191849469133238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79</v>
      </c>
      <c r="B2">
        <v>26.71428571428569</v>
      </c>
      <c r="C2">
        <v>28.482142857142851</v>
      </c>
      <c r="D2">
        <f>TableCRY[[#This Row],[ARIMAPP]]*$I$2+TableCRY[[#This Row],[LSTMPP]]*$I$3</f>
        <v>26.607323138787997</v>
      </c>
      <c r="E2">
        <v>30</v>
      </c>
      <c r="F2">
        <f>ABS(TableCRY[[#This Row],[PP]]-TableCRY[[#This Row],[AP]])</f>
        <v>3.3926768612120028</v>
      </c>
      <c r="H2" t="s">
        <v>0</v>
      </c>
      <c r="I2">
        <v>0.47694330021178166</v>
      </c>
    </row>
    <row r="3" spans="1:9" x14ac:dyDescent="0.2">
      <c r="A3" t="s">
        <v>80</v>
      </c>
      <c r="B3">
        <v>21.42857142857142</v>
      </c>
      <c r="C3">
        <v>25.535714285714281</v>
      </c>
      <c r="D3">
        <f>TableCRY[[#This Row],[ARIMAPP]]*$I$2+TableCRY[[#This Row],[LSTMPP]]*$I$3</f>
        <v>22.651910549512237</v>
      </c>
      <c r="E3">
        <v>20</v>
      </c>
      <c r="F3">
        <f>ABS(TableCRY[[#This Row],[PP]]-TableCRY[[#This Row],[AP]])</f>
        <v>2.6519105495122375</v>
      </c>
      <c r="H3" t="s">
        <v>1</v>
      </c>
      <c r="I3">
        <v>0.48683568567730612</v>
      </c>
    </row>
    <row r="4" spans="1:9" x14ac:dyDescent="0.2">
      <c r="A4" t="s">
        <v>81</v>
      </c>
      <c r="B4">
        <v>23.067391592793879</v>
      </c>
      <c r="C4">
        <v>27.57731958762886</v>
      </c>
      <c r="D4">
        <f>TableCRY[[#This Row],[ARIMAPP]]*$I$2+TableCRY[[#This Row],[LSTMPP]]*$I$3</f>
        <v>24.427461164130122</v>
      </c>
      <c r="E4">
        <v>20</v>
      </c>
      <c r="F4">
        <f>ABS(TableCRY[[#This Row],[PP]]-TableCRY[[#This Row],[AP]])</f>
        <v>4.427461164130122</v>
      </c>
    </row>
    <row r="5" spans="1:9" x14ac:dyDescent="0.2">
      <c r="A5" t="s">
        <v>82</v>
      </c>
      <c r="B5">
        <v>27.312499999999989</v>
      </c>
      <c r="C5">
        <v>28.6328125</v>
      </c>
      <c r="D5">
        <f>TableCRY[[#This Row],[ARIMAPP]]*$I$2+TableCRY[[#This Row],[LSTMPP]]*$I$3</f>
        <v>26.965988793341523</v>
      </c>
      <c r="E5">
        <v>25</v>
      </c>
      <c r="F5">
        <f>ABS(TableCRY[[#This Row],[PP]]-TableCRY[[#This Row],[AP]])</f>
        <v>1.9659887933415234</v>
      </c>
      <c r="H5" t="s">
        <v>2</v>
      </c>
      <c r="I5" cm="1">
        <f t="array" ref="I5">(SUM(TableCRY[PP]-TableCRY[AP]))^2</f>
        <v>3.1554436208840472E-28</v>
      </c>
    </row>
    <row r="6" spans="1:9" x14ac:dyDescent="0.2">
      <c r="A6" t="s">
        <v>83</v>
      </c>
      <c r="B6">
        <v>27.305553895498129</v>
      </c>
      <c r="C6">
        <v>28.815789473684209</v>
      </c>
      <c r="D6">
        <f>TableCRY[[#This Row],[ARIMAPP]]*$I$2+TableCRY[[#This Row],[LSTMPP]]*$I$3</f>
        <v>27.051755615783499</v>
      </c>
      <c r="E6">
        <v>33</v>
      </c>
      <c r="F6">
        <f>ABS(TableCRY[[#This Row],[PP]]-TableCRY[[#This Row],[AP]])</f>
        <v>5.9482443842165011</v>
      </c>
    </row>
    <row r="7" spans="1:9" x14ac:dyDescent="0.2">
      <c r="A7" t="s">
        <v>84</v>
      </c>
      <c r="B7">
        <v>36.666666666666671</v>
      </c>
      <c r="C7">
        <v>31.484375</v>
      </c>
      <c r="D7">
        <f>TableCRY[[#This Row],[ARIMAPP]]*$I$2+TableCRY[[#This Row],[LSTMPP]]*$I$3</f>
        <v>32.815638299011766</v>
      </c>
      <c r="E7">
        <v>34</v>
      </c>
      <c r="F7">
        <f>ABS(TableCRY[[#This Row],[PP]]-TableCRY[[#This Row],[AP]])</f>
        <v>1.1843617009882337</v>
      </c>
      <c r="H7" t="s">
        <v>3</v>
      </c>
      <c r="I7">
        <f>AVERAGE(TableCRY[DIFF])/10</f>
        <v>0.33393733847521179</v>
      </c>
    </row>
    <row r="8" spans="1:9" x14ac:dyDescent="0.2">
      <c r="A8" t="s">
        <v>85</v>
      </c>
      <c r="B8">
        <v>36.470588235294123</v>
      </c>
      <c r="C8">
        <v>35.59112109655203</v>
      </c>
      <c r="D8">
        <f>TableCRY[[#This Row],[ARIMAPP]]*$I$2+TableCRY[[#This Row],[LSTMPP]]*$I$3</f>
        <v>34.7214305566701</v>
      </c>
      <c r="E8">
        <v>36</v>
      </c>
      <c r="F8">
        <f>ABS(TableCRY[[#This Row],[PP]]-TableCRY[[#This Row],[AP]])</f>
        <v>1.2785694433299</v>
      </c>
    </row>
    <row r="9" spans="1:9" x14ac:dyDescent="0.2">
      <c r="A9" t="s">
        <v>86</v>
      </c>
      <c r="B9">
        <v>21.52542372881355</v>
      </c>
      <c r="C9">
        <v>25</v>
      </c>
      <c r="D9">
        <f>TableCRY[[#This Row],[ARIMAPP]]*$I$2+TableCRY[[#This Row],[LSTMPP]]*$I$3</f>
        <v>22.437298773609982</v>
      </c>
      <c r="E9">
        <v>29</v>
      </c>
      <c r="F9">
        <f>ABS(TableCRY[[#This Row],[PP]]-TableCRY[[#This Row],[AP]])</f>
        <v>6.5627012263900184</v>
      </c>
    </row>
    <row r="10" spans="1:9" x14ac:dyDescent="0.2">
      <c r="A10" t="s">
        <v>87</v>
      </c>
      <c r="B10">
        <v>30.79999999999999</v>
      </c>
      <c r="C10">
        <v>28.500000000000011</v>
      </c>
      <c r="D10">
        <f>TableCRY[[#This Row],[ARIMAPP]]*$I$2+TableCRY[[#This Row],[LSTMPP]]*$I$3</f>
        <v>28.5646706883261</v>
      </c>
      <c r="E10">
        <v>22</v>
      </c>
      <c r="F10">
        <f>ABS(TableCRY[[#This Row],[PP]]-TableCRY[[#This Row],[AP]])</f>
        <v>6.5646706883260997</v>
      </c>
    </row>
    <row r="11" spans="1:9" x14ac:dyDescent="0.2">
      <c r="A11" t="s">
        <v>88</v>
      </c>
      <c r="B11">
        <v>30.151515151515159</v>
      </c>
      <c r="C11">
        <v>28.36538461538461</v>
      </c>
      <c r="D11">
        <f>TableCRY[[#This Row],[ARIMAPP]]*$I$2+TableCRY[[#This Row],[LSTMPP]]*$I$3</f>
        <v>28.189844611480453</v>
      </c>
      <c r="E11">
        <v>27</v>
      </c>
      <c r="F11">
        <f>ABS(TableCRY[[#This Row],[PP]]-TableCRY[[#This Row],[AP]])</f>
        <v>1.1898446114804528</v>
      </c>
    </row>
    <row r="12" spans="1:9" x14ac:dyDescent="0.2">
      <c r="A12" t="s">
        <v>89</v>
      </c>
      <c r="B12">
        <v>27.631578947368428</v>
      </c>
      <c r="C12">
        <v>27.5</v>
      </c>
      <c r="D12">
        <f>TableCRY[[#This Row],[ARIMAPP]]*$I$2+TableCRY[[#This Row],[LSTMPP]]*$I$3</f>
        <v>26.566677809346203</v>
      </c>
      <c r="E12">
        <v>25</v>
      </c>
      <c r="F12">
        <f>ABS(TableCRY[[#This Row],[PP]]-TableCRY[[#This Row],[AP]])</f>
        <v>1.5666778093462028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90</v>
      </c>
      <c r="B2">
        <v>33.405053160777832</v>
      </c>
      <c r="C2">
        <v>30.597393592921151</v>
      </c>
      <c r="D2">
        <f>TableEVE[[#This Row],[ARIMAPP]]*$I$2+TableEVE[[#This Row],[LSTMPP]]*$I$3</f>
        <v>44.323827426813011</v>
      </c>
      <c r="E2">
        <v>49</v>
      </c>
      <c r="F2">
        <f>ABS(TableEVE[[#This Row],[PP]]-TableEVE[[#This Row],[AP]])</f>
        <v>4.6761725731869888</v>
      </c>
      <c r="H2" t="s">
        <v>0</v>
      </c>
      <c r="I2">
        <v>0.66880512096275402</v>
      </c>
    </row>
    <row r="3" spans="1:9" x14ac:dyDescent="0.2">
      <c r="A3" t="s">
        <v>91</v>
      </c>
      <c r="B3">
        <v>20.652803936035589</v>
      </c>
      <c r="C3">
        <v>26.296296296296301</v>
      </c>
      <c r="D3">
        <f>TableEVE[[#This Row],[ARIMAPP]]*$I$2+TableEVE[[#This Row],[LSTMPP]]*$I$3</f>
        <v>32.70498236994424</v>
      </c>
      <c r="E3">
        <v>22</v>
      </c>
      <c r="F3">
        <f>ABS(TableEVE[[#This Row],[PP]]-TableEVE[[#This Row],[AP]])</f>
        <v>10.70498236994424</v>
      </c>
      <c r="H3" t="s">
        <v>1</v>
      </c>
      <c r="I3">
        <v>0.71843886767981069</v>
      </c>
    </row>
    <row r="4" spans="1:9" x14ac:dyDescent="0.2">
      <c r="A4" t="s">
        <v>92</v>
      </c>
      <c r="B4">
        <v>27.530140813666531</v>
      </c>
      <c r="C4">
        <v>29.6875</v>
      </c>
      <c r="D4">
        <f>TableEVE[[#This Row],[ARIMAPP]]*$I$2+TableEVE[[#This Row],[LSTMPP]]*$I$3</f>
        <v>39.740953041250279</v>
      </c>
      <c r="E4">
        <v>42</v>
      </c>
      <c r="F4">
        <f>ABS(TableEVE[[#This Row],[PP]]-TableEVE[[#This Row],[AP]])</f>
        <v>2.2590469587497211</v>
      </c>
    </row>
    <row r="5" spans="1:9" x14ac:dyDescent="0.2">
      <c r="A5" t="s">
        <v>93</v>
      </c>
      <c r="B5">
        <v>34.52513966480452</v>
      </c>
      <c r="C5">
        <v>36.70268988999176</v>
      </c>
      <c r="D5">
        <f>TableEVE[[#This Row],[ARIMAPP]]*$I$2+TableEVE[[#This Row],[LSTMPP]]*$I$3</f>
        <v>49.459229175144479</v>
      </c>
      <c r="E5">
        <v>51</v>
      </c>
      <c r="F5">
        <f>ABS(TableEVE[[#This Row],[PP]]-TableEVE[[#This Row],[AP]])</f>
        <v>1.540770824855521</v>
      </c>
      <c r="H5" t="s">
        <v>2</v>
      </c>
      <c r="I5" cm="1">
        <f t="array" ref="I5">(SUM(TableEVE[PP]-TableEVE[AP]))^2</f>
        <v>8.0779356694631609E-28</v>
      </c>
    </row>
    <row r="6" spans="1:9" x14ac:dyDescent="0.2">
      <c r="A6" t="s">
        <v>94</v>
      </c>
      <c r="B6">
        <v>35.018347849553237</v>
      </c>
      <c r="C6">
        <v>35.246904827842563</v>
      </c>
      <c r="D6">
        <f>TableEVE[[#This Row],[ARIMAPP]]*$I$2+TableEVE[[#This Row],[LSTMPP]]*$I$3</f>
        <v>48.743196763169514</v>
      </c>
      <c r="E6">
        <v>33</v>
      </c>
      <c r="F6">
        <f>ABS(TableEVE[[#This Row],[PP]]-TableEVE[[#This Row],[AP]])</f>
        <v>15.743196763169514</v>
      </c>
    </row>
    <row r="7" spans="1:9" x14ac:dyDescent="0.2">
      <c r="A7" t="s">
        <v>95</v>
      </c>
      <c r="B7">
        <v>31.3204750506404</v>
      </c>
      <c r="C7">
        <v>29.26923076923077</v>
      </c>
      <c r="D7">
        <f>TableEVE[[#This Row],[ARIMAPP]]*$I$2+TableEVE[[#This Row],[LSTMPP]]*$I$3</f>
        <v>41.9754471165597</v>
      </c>
      <c r="E7">
        <v>44</v>
      </c>
      <c r="F7">
        <f>ABS(TableEVE[[#This Row],[PP]]-TableEVE[[#This Row],[AP]])</f>
        <v>2.0245528834403004</v>
      </c>
      <c r="H7" t="s">
        <v>3</v>
      </c>
      <c r="I7">
        <f>AVERAGE(TableEVE[DIFF])/10</f>
        <v>0.75645711449394959</v>
      </c>
    </row>
    <row r="8" spans="1:9" x14ac:dyDescent="0.2">
      <c r="A8" t="s">
        <v>96</v>
      </c>
      <c r="B8">
        <v>17.5</v>
      </c>
      <c r="C8">
        <v>21.84210526315789</v>
      </c>
      <c r="D8">
        <f>TableEVE[[#This Row],[ARIMAPP]]*$I$2+TableEVE[[#This Row],[LSTMPP]]*$I$3</f>
        <v>27.396306989854583</v>
      </c>
      <c r="E8">
        <v>28</v>
      </c>
      <c r="F8">
        <f>ABS(TableEVE[[#This Row],[PP]]-TableEVE[[#This Row],[AP]])</f>
        <v>0.60369301014541676</v>
      </c>
    </row>
    <row r="9" spans="1:9" x14ac:dyDescent="0.2">
      <c r="A9" t="s">
        <v>97</v>
      </c>
      <c r="B9">
        <v>15.71428571428571</v>
      </c>
      <c r="C9">
        <v>22.27272727272727</v>
      </c>
      <c r="D9">
        <f>TableEVE[[#This Row],[ARIMAPP]]*$I$2+TableEVE[[#This Row],[LSTMPP]]*$I$3</f>
        <v>26.511387719945549</v>
      </c>
      <c r="E9">
        <v>39</v>
      </c>
      <c r="F9">
        <f>ABS(TableEVE[[#This Row],[PP]]-TableEVE[[#This Row],[AP]])</f>
        <v>12.488612280054451</v>
      </c>
    </row>
    <row r="10" spans="1:9" x14ac:dyDescent="0.2">
      <c r="A10" t="s">
        <v>98</v>
      </c>
      <c r="B10">
        <v>39.31372549019607</v>
      </c>
      <c r="C10">
        <v>33.827160493827158</v>
      </c>
      <c r="D10">
        <f>TableEVE[[#This Row],[ARIMAPP]]*$I$2+TableEVE[[#This Row],[LSTMPP]]*$I$3</f>
        <v>50.595967813975498</v>
      </c>
      <c r="E10">
        <v>42</v>
      </c>
      <c r="F10">
        <f>ABS(TableEVE[[#This Row],[PP]]-TableEVE[[#This Row],[AP]])</f>
        <v>8.5959678139754985</v>
      </c>
    </row>
    <row r="11" spans="1:9" x14ac:dyDescent="0.2">
      <c r="A11" t="s">
        <v>99</v>
      </c>
      <c r="B11">
        <v>24.444444444444439</v>
      </c>
      <c r="C11">
        <v>27.638888888888889</v>
      </c>
      <c r="D11">
        <f>TableEVE[[#This Row],[ARIMAPP]]*$I$2+TableEVE[[#This Row],[LSTMPP]]*$I$3</f>
        <v>36.205421660795416</v>
      </c>
      <c r="E11">
        <v>58</v>
      </c>
      <c r="F11">
        <f>ABS(TableEVE[[#This Row],[PP]]-TableEVE[[#This Row],[AP]])</f>
        <v>21.794578339204584</v>
      </c>
    </row>
    <row r="12" spans="1:9" x14ac:dyDescent="0.2">
      <c r="A12" t="s">
        <v>100</v>
      </c>
      <c r="B12">
        <v>15.68813998471882</v>
      </c>
      <c r="C12">
        <v>22.10526315789474</v>
      </c>
      <c r="D12">
        <f>TableEVE[[#This Row],[ARIMAPP]]*$I$2+TableEVE[[#This Row],[LSTMPP]]*$I$3</f>
        <v>26.373588593082623</v>
      </c>
      <c r="E12">
        <v>23</v>
      </c>
      <c r="F12">
        <f>ABS(TableEVE[[#This Row],[PP]]-TableEVE[[#This Row],[AP]])</f>
        <v>3.3735885930826228</v>
      </c>
    </row>
    <row r="13" spans="1:9" x14ac:dyDescent="0.2">
      <c r="A13" t="s">
        <v>101</v>
      </c>
      <c r="B13">
        <v>23.513266563216639</v>
      </c>
      <c r="C13">
        <v>26.785714285714281</v>
      </c>
      <c r="D13">
        <f>TableEVE[[#This Row],[ARIMAPP]]*$I$2+TableEVE[[#This Row],[LSTMPP]]*$I$3</f>
        <v>34.969691329465078</v>
      </c>
      <c r="E13">
        <v>28</v>
      </c>
      <c r="F13">
        <f>ABS(TableEVE[[#This Row],[PP]]-TableEVE[[#This Row],[AP]])</f>
        <v>6.9696913294650784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102</v>
      </c>
      <c r="B2">
        <v>19.313404073153499</v>
      </c>
      <c r="C2">
        <v>37.592592592592588</v>
      </c>
      <c r="D2">
        <f>TableFUL[[#This Row],[ARIMAPP]]*$I$2+TableFUL[[#This Row],[LSTMPP]]*$I$3</f>
        <v>31.370350657743952</v>
      </c>
      <c r="E2">
        <v>35</v>
      </c>
      <c r="F2">
        <f>ABS(TableFUL[[#This Row],[PP]]-TableFUL[[#This Row],[AP]])</f>
        <v>3.6296493422560481</v>
      </c>
      <c r="H2" t="s">
        <v>0</v>
      </c>
      <c r="I2">
        <v>0.52556663492275779</v>
      </c>
    </row>
    <row r="3" spans="1:9" x14ac:dyDescent="0.2">
      <c r="A3" t="s">
        <v>103</v>
      </c>
      <c r="B3">
        <v>20.131578947368421</v>
      </c>
      <c r="C3">
        <v>24.666666666666671</v>
      </c>
      <c r="D3">
        <f>TableFUL[[#This Row],[ARIMAPP]]*$I$2+TableFUL[[#This Row],[LSTMPP]]*$I$3</f>
        <v>24.504065841961964</v>
      </c>
      <c r="E3">
        <v>33</v>
      </c>
      <c r="F3">
        <f>ABS(TableFUL[[#This Row],[PP]]-TableFUL[[#This Row],[AP]])</f>
        <v>8.4959341580380361</v>
      </c>
      <c r="H3" t="s">
        <v>1</v>
      </c>
      <c r="I3">
        <v>0.56446944482074479</v>
      </c>
    </row>
    <row r="4" spans="1:9" x14ac:dyDescent="0.2">
      <c r="A4" t="s">
        <v>104</v>
      </c>
      <c r="B4">
        <v>26.64516129032258</v>
      </c>
      <c r="C4">
        <v>27.58064516129032</v>
      </c>
      <c r="D4">
        <f>TableFUL[[#This Row],[ARIMAPP]]*$I$2+TableFUL[[#This Row],[LSTMPP]]*$I$3</f>
        <v>29.572239218320476</v>
      </c>
      <c r="E4">
        <v>41</v>
      </c>
      <c r="F4">
        <f>ABS(TableFUL[[#This Row],[PP]]-TableFUL[[#This Row],[AP]])</f>
        <v>11.427760781679524</v>
      </c>
    </row>
    <row r="5" spans="1:9" x14ac:dyDescent="0.2">
      <c r="A5" t="s">
        <v>105</v>
      </c>
      <c r="B5">
        <v>26.49572649572649</v>
      </c>
      <c r="C5">
        <v>26.774193548387089</v>
      </c>
      <c r="D5">
        <f>TableFUL[[#This Row],[ARIMAPP]]*$I$2+TableFUL[[#This Row],[LSTMPP]]*$I$3</f>
        <v>29.038483981973954</v>
      </c>
      <c r="E5">
        <v>25</v>
      </c>
      <c r="F5">
        <f>ABS(TableFUL[[#This Row],[PP]]-TableFUL[[#This Row],[AP]])</f>
        <v>4.038483981973954</v>
      </c>
      <c r="H5" t="s">
        <v>2</v>
      </c>
      <c r="I5" cm="1">
        <f t="array" ref="I5">(SUM(TableFUL[PP]-TableFUL[AP]))^2</f>
        <v>6.1846694969327326E-28</v>
      </c>
    </row>
    <row r="6" spans="1:9" x14ac:dyDescent="0.2">
      <c r="A6" t="s">
        <v>106</v>
      </c>
      <c r="B6">
        <v>37.619763352817742</v>
      </c>
      <c r="C6">
        <v>32.792792792792788</v>
      </c>
      <c r="D6">
        <f>TableFUL[[#This Row],[ARIMAPP]]*$I$2+TableFUL[[#This Row],[LSTMPP]]*$I$3</f>
        <v>38.282221973800375</v>
      </c>
      <c r="E6">
        <v>33</v>
      </c>
      <c r="F6">
        <f>ABS(TableFUL[[#This Row],[PP]]-TableFUL[[#This Row],[AP]])</f>
        <v>5.2822219738003753</v>
      </c>
    </row>
    <row r="7" spans="1:9" x14ac:dyDescent="0.2">
      <c r="A7" t="s">
        <v>107</v>
      </c>
      <c r="B7">
        <v>23.67647058823529</v>
      </c>
      <c r="C7">
        <v>25.555555555555561</v>
      </c>
      <c r="D7">
        <f>TableFUL[[#This Row],[ARIMAPP]]*$I$2+TableFUL[[#This Row],[LSTMPP]]*$I$3</f>
        <v>26.868893230436615</v>
      </c>
      <c r="E7">
        <v>22</v>
      </c>
      <c r="F7">
        <f>ABS(TableFUL[[#This Row],[PP]]-TableFUL[[#This Row],[AP]])</f>
        <v>4.8688932304366155</v>
      </c>
      <c r="H7" t="s">
        <v>3</v>
      </c>
      <c r="I7">
        <f>AVERAGE(TableFUL[DIFF])/10</f>
        <v>0.52914473455642796</v>
      </c>
    </row>
    <row r="8" spans="1:9" x14ac:dyDescent="0.2">
      <c r="A8" t="s">
        <v>108</v>
      </c>
      <c r="B8">
        <v>25.692307692307711</v>
      </c>
      <c r="C8">
        <v>26.63461538461539</v>
      </c>
      <c r="D8">
        <f>TableFUL[[#This Row],[ARIMAPP]]*$I$2+TableFUL[[#This Row],[LSTMPP]]*$I$3</f>
        <v>28.537446256414164</v>
      </c>
      <c r="E8">
        <v>34</v>
      </c>
      <c r="F8">
        <f>ABS(TableFUL[[#This Row],[PP]]-TableFUL[[#This Row],[AP]])</f>
        <v>5.4625537435858362</v>
      </c>
    </row>
    <row r="9" spans="1:9" x14ac:dyDescent="0.2">
      <c r="A9" t="s">
        <v>109</v>
      </c>
      <c r="B9">
        <v>31.31187278357822</v>
      </c>
      <c r="C9">
        <v>31.267605633802809</v>
      </c>
      <c r="D9">
        <f>TableFUL[[#This Row],[ARIMAPP]]*$I$2+TableFUL[[#This Row],[LSTMPP]]*$I$3</f>
        <v>34.10608360498135</v>
      </c>
      <c r="E9">
        <v>23</v>
      </c>
      <c r="F9">
        <f>ABS(TableFUL[[#This Row],[PP]]-TableFUL[[#This Row],[AP]])</f>
        <v>11.10608360498135</v>
      </c>
    </row>
    <row r="10" spans="1:9" x14ac:dyDescent="0.2">
      <c r="A10" t="s">
        <v>110</v>
      </c>
      <c r="B10">
        <v>23.787878787878789</v>
      </c>
      <c r="C10">
        <v>26.63461538461539</v>
      </c>
      <c r="D10">
        <f>TableFUL[[#This Row],[ARIMAPP]]*$I$2+TableFUL[[#This Row],[LSTMPP]]*$I$3</f>
        <v>27.536541965663822</v>
      </c>
      <c r="E10">
        <v>26</v>
      </c>
      <c r="F10">
        <f>ABS(TableFUL[[#This Row],[PP]]-TableFUL[[#This Row],[AP]])</f>
        <v>1.5365419656638224</v>
      </c>
    </row>
    <row r="11" spans="1:9" x14ac:dyDescent="0.2">
      <c r="A11" t="s">
        <v>111</v>
      </c>
      <c r="B11">
        <v>25.405405405405411</v>
      </c>
      <c r="C11">
        <v>26.03448275862069</v>
      </c>
      <c r="D11">
        <f>TableFUL[[#This Row],[ARIMAPP]]*$I$2+TableFUL[[#This Row],[LSTMPP]]*$I$3</f>
        <v>28.047903456721237</v>
      </c>
      <c r="E11">
        <v>28</v>
      </c>
      <c r="F11">
        <f>ABS(TableFUL[[#This Row],[PP]]-TableFUL[[#This Row],[AP]])</f>
        <v>4.7903456721236637E-2</v>
      </c>
    </row>
    <row r="12" spans="1:9" x14ac:dyDescent="0.2">
      <c r="A12" t="s">
        <v>112</v>
      </c>
      <c r="B12">
        <v>38.678084416723237</v>
      </c>
      <c r="C12">
        <v>38.665092785406593</v>
      </c>
      <c r="D12">
        <f>TableFUL[[#This Row],[ARIMAPP]]*$I$2+TableFUL[[#This Row],[LSTMPP]]*$I$3</f>
        <v>42.153174130676632</v>
      </c>
      <c r="E12">
        <v>39</v>
      </c>
      <c r="F12">
        <f>ABS(TableFUL[[#This Row],[PP]]-TableFUL[[#This Row],[AP]])</f>
        <v>3.1531741306766321</v>
      </c>
    </row>
    <row r="13" spans="1:9" x14ac:dyDescent="0.2">
      <c r="A13" t="s">
        <v>113</v>
      </c>
      <c r="B13">
        <v>27.1095809501427</v>
      </c>
      <c r="C13">
        <v>26.774193548387089</v>
      </c>
      <c r="D13">
        <f>TableFUL[[#This Row],[ARIMAPP]]*$I$2+TableFUL[[#This Row],[LSTMPP]]*$I$3</f>
        <v>29.361105401913825</v>
      </c>
      <c r="E13">
        <v>25</v>
      </c>
      <c r="F13">
        <f>ABS(TableFUL[[#This Row],[PP]]-TableFUL[[#This Row],[AP]])</f>
        <v>4.3611054019138251</v>
      </c>
    </row>
    <row r="14" spans="1:9" x14ac:dyDescent="0.2">
      <c r="A14" t="s">
        <v>114</v>
      </c>
      <c r="B14">
        <v>39.032258064516128</v>
      </c>
      <c r="C14">
        <v>40.936560813004292</v>
      </c>
      <c r="D14">
        <f>TableFUL[[#This Row],[ARIMAPP]]*$I$2+TableFUL[[#This Row],[LSTMPP]]*$I$3</f>
        <v>43.621490279391608</v>
      </c>
      <c r="E14">
        <v>49</v>
      </c>
      <c r="F14">
        <f>ABS(TableFUL[[#This Row],[PP]]-TableFUL[[#This Row],[AP]])</f>
        <v>5.3785097206083918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115</v>
      </c>
      <c r="B2">
        <v>43.947988744280892</v>
      </c>
      <c r="C2">
        <v>40.15605718723338</v>
      </c>
      <c r="D2">
        <f>TableLIV[[#This Row],[ARIMAPP]]*$I$2+TableLIV[[#This Row],[LSTMPP]]*$I$3</f>
        <v>45.191419658276843</v>
      </c>
      <c r="E2">
        <v>48</v>
      </c>
      <c r="F2">
        <f>ABS(TableLIV[[#This Row],[PP]]-TableLIV[[#This Row],[AP]])</f>
        <v>2.8085803417231574</v>
      </c>
      <c r="H2" t="s">
        <v>0</v>
      </c>
      <c r="I2">
        <v>0.55135638150209321</v>
      </c>
    </row>
    <row r="3" spans="1:9" x14ac:dyDescent="0.2">
      <c r="A3" t="s">
        <v>116</v>
      </c>
      <c r="B3">
        <v>68.156424581005567</v>
      </c>
      <c r="C3">
        <v>68.834867403872579</v>
      </c>
      <c r="D3">
        <f>TableLIV[[#This Row],[ARIMAPP]]*$I$2+TableLIV[[#This Row],[LSTMPP]]*$I$3</f>
        <v>73.50848696705738</v>
      </c>
      <c r="E3">
        <v>86</v>
      </c>
      <c r="F3">
        <f>ABS(TableLIV[[#This Row],[PP]]-TableLIV[[#This Row],[AP]])</f>
        <v>12.49151303294262</v>
      </c>
      <c r="H3" t="s">
        <v>1</v>
      </c>
      <c r="I3">
        <v>0.52197394560438193</v>
      </c>
    </row>
    <row r="4" spans="1:9" x14ac:dyDescent="0.2">
      <c r="A4" t="s">
        <v>117</v>
      </c>
      <c r="B4">
        <v>52.026054838109808</v>
      </c>
      <c r="C4">
        <v>48.098952948032832</v>
      </c>
      <c r="D4">
        <f>TableLIV[[#This Row],[ARIMAPP]]*$I$2+TableLIV[[#This Row],[LSTMPP]]*$I$3</f>
        <v>53.791297589093908</v>
      </c>
      <c r="E4">
        <v>67</v>
      </c>
      <c r="F4">
        <f>ABS(TableLIV[[#This Row],[PP]]-TableLIV[[#This Row],[AP]])</f>
        <v>13.208702410906092</v>
      </c>
    </row>
    <row r="5" spans="1:9" x14ac:dyDescent="0.2">
      <c r="A5" t="s">
        <v>118</v>
      </c>
      <c r="B5">
        <v>47.719860371621543</v>
      </c>
      <c r="C5">
        <v>44.294840598514391</v>
      </c>
      <c r="D5">
        <f>TableLIV[[#This Row],[ARIMAPP]]*$I$2+TableLIV[[#This Row],[LSTMPP]]*$I$3</f>
        <v>49.431402257406106</v>
      </c>
      <c r="E5">
        <v>49</v>
      </c>
      <c r="F5">
        <f>ABS(TableLIV[[#This Row],[PP]]-TableLIV[[#This Row],[AP]])</f>
        <v>0.4314022574061056</v>
      </c>
      <c r="H5" t="s">
        <v>2</v>
      </c>
      <c r="I5" cm="1">
        <f t="array" ref="I5">(SUM(TableLIV[PP]-TableLIV[AP]))^2</f>
        <v>8.0779356694631609E-28</v>
      </c>
    </row>
    <row r="6" spans="1:9" x14ac:dyDescent="0.2">
      <c r="A6" t="s">
        <v>119</v>
      </c>
      <c r="B6">
        <v>28.707786528370772</v>
      </c>
      <c r="C6">
        <v>28.851351351351351</v>
      </c>
      <c r="D6">
        <f>TableLIV[[#This Row],[ARIMAPP]]*$I$2+TableLIV[[#This Row],[LSTMPP]]*$I$3</f>
        <v>30.88787500210023</v>
      </c>
      <c r="E6">
        <v>27</v>
      </c>
      <c r="F6">
        <f>ABS(TableLIV[[#This Row],[PP]]-TableLIV[[#This Row],[AP]])</f>
        <v>3.8878750021002304</v>
      </c>
    </row>
    <row r="7" spans="1:9" x14ac:dyDescent="0.2">
      <c r="A7" t="s">
        <v>120</v>
      </c>
      <c r="B7">
        <v>29.655172413793089</v>
      </c>
      <c r="C7">
        <v>29.4115121760554</v>
      </c>
      <c r="D7">
        <f>TableLIV[[#This Row],[ARIMAPP]]*$I$2+TableLIV[[#This Row],[LSTMPP]]*$I$3</f>
        <v>31.702611611616611</v>
      </c>
      <c r="E7">
        <v>29</v>
      </c>
      <c r="F7">
        <f>ABS(TableLIV[[#This Row],[PP]]-TableLIV[[#This Row],[AP]])</f>
        <v>2.7026116116166108</v>
      </c>
      <c r="H7" t="s">
        <v>3</v>
      </c>
      <c r="I7">
        <f>AVERAGE(TableLIV[DIFF])/10</f>
        <v>0.61946149628477098</v>
      </c>
    </row>
    <row r="8" spans="1:9" x14ac:dyDescent="0.2">
      <c r="A8" t="s">
        <v>121</v>
      </c>
      <c r="B8">
        <v>34.687500000000007</v>
      </c>
      <c r="C8">
        <v>31.20000000000001</v>
      </c>
      <c r="D8">
        <f>TableLIV[[#This Row],[ARIMAPP]]*$I$2+TableLIV[[#This Row],[LSTMPP]]*$I$3</f>
        <v>35.410761586210583</v>
      </c>
      <c r="E8">
        <v>27</v>
      </c>
      <c r="F8">
        <f>ABS(TableLIV[[#This Row],[PP]]-TableLIV[[#This Row],[AP]])</f>
        <v>8.4107615862105831</v>
      </c>
    </row>
    <row r="9" spans="1:9" x14ac:dyDescent="0.2">
      <c r="A9" t="s">
        <v>122</v>
      </c>
      <c r="B9">
        <v>38.181818181818159</v>
      </c>
      <c r="C9">
        <v>32.307692307692307</v>
      </c>
      <c r="D9">
        <f>TableLIV[[#This Row],[ARIMAPP]]*$I$2+TableLIV[[#This Row],[LSTMPP]]*$I$3</f>
        <v>37.915562739116581</v>
      </c>
      <c r="E9">
        <v>35</v>
      </c>
      <c r="F9">
        <f>ABS(TableLIV[[#This Row],[PP]]-TableLIV[[#This Row],[AP]])</f>
        <v>2.9155627391165808</v>
      </c>
    </row>
    <row r="10" spans="1:9" x14ac:dyDescent="0.2">
      <c r="A10" t="s">
        <v>123</v>
      </c>
      <c r="B10">
        <v>39.047619047619037</v>
      </c>
      <c r="C10">
        <v>33.756174946178078</v>
      </c>
      <c r="D10">
        <f>TableLIV[[#This Row],[ARIMAPP]]*$I$2+TableLIV[[#This Row],[LSTMPP]]*$I$3</f>
        <v>39.148997769535796</v>
      </c>
      <c r="E10">
        <v>31</v>
      </c>
      <c r="F10">
        <f>ABS(TableLIV[[#This Row],[PP]]-TableLIV[[#This Row],[AP]])</f>
        <v>8.1489977695357965</v>
      </c>
    </row>
    <row r="11" spans="1:9" x14ac:dyDescent="0.2">
      <c r="A11" t="s">
        <v>124</v>
      </c>
      <c r="B11">
        <v>35.714285714285701</v>
      </c>
      <c r="C11">
        <v>33.999999999999993</v>
      </c>
      <c r="D11">
        <f>TableLIV[[#This Row],[ARIMAPP]]*$I$2+TableLIV[[#This Row],[LSTMPP]]*$I$3</f>
        <v>37.438413489909451</v>
      </c>
      <c r="E11">
        <v>43</v>
      </c>
      <c r="F11">
        <f>ABS(TableLIV[[#This Row],[PP]]-TableLIV[[#This Row],[AP]])</f>
        <v>5.5615865100905495</v>
      </c>
    </row>
    <row r="12" spans="1:9" x14ac:dyDescent="0.2">
      <c r="A12" t="s">
        <v>125</v>
      </c>
      <c r="B12">
        <v>25</v>
      </c>
      <c r="C12">
        <v>28.333333333333329</v>
      </c>
      <c r="D12">
        <f>TableLIV[[#This Row],[ARIMAPP]]*$I$2+TableLIV[[#This Row],[LSTMPP]]*$I$3</f>
        <v>28.573171329676484</v>
      </c>
      <c r="E12">
        <v>21</v>
      </c>
      <c r="F12">
        <f>ABS(TableLIV[[#This Row],[PP]]-TableLIV[[#This Row],[AP]])</f>
        <v>7.5731713296764838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126</v>
      </c>
      <c r="B2">
        <v>17.99999997694357</v>
      </c>
      <c r="C2">
        <v>20</v>
      </c>
      <c r="D2">
        <f>TableLUT[[#This Row],[ARIMAPP]]*$I$2+TableLUT[[#This Row],[LSTMPP]]*$I$3</f>
        <v>19.839469123388199</v>
      </c>
      <c r="E2">
        <v>22</v>
      </c>
      <c r="F2">
        <f>ABS(TableLUT[[#This Row],[PP]]-TableLUT[[#This Row],[AP]])</f>
        <v>2.1605308766118014</v>
      </c>
      <c r="H2" t="s">
        <v>0</v>
      </c>
      <c r="I2">
        <v>0.52523287269156338</v>
      </c>
    </row>
    <row r="3" spans="1:9" x14ac:dyDescent="0.2">
      <c r="A3" t="s">
        <v>127</v>
      </c>
      <c r="B3">
        <v>15.999999994981559</v>
      </c>
      <c r="C3">
        <v>20</v>
      </c>
      <c r="D3">
        <f>TableLUT[[#This Row],[ARIMAPP]]*$I$2+TableLUT[[#This Row],[LSTMPP]]*$I$3</f>
        <v>18.789003387479216</v>
      </c>
      <c r="E3">
        <v>31</v>
      </c>
      <c r="F3">
        <f>ABS(TableLUT[[#This Row],[PP]]-TableLUT[[#This Row],[AP]])</f>
        <v>12.210996612520784</v>
      </c>
      <c r="H3" t="s">
        <v>1</v>
      </c>
      <c r="I3">
        <v>0.51926387135250263</v>
      </c>
    </row>
    <row r="4" spans="1:9" x14ac:dyDescent="0.2">
      <c r="A4" t="s">
        <v>128</v>
      </c>
      <c r="B4">
        <v>42.858190666165093</v>
      </c>
      <c r="C4">
        <v>33.285859351254921</v>
      </c>
      <c r="D4">
        <f>TableLUT[[#This Row],[ARIMAPP]]*$I$2+TableLUT[[#This Row],[LSTMPP]]*$I$3</f>
        <v>39.794674789980178</v>
      </c>
      <c r="E4">
        <v>20</v>
      </c>
      <c r="F4">
        <f>ABS(TableLUT[[#This Row],[PP]]-TableLUT[[#This Row],[AP]])</f>
        <v>19.794674789980178</v>
      </c>
    </row>
    <row r="5" spans="1:9" x14ac:dyDescent="0.2">
      <c r="A5" t="s">
        <v>129</v>
      </c>
      <c r="B5">
        <v>17.5</v>
      </c>
      <c r="C5">
        <v>20</v>
      </c>
      <c r="D5">
        <f>TableLUT[[#This Row],[ARIMAPP]]*$I$2+TableLUT[[#This Row],[LSTMPP]]*$I$3</f>
        <v>19.576852699152411</v>
      </c>
      <c r="E5">
        <v>25</v>
      </c>
      <c r="F5">
        <f>ABS(TableLUT[[#This Row],[PP]]-TableLUT[[#This Row],[AP]])</f>
        <v>5.4231473008475888</v>
      </c>
      <c r="H5" t="s">
        <v>2</v>
      </c>
      <c r="I5" cm="1">
        <f t="array" ref="I5">(SUM(TableLUT[PP]-TableLUT[AP]))^2</f>
        <v>1.2621774483536189E-29</v>
      </c>
    </row>
    <row r="7" spans="1:9" x14ac:dyDescent="0.2">
      <c r="H7" t="s">
        <v>3</v>
      </c>
      <c r="I7">
        <f>AVERAGE(TableLUT[DIFF])/10</f>
        <v>0.98973373949900889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130</v>
      </c>
      <c r="B2">
        <v>39.890987835319322</v>
      </c>
      <c r="C2">
        <v>34.714285714285722</v>
      </c>
      <c r="D2">
        <f>TableMCI[[#This Row],[ARIMAPP]]*$I$2+TableMCI[[#This Row],[LSTMPP]]*$I$3</f>
        <v>31.455048987249114</v>
      </c>
      <c r="E2">
        <v>21</v>
      </c>
      <c r="F2">
        <f>ABS(TableMCI[[#This Row],[PP]]-TableMCI[[#This Row],[AP]])</f>
        <v>10.455048987249114</v>
      </c>
      <c r="H2" t="s">
        <v>0</v>
      </c>
      <c r="I2">
        <v>0.44213056571549758</v>
      </c>
    </row>
    <row r="3" spans="1:9" x14ac:dyDescent="0.2">
      <c r="A3" t="s">
        <v>131</v>
      </c>
      <c r="B3">
        <v>38.846153846153832</v>
      </c>
      <c r="C3">
        <v>37.354581436378602</v>
      </c>
      <c r="D3">
        <f>TableMCI[[#This Row],[ARIMAPP]]*$I$2+TableMCI[[#This Row],[LSTMPP]]*$I$3</f>
        <v>32.04406584991419</v>
      </c>
      <c r="E3">
        <v>22</v>
      </c>
      <c r="F3">
        <f>ABS(TableMCI[[#This Row],[PP]]-TableMCI[[#This Row],[AP]])</f>
        <v>10.04406584991419</v>
      </c>
      <c r="H3" t="s">
        <v>1</v>
      </c>
      <c r="I3">
        <v>0.39805007317154506</v>
      </c>
    </row>
    <row r="4" spans="1:9" x14ac:dyDescent="0.2">
      <c r="A4" t="s">
        <v>132</v>
      </c>
      <c r="B4">
        <v>32.966101694915253</v>
      </c>
      <c r="C4">
        <v>30.106382978723399</v>
      </c>
      <c r="D4">
        <f>TableMCI[[#This Row],[ARIMAPP]]*$I$2+TableMCI[[#This Row],[LSTMPP]]*$I$3</f>
        <v>26.559169139418913</v>
      </c>
      <c r="E4">
        <v>26</v>
      </c>
      <c r="F4">
        <f>ABS(TableMCI[[#This Row],[PP]]-TableMCI[[#This Row],[AP]])</f>
        <v>0.55916913941891266</v>
      </c>
    </row>
    <row r="5" spans="1:9" x14ac:dyDescent="0.2">
      <c r="A5" t="s">
        <v>133</v>
      </c>
      <c r="B5">
        <v>48.217828997534802</v>
      </c>
      <c r="C5">
        <v>41.683820520437031</v>
      </c>
      <c r="D5">
        <f>TableMCI[[#This Row],[ARIMAPP]]*$I$2+TableMCI[[#This Row],[LSTMPP]]*$I$3</f>
        <v>37.910823820482697</v>
      </c>
      <c r="E5">
        <v>40</v>
      </c>
      <c r="F5">
        <f>ABS(TableMCI[[#This Row],[PP]]-TableMCI[[#This Row],[AP]])</f>
        <v>2.0891761795173025</v>
      </c>
      <c r="H5" t="s">
        <v>2</v>
      </c>
      <c r="I5" cm="1">
        <f t="array" ref="I5">(SUM(TableMCI[PP]-TableMCI[AP]))^2</f>
        <v>1.2621774483536189E-27</v>
      </c>
    </row>
    <row r="6" spans="1:9" x14ac:dyDescent="0.2">
      <c r="A6" t="s">
        <v>134</v>
      </c>
      <c r="B6">
        <v>34.275388460898071</v>
      </c>
      <c r="C6">
        <v>29.252336448598129</v>
      </c>
      <c r="D6">
        <f>TableMCI[[#This Row],[ARIMAPP]]*$I$2+TableMCI[[#This Row],[LSTMPP]]*$I$3</f>
        <v>26.798091554138445</v>
      </c>
      <c r="E6">
        <v>24</v>
      </c>
      <c r="F6">
        <f>ABS(TableMCI[[#This Row],[PP]]-TableMCI[[#This Row],[AP]])</f>
        <v>2.7980915541384448</v>
      </c>
    </row>
    <row r="7" spans="1:9" x14ac:dyDescent="0.2">
      <c r="A7" t="s">
        <v>135</v>
      </c>
      <c r="B7">
        <v>82.344849188075159</v>
      </c>
      <c r="C7">
        <v>78.646028734647558</v>
      </c>
      <c r="D7">
        <f>TableMCI[[#This Row],[ARIMAPP]]*$I$2+TableMCI[[#This Row],[LSTMPP]]*$I$3</f>
        <v>67.712232247758905</v>
      </c>
      <c r="E7">
        <v>67</v>
      </c>
      <c r="F7">
        <f>ABS(TableMCI[[#This Row],[PP]]-TableMCI[[#This Row],[AP]])</f>
        <v>0.71223224775890515</v>
      </c>
      <c r="H7" t="s">
        <v>3</v>
      </c>
      <c r="I7">
        <f>AVERAGE(TableMCI[DIFF])/10</f>
        <v>0.62514543945566048</v>
      </c>
    </row>
    <row r="8" spans="1:9" x14ac:dyDescent="0.2">
      <c r="A8" t="s">
        <v>136</v>
      </c>
      <c r="B8">
        <v>33.999999999999993</v>
      </c>
      <c r="C8">
        <v>31.25</v>
      </c>
      <c r="D8">
        <f>TableMCI[[#This Row],[ARIMAPP]]*$I$2+TableMCI[[#This Row],[LSTMPP]]*$I$3</f>
        <v>27.471504020937701</v>
      </c>
      <c r="E8">
        <v>47</v>
      </c>
      <c r="F8">
        <f>ABS(TableMCI[[#This Row],[PP]]-TableMCI[[#This Row],[AP]])</f>
        <v>19.528495979062299</v>
      </c>
    </row>
    <row r="9" spans="1:9" x14ac:dyDescent="0.2">
      <c r="A9" t="s">
        <v>137</v>
      </c>
      <c r="B9">
        <v>35.833333333333329</v>
      </c>
      <c r="C9">
        <v>29.50218446464638</v>
      </c>
      <c r="D9">
        <f>TableMCI[[#This Row],[ARIMAPP]]*$I$2+TableMCI[[#This Row],[LSTMPP]]*$I$3</f>
        <v>27.58635862301157</v>
      </c>
      <c r="E9">
        <v>36</v>
      </c>
      <c r="F9">
        <f>ABS(TableMCI[[#This Row],[PP]]-TableMCI[[#This Row],[AP]])</f>
        <v>8.41364137698843</v>
      </c>
    </row>
    <row r="10" spans="1:9" x14ac:dyDescent="0.2">
      <c r="A10" t="s">
        <v>138</v>
      </c>
      <c r="B10">
        <v>32.068965517241359</v>
      </c>
      <c r="C10">
        <v>29.130434782608699</v>
      </c>
      <c r="D10">
        <f>TableMCI[[#This Row],[ARIMAPP]]*$I$2+TableMCI[[#This Row],[LSTMPP]]*$I$3</f>
        <v>25.774041562785023</v>
      </c>
      <c r="E10">
        <v>27</v>
      </c>
      <c r="F10">
        <f>ABS(TableMCI[[#This Row],[PP]]-TableMCI[[#This Row],[AP]])</f>
        <v>1.2259584372149774</v>
      </c>
    </row>
    <row r="11" spans="1:9" x14ac:dyDescent="0.2">
      <c r="A11" t="s">
        <v>139</v>
      </c>
      <c r="B11">
        <v>37.54900633946319</v>
      </c>
      <c r="C11">
        <v>32.878026312387462</v>
      </c>
      <c r="D11">
        <f>TableMCI[[#This Row],[ARIMAPP]]*$I$2+TableMCI[[#This Row],[LSTMPP]]*$I$3</f>
        <v>29.688664194303477</v>
      </c>
      <c r="E11">
        <v>23</v>
      </c>
      <c r="F11">
        <f>ABS(TableMCI[[#This Row],[PP]]-TableMCI[[#This Row],[AP]])</f>
        <v>6.6886641943034775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140</v>
      </c>
      <c r="B2">
        <v>37.252747252747227</v>
      </c>
      <c r="C2">
        <v>37.235317014031253</v>
      </c>
      <c r="D2">
        <f>TableMUN[[#This Row],[ARIMAPP]]*$I$2+TableMUN[[#This Row],[LSTMPP]]*$I$3</f>
        <v>38.526562082776096</v>
      </c>
      <c r="E2">
        <v>28</v>
      </c>
      <c r="F2">
        <f>ABS(TableMUN[[#This Row],[PP]]-TableMUN[[#This Row],[AP]])</f>
        <v>10.526562082776096</v>
      </c>
      <c r="H2" t="s">
        <v>0</v>
      </c>
      <c r="I2">
        <v>0.51655076157190483</v>
      </c>
    </row>
    <row r="3" spans="1:9" x14ac:dyDescent="0.2">
      <c r="A3" t="s">
        <v>141</v>
      </c>
      <c r="B3">
        <v>30.14229593705026</v>
      </c>
      <c r="C3">
        <v>30.3448275862069</v>
      </c>
      <c r="D3">
        <f>TableMUN[[#This Row],[ARIMAPP]]*$I$2+TableMUN[[#This Row],[LSTMPP]]*$I$3</f>
        <v>31.285169153539162</v>
      </c>
      <c r="E3">
        <v>36</v>
      </c>
      <c r="F3">
        <f>ABS(TableMUN[[#This Row],[PP]]-TableMUN[[#This Row],[AP]])</f>
        <v>4.7148308464608384</v>
      </c>
      <c r="H3" t="s">
        <v>1</v>
      </c>
      <c r="I3">
        <v>0.51788540195474242</v>
      </c>
    </row>
    <row r="4" spans="1:9" x14ac:dyDescent="0.2">
      <c r="A4" t="s">
        <v>142</v>
      </c>
      <c r="B4">
        <v>46.580645161290278</v>
      </c>
      <c r="C4">
        <v>45.179357318884151</v>
      </c>
      <c r="D4">
        <f>TableMUN[[#This Row],[ARIMAPP]]*$I$2+TableMUN[[#This Row],[LSTMPP]]*$I$3</f>
        <v>47.45899735772241</v>
      </c>
      <c r="E4">
        <v>23</v>
      </c>
      <c r="F4">
        <f>ABS(TableMUN[[#This Row],[PP]]-TableMUN[[#This Row],[AP]])</f>
        <v>24.45899735772241</v>
      </c>
    </row>
    <row r="5" spans="1:9" x14ac:dyDescent="0.2">
      <c r="A5" t="s">
        <v>143</v>
      </c>
      <c r="B5">
        <v>23.920000000000019</v>
      </c>
      <c r="C5">
        <v>27.15</v>
      </c>
      <c r="D5">
        <f>TableMUN[[#This Row],[ARIMAPP]]*$I$2+TableMUN[[#This Row],[LSTMPP]]*$I$3</f>
        <v>26.416482879871229</v>
      </c>
      <c r="E5">
        <v>53</v>
      </c>
      <c r="F5">
        <f>ABS(TableMUN[[#This Row],[PP]]-TableMUN[[#This Row],[AP]])</f>
        <v>26.583517120128771</v>
      </c>
      <c r="H5" t="s">
        <v>2</v>
      </c>
      <c r="I5" cm="1">
        <f t="array" ref="I5">(SUM(TableMUN[PP]-TableMUN[AP]))^2</f>
        <v>1.135959703518257E-28</v>
      </c>
    </row>
    <row r="6" spans="1:9" x14ac:dyDescent="0.2">
      <c r="A6" t="s">
        <v>144</v>
      </c>
      <c r="B6">
        <v>29.984571264041019</v>
      </c>
      <c r="C6">
        <v>30.648148148148149</v>
      </c>
      <c r="D6">
        <f>TableMUN[[#This Row],[ARIMAPP]]*$I$2+TableMUN[[#This Row],[LSTMPP]]*$I$3</f>
        <v>31.360781644719641</v>
      </c>
      <c r="E6">
        <v>40</v>
      </c>
      <c r="F6">
        <f>ABS(TableMUN[[#This Row],[PP]]-TableMUN[[#This Row],[AP]])</f>
        <v>8.6392183552803594</v>
      </c>
    </row>
    <row r="7" spans="1:9" x14ac:dyDescent="0.2">
      <c r="A7" t="s">
        <v>145</v>
      </c>
      <c r="B7">
        <v>43.4579439252336</v>
      </c>
      <c r="C7">
        <v>44.305081742559103</v>
      </c>
      <c r="D7">
        <f>TableMUN[[#This Row],[ARIMAPP]]*$I$2+TableMUN[[#This Row],[LSTMPP]]*$I$3</f>
        <v>45.393189097811486</v>
      </c>
      <c r="E7">
        <v>21</v>
      </c>
      <c r="F7">
        <f>ABS(TableMUN[[#This Row],[PP]]-TableMUN[[#This Row],[AP]])</f>
        <v>24.393189097811486</v>
      </c>
      <c r="H7" t="s">
        <v>3</v>
      </c>
      <c r="I7">
        <f>AVERAGE(TableMUN[DIFF])/10</f>
        <v>1.2865247553557873</v>
      </c>
    </row>
    <row r="8" spans="1:9" x14ac:dyDescent="0.2">
      <c r="A8" t="s">
        <v>146</v>
      </c>
      <c r="B8">
        <v>31.025641025641018</v>
      </c>
      <c r="C8">
        <v>31.774193548387089</v>
      </c>
      <c r="D8">
        <f>TableMUN[[#This Row],[ARIMAPP]]*$I$2+TableMUN[[#This Row],[LSTMPP]]*$I$3</f>
        <v>32.481709497645639</v>
      </c>
      <c r="E8">
        <v>31</v>
      </c>
      <c r="F8">
        <f>ABS(TableMUN[[#This Row],[PP]]-TableMUN[[#This Row],[AP]])</f>
        <v>1.4817094976456389</v>
      </c>
    </row>
    <row r="9" spans="1:9" x14ac:dyDescent="0.2">
      <c r="A9" t="s">
        <v>147</v>
      </c>
      <c r="B9">
        <v>43.719721608650261</v>
      </c>
      <c r="C9">
        <v>43.088582786318398</v>
      </c>
      <c r="D9">
        <f>TableMUN[[#This Row],[ARIMAPP]]*$I$2+TableMUN[[#This Row],[LSTMPP]]*$I$3</f>
        <v>44.898403508612653</v>
      </c>
      <c r="E9">
        <v>35</v>
      </c>
      <c r="F9">
        <f>ABS(TableMUN[[#This Row],[PP]]-TableMUN[[#This Row],[AP]])</f>
        <v>9.8984035086126525</v>
      </c>
    </row>
    <row r="10" spans="1:9" x14ac:dyDescent="0.2">
      <c r="A10" t="s">
        <v>148</v>
      </c>
      <c r="B10">
        <v>34.666666666666657</v>
      </c>
      <c r="C10">
        <v>33.75</v>
      </c>
      <c r="D10">
        <f>TableMUN[[#This Row],[ARIMAPP]]*$I$2+TableMUN[[#This Row],[LSTMPP]]*$I$3</f>
        <v>35.385725383798587</v>
      </c>
      <c r="E10">
        <v>45</v>
      </c>
      <c r="F10">
        <f>ABS(TableMUN[[#This Row],[PP]]-TableMUN[[#This Row],[AP]])</f>
        <v>9.6142746162014134</v>
      </c>
    </row>
    <row r="11" spans="1:9" x14ac:dyDescent="0.2">
      <c r="A11" t="s">
        <v>149</v>
      </c>
      <c r="B11">
        <v>19.523809523809518</v>
      </c>
      <c r="C11">
        <v>22.1875</v>
      </c>
      <c r="D11">
        <f>TableMUN[[#This Row],[ARIMAPP]]*$I$2+TableMUN[[#This Row],[LSTMPP]]*$I$3</f>
        <v>21.575621034179463</v>
      </c>
      <c r="E11">
        <v>27</v>
      </c>
      <c r="F11">
        <f>ABS(TableMUN[[#This Row],[PP]]-TableMUN[[#This Row],[AP]])</f>
        <v>5.4243789658205372</v>
      </c>
    </row>
    <row r="12" spans="1:9" x14ac:dyDescent="0.2">
      <c r="A12" t="s">
        <v>101</v>
      </c>
      <c r="B12">
        <v>31.428571428571431</v>
      </c>
      <c r="C12">
        <v>27</v>
      </c>
      <c r="D12">
        <f>TableMUN[[#This Row],[ARIMAPP]]*$I$2+TableMUN[[#This Row],[LSTMPP]]*$I$3</f>
        <v>30.217358359323626</v>
      </c>
      <c r="E12">
        <v>46</v>
      </c>
      <c r="F12">
        <f>ABS(TableMUN[[#This Row],[PP]]-TableMUN[[#This Row],[AP]])</f>
        <v>15.782641640676374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108</v>
      </c>
      <c r="B2">
        <v>45.755395683453209</v>
      </c>
      <c r="C2">
        <v>45.266687293951598</v>
      </c>
      <c r="D2">
        <f>TableNEW[[#This Row],[ARIMAPP]]*$I$2+TableNEW[[#This Row],[LSTMPP]]*$I$3</f>
        <v>52.101350873265972</v>
      </c>
      <c r="E2">
        <v>46</v>
      </c>
      <c r="F2">
        <f>ABS(TableNEW[[#This Row],[PP]]-TableNEW[[#This Row],[AP]])</f>
        <v>6.1013508732659716</v>
      </c>
      <c r="H2" t="s">
        <v>0</v>
      </c>
      <c r="I2">
        <v>0.58447244062317971</v>
      </c>
    </row>
    <row r="3" spans="1:9" x14ac:dyDescent="0.2">
      <c r="A3" t="s">
        <v>150</v>
      </c>
      <c r="B3">
        <v>20.54389318705249</v>
      </c>
      <c r="C3">
        <v>28.27586206896552</v>
      </c>
      <c r="D3">
        <f>TableNEW[[#This Row],[ARIMAPP]]*$I$2+TableNEW[[#This Row],[LSTMPP]]*$I$3</f>
        <v>27.84759279763043</v>
      </c>
      <c r="E3">
        <v>35</v>
      </c>
      <c r="F3">
        <f>ABS(TableNEW[[#This Row],[PP]]-TableNEW[[#This Row],[AP]])</f>
        <v>7.1524072023695702</v>
      </c>
      <c r="H3" t="s">
        <v>1</v>
      </c>
      <c r="I3">
        <v>0.56020408389520293</v>
      </c>
    </row>
    <row r="4" spans="1:9" x14ac:dyDescent="0.2">
      <c r="A4" t="s">
        <v>151</v>
      </c>
      <c r="B4">
        <v>54.542125899709333</v>
      </c>
      <c r="C4">
        <v>39.322033898305079</v>
      </c>
      <c r="D4">
        <f>TableNEW[[#This Row],[ARIMAPP]]*$I$2+TableNEW[[#This Row],[LSTMPP]]*$I$3</f>
        <v>53.906733418275969</v>
      </c>
      <c r="E4">
        <v>51</v>
      </c>
      <c r="F4">
        <f>ABS(TableNEW[[#This Row],[PP]]-TableNEW[[#This Row],[AP]])</f>
        <v>2.9067334182759694</v>
      </c>
    </row>
    <row r="5" spans="1:9" x14ac:dyDescent="0.2">
      <c r="A5" t="s">
        <v>152</v>
      </c>
      <c r="B5">
        <v>34.79603085910334</v>
      </c>
      <c r="C5">
        <v>30.49504950495049</v>
      </c>
      <c r="D5">
        <f>TableNEW[[#This Row],[ARIMAPP]]*$I$2+TableNEW[[#This Row],[LSTMPP]]*$I$3</f>
        <v>37.420772351479258</v>
      </c>
      <c r="E5">
        <v>29</v>
      </c>
      <c r="F5">
        <f>ABS(TableNEW[[#This Row],[PP]]-TableNEW[[#This Row],[AP]])</f>
        <v>8.4207723514792576</v>
      </c>
      <c r="H5" t="s">
        <v>2</v>
      </c>
      <c r="I5" cm="1">
        <f t="array" ref="I5">(SUM(TableNEW[PP]-TableNEW[AP]))^2</f>
        <v>5.0487097934144756E-29</v>
      </c>
    </row>
    <row r="6" spans="1:9" x14ac:dyDescent="0.2">
      <c r="A6" t="s">
        <v>153</v>
      </c>
      <c r="B6">
        <v>22.566371681415941</v>
      </c>
      <c r="C6">
        <v>25.6111111111111</v>
      </c>
      <c r="D6">
        <f>TableNEW[[#This Row],[ARIMAPP]]*$I$2+TableNEW[[#This Row],[LSTMPP]]*$I$3</f>
        <v>27.536871370185231</v>
      </c>
      <c r="E6">
        <v>34</v>
      </c>
      <c r="F6">
        <f>ABS(TableNEW[[#This Row],[PP]]-TableNEW[[#This Row],[AP]])</f>
        <v>6.4631286298147685</v>
      </c>
    </row>
    <row r="7" spans="1:9" x14ac:dyDescent="0.2">
      <c r="A7" t="s">
        <v>154</v>
      </c>
      <c r="B7">
        <v>29.032258064516121</v>
      </c>
      <c r="C7">
        <v>29.141414141414149</v>
      </c>
      <c r="D7">
        <f>TableNEW[[#This Row],[ARIMAPP]]*$I$2+TableNEW[[#This Row],[LSTMPP]]*$I$3</f>
        <v>33.293693940271353</v>
      </c>
      <c r="E7">
        <v>47</v>
      </c>
      <c r="F7">
        <f>ABS(TableNEW[[#This Row],[PP]]-TableNEW[[#This Row],[AP]])</f>
        <v>13.706306059728647</v>
      </c>
      <c r="H7" t="s">
        <v>3</v>
      </c>
      <c r="I7">
        <f>AVERAGE(TableNEW[DIFF])/10</f>
        <v>1.0215321061819518</v>
      </c>
    </row>
    <row r="8" spans="1:9" x14ac:dyDescent="0.2">
      <c r="A8" t="s">
        <v>155</v>
      </c>
      <c r="B8">
        <v>25.54744525547445</v>
      </c>
      <c r="C8">
        <v>26.192660550458712</v>
      </c>
      <c r="D8">
        <f>TableNEW[[#This Row],[ARIMAPP]]*$I$2+TableNEW[[#This Row],[LSTMPP]]*$I$3</f>
        <v>29.605013088601972</v>
      </c>
      <c r="E8">
        <v>34</v>
      </c>
      <c r="F8">
        <f>ABS(TableNEW[[#This Row],[PP]]-TableNEW[[#This Row],[AP]])</f>
        <v>4.3949869113980284</v>
      </c>
    </row>
    <row r="9" spans="1:9" x14ac:dyDescent="0.2">
      <c r="A9" t="s">
        <v>156</v>
      </c>
      <c r="B9">
        <v>40.746675280074868</v>
      </c>
      <c r="C9">
        <v>35.850808012116588</v>
      </c>
      <c r="D9">
        <f>TableNEW[[#This Row],[ARIMAPP]]*$I$2+TableNEW[[#This Row],[LSTMPP]]*$I$3</f>
        <v>43.899077807556118</v>
      </c>
      <c r="E9">
        <v>47</v>
      </c>
      <c r="F9">
        <f>ABS(TableNEW[[#This Row],[PP]]-TableNEW[[#This Row],[AP]])</f>
        <v>3.1009221924438819</v>
      </c>
    </row>
    <row r="10" spans="1:9" x14ac:dyDescent="0.2">
      <c r="A10" t="s">
        <v>157</v>
      </c>
      <c r="B10">
        <v>26.049382716049379</v>
      </c>
      <c r="C10">
        <v>26.5625</v>
      </c>
      <c r="D10">
        <f>TableNEW[[#This Row],[ARIMAPP]]*$I$2+TableNEW[[#This Row],[LSTMPP]]*$I$3</f>
        <v>30.105567271242982</v>
      </c>
      <c r="E10">
        <v>57</v>
      </c>
      <c r="F10">
        <f>ABS(TableNEW[[#This Row],[PP]]-TableNEW[[#This Row],[AP]])</f>
        <v>26.894432728757018</v>
      </c>
    </row>
    <row r="11" spans="1:9" x14ac:dyDescent="0.2">
      <c r="A11" t="s">
        <v>158</v>
      </c>
      <c r="B11">
        <v>10.95238094850794</v>
      </c>
      <c r="C11">
        <v>17.5</v>
      </c>
      <c r="D11">
        <f>TableNEW[[#This Row],[ARIMAPP]]*$I$2+TableNEW[[#This Row],[LSTMPP]]*$I$3</f>
        <v>16.204936291775304</v>
      </c>
      <c r="E11">
        <v>26</v>
      </c>
      <c r="F11">
        <f>ABS(TableNEW[[#This Row],[PP]]-TableNEW[[#This Row],[AP]])</f>
        <v>9.7950637082246956</v>
      </c>
    </row>
    <row r="12" spans="1:9" x14ac:dyDescent="0.2">
      <c r="A12" t="s">
        <v>159</v>
      </c>
      <c r="B12">
        <v>27.181864734120001</v>
      </c>
      <c r="C12">
        <v>31.08695652173914</v>
      </c>
      <c r="D12">
        <f>TableNEW[[#This Row],[ARIMAPP]]*$I$2+TableNEW[[#This Row],[LSTMPP]]*$I$3</f>
        <v>33.302090821191129</v>
      </c>
      <c r="E12">
        <v>23</v>
      </c>
      <c r="F12">
        <f>ABS(TableNEW[[#This Row],[PP]]-TableNEW[[#This Row],[AP]])</f>
        <v>10.302090821191129</v>
      </c>
    </row>
    <row r="13" spans="1:9" x14ac:dyDescent="0.2">
      <c r="A13" t="s">
        <v>160</v>
      </c>
      <c r="B13">
        <v>35.000000000000007</v>
      </c>
      <c r="C13">
        <v>31.75</v>
      </c>
      <c r="D13">
        <f>TableNEW[[#This Row],[ARIMAPP]]*$I$2+TableNEW[[#This Row],[LSTMPP]]*$I$3</f>
        <v>38.243015085483989</v>
      </c>
      <c r="E13">
        <v>27</v>
      </c>
      <c r="F13">
        <f>ABS(TableNEW[[#This Row],[PP]]-TableNEW[[#This Row],[AP]])</f>
        <v>11.243015085483989</v>
      </c>
    </row>
    <row r="14" spans="1:9" x14ac:dyDescent="0.2">
      <c r="A14" t="s">
        <v>161</v>
      </c>
      <c r="B14">
        <v>49.920374119306921</v>
      </c>
      <c r="C14">
        <v>38.392396225157142</v>
      </c>
      <c r="D14">
        <f>TableNEW[[#This Row],[ARIMAPP]]*$I$2+TableNEW[[#This Row],[LSTMPP]]*$I$3</f>
        <v>50.684660054189337</v>
      </c>
      <c r="E14">
        <v>30</v>
      </c>
      <c r="F14">
        <f>ABS(TableNEW[[#This Row],[PP]]-TableNEW[[#This Row],[AP]])</f>
        <v>20.684660054189337</v>
      </c>
    </row>
    <row r="15" spans="1:9" x14ac:dyDescent="0.2">
      <c r="A15" t="s">
        <v>162</v>
      </c>
      <c r="B15">
        <v>49.090909090909072</v>
      </c>
      <c r="C15">
        <v>46.690736701180043</v>
      </c>
      <c r="D15">
        <f>TableNEW[[#This Row],[ARIMAPP]]*$I$2+TableNEW[[#This Row],[LSTMPP]]*$I$3</f>
        <v>54.848624828850959</v>
      </c>
      <c r="E15">
        <v>43</v>
      </c>
      <c r="F15">
        <f>ABS(TableNEW[[#This Row],[PP]]-TableNEW[[#This Row],[AP]])</f>
        <v>11.848624828850959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163</v>
      </c>
      <c r="B2">
        <v>33.355254474575823</v>
      </c>
      <c r="C2">
        <v>33.543341940153411</v>
      </c>
      <c r="D2">
        <f>TableNFO[[#This Row],[ARIMAPP]]*$I$2+TableNFO[[#This Row],[LSTMPP]]*$I$3</f>
        <v>39.165426870557766</v>
      </c>
      <c r="E2">
        <v>25</v>
      </c>
      <c r="F2">
        <f>ABS(TableNFO[[#This Row],[PP]]-TableNFO[[#This Row],[AP]])</f>
        <v>14.165426870557766</v>
      </c>
      <c r="H2" t="s">
        <v>0</v>
      </c>
      <c r="I2">
        <v>0.59410276693829378</v>
      </c>
    </row>
    <row r="3" spans="1:9" x14ac:dyDescent="0.2">
      <c r="A3" t="s">
        <v>164</v>
      </c>
      <c r="B3">
        <v>32.812833449011613</v>
      </c>
      <c r="C3">
        <v>26.071428571428569</v>
      </c>
      <c r="D3">
        <f>TableNFO[[#This Row],[ARIMAPP]]*$I$2+TableNFO[[#This Row],[LSTMPP]]*$I$3</f>
        <v>34.533110944288069</v>
      </c>
      <c r="E3">
        <v>33</v>
      </c>
      <c r="F3">
        <f>ABS(TableNFO[[#This Row],[PP]]-TableNFO[[#This Row],[AP]])</f>
        <v>1.5331109442880688</v>
      </c>
      <c r="H3" t="s">
        <v>1</v>
      </c>
      <c r="I3">
        <v>0.57683512661925529</v>
      </c>
    </row>
    <row r="4" spans="1:9" x14ac:dyDescent="0.2">
      <c r="A4" t="s">
        <v>165</v>
      </c>
      <c r="B4">
        <v>34.000000000000021</v>
      </c>
      <c r="C4">
        <v>32.625</v>
      </c>
      <c r="D4">
        <f>TableNFO[[#This Row],[ARIMAPP]]*$I$2+TableNFO[[#This Row],[LSTMPP]]*$I$3</f>
        <v>39.018740081855206</v>
      </c>
      <c r="E4">
        <v>30</v>
      </c>
      <c r="F4">
        <f>ABS(TableNFO[[#This Row],[PP]]-TableNFO[[#This Row],[AP]])</f>
        <v>9.0187400818552064</v>
      </c>
    </row>
    <row r="5" spans="1:9" x14ac:dyDescent="0.2">
      <c r="A5" t="s">
        <v>166</v>
      </c>
      <c r="B5">
        <v>24.178178533954899</v>
      </c>
      <c r="C5">
        <v>24.696969696969688</v>
      </c>
      <c r="D5">
        <f>TableNFO[[#This Row],[ARIMAPP]]*$I$2+TableNFO[[#This Row],[LSTMPP]]*$I$3</f>
        <v>28.610402408814085</v>
      </c>
      <c r="E5">
        <v>36</v>
      </c>
      <c r="F5">
        <f>ABS(TableNFO[[#This Row],[PP]]-TableNFO[[#This Row],[AP]])</f>
        <v>7.3895975911859146</v>
      </c>
      <c r="H5" t="s">
        <v>2</v>
      </c>
      <c r="I5" cm="1">
        <f t="array" ref="I5">(SUM(TableNFO[PP]-TableNFO[AP]))^2</f>
        <v>1.135959703518257E-28</v>
      </c>
    </row>
    <row r="6" spans="1:9" x14ac:dyDescent="0.2">
      <c r="A6" t="s">
        <v>167</v>
      </c>
      <c r="B6">
        <v>18.125</v>
      </c>
      <c r="C6">
        <v>23.6</v>
      </c>
      <c r="D6">
        <f>TableNFO[[#This Row],[ARIMAPP]]*$I$2+TableNFO[[#This Row],[LSTMPP]]*$I$3</f>
        <v>24.381421638970998</v>
      </c>
      <c r="E6">
        <v>26</v>
      </c>
      <c r="F6">
        <f>ABS(TableNFO[[#This Row],[PP]]-TableNFO[[#This Row],[AP]])</f>
        <v>1.6185783610290017</v>
      </c>
    </row>
    <row r="7" spans="1:9" x14ac:dyDescent="0.2">
      <c r="A7" t="s">
        <v>168</v>
      </c>
      <c r="B7">
        <v>38.076923076923073</v>
      </c>
      <c r="C7">
        <v>28.25</v>
      </c>
      <c r="D7">
        <f>TableNFO[[#This Row],[ARIMAPP]]*$I$2+TableNFO[[#This Row],[LSTMPP]]*$I$3</f>
        <v>38.917197683490528</v>
      </c>
      <c r="E7">
        <v>42</v>
      </c>
      <c r="F7">
        <f>ABS(TableNFO[[#This Row],[PP]]-TableNFO[[#This Row],[AP]])</f>
        <v>3.082802316509472</v>
      </c>
      <c r="H7" t="s">
        <v>3</v>
      </c>
      <c r="I7">
        <f>AVERAGE(TableNFO[DIFF])/10</f>
        <v>0.70620793990574415</v>
      </c>
    </row>
    <row r="8" spans="1:9" x14ac:dyDescent="0.2">
      <c r="A8" t="s">
        <v>169</v>
      </c>
      <c r="B8">
        <v>15.26315789473685</v>
      </c>
      <c r="C8">
        <v>21.333333333333329</v>
      </c>
      <c r="D8">
        <f>TableNFO[[#This Row],[ARIMAPP]]*$I$2+TableNFO[[#This Row],[LSTMPP]]*$I$3</f>
        <v>21.373700372023336</v>
      </c>
      <c r="E8">
        <v>34</v>
      </c>
      <c r="F8">
        <f>ABS(TableNFO[[#This Row],[PP]]-TableNFO[[#This Row],[AP]])</f>
        <v>12.626299627976664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170</v>
      </c>
      <c r="B2">
        <v>19.006326573186879</v>
      </c>
      <c r="C2">
        <v>26.03448275862069</v>
      </c>
      <c r="D2">
        <f>TableSHU[[#This Row],[ARIMAPP]]*$I$2+TableSHU[[#This Row],[LSTMPP]]*$I$3</f>
        <v>21.475026399344049</v>
      </c>
      <c r="E2">
        <v>22</v>
      </c>
      <c r="F2">
        <f>ABS(TableSHU[[#This Row],[PP]]-TableSHU[[#This Row],[AP]])</f>
        <v>0.52497360065595089</v>
      </c>
      <c r="H2" t="s">
        <v>0</v>
      </c>
      <c r="I2">
        <v>0.42013327293351049</v>
      </c>
    </row>
    <row r="3" spans="1:9" x14ac:dyDescent="0.2">
      <c r="A3" t="s">
        <v>171</v>
      </c>
      <c r="B3">
        <v>18.571428571428569</v>
      </c>
      <c r="C3">
        <v>22.27272727272727</v>
      </c>
      <c r="D3">
        <f>TableSHU[[#This Row],[ARIMAPP]]*$I$2+TableSHU[[#This Row],[LSTMPP]]*$I$3</f>
        <v>19.343147708136001</v>
      </c>
      <c r="E3">
        <v>25</v>
      </c>
      <c r="F3">
        <f>ABS(TableSHU[[#This Row],[PP]]-TableSHU[[#This Row],[AP]])</f>
        <v>5.6568522918639985</v>
      </c>
      <c r="H3" t="s">
        <v>1</v>
      </c>
      <c r="I3">
        <v>0.51815264911460779</v>
      </c>
    </row>
    <row r="4" spans="1:9" x14ac:dyDescent="0.2">
      <c r="A4" t="s">
        <v>172</v>
      </c>
      <c r="B4">
        <v>14.999999974705061</v>
      </c>
      <c r="C4">
        <v>21.25</v>
      </c>
      <c r="D4">
        <f>TableSHU[[#This Row],[ARIMAPP]]*$I$2+TableSHU[[#This Row],[LSTMPP]]*$I$3</f>
        <v>17.312742877060828</v>
      </c>
      <c r="E4">
        <v>28</v>
      </c>
      <c r="F4">
        <f>ABS(TableSHU[[#This Row],[PP]]-TableSHU[[#This Row],[AP]])</f>
        <v>10.687257122939172</v>
      </c>
    </row>
    <row r="5" spans="1:9" x14ac:dyDescent="0.2">
      <c r="A5" t="s">
        <v>173</v>
      </c>
      <c r="B5">
        <v>22.60636243112485</v>
      </c>
      <c r="C5">
        <v>30</v>
      </c>
      <c r="D5">
        <f>TableSHU[[#This Row],[ARIMAPP]]*$I$2+TableSHU[[#This Row],[LSTMPP]]*$I$3</f>
        <v>25.04226451074787</v>
      </c>
      <c r="E5">
        <v>26</v>
      </c>
      <c r="F5">
        <f>ABS(TableSHU[[#This Row],[PP]]-TableSHU[[#This Row],[AP]])</f>
        <v>0.95773548925212992</v>
      </c>
      <c r="H5" t="s">
        <v>2</v>
      </c>
      <c r="I5" cm="1">
        <f t="array" ref="I5">(SUM(TableSHU[PP]-TableSHU[AP]))^2</f>
        <v>1.2621774483536189E-29</v>
      </c>
    </row>
    <row r="6" spans="1:9" x14ac:dyDescent="0.2">
      <c r="A6" t="s">
        <v>174</v>
      </c>
      <c r="B6">
        <v>40.000000000000007</v>
      </c>
      <c r="C6">
        <v>42.5</v>
      </c>
      <c r="D6">
        <f>TableSHU[[#This Row],[ARIMAPP]]*$I$2+TableSHU[[#This Row],[LSTMPP]]*$I$3</f>
        <v>38.826818504711255</v>
      </c>
      <c r="E6">
        <v>21</v>
      </c>
      <c r="F6">
        <f>ABS(TableSHU[[#This Row],[PP]]-TableSHU[[#This Row],[AP]])</f>
        <v>17.826818504711255</v>
      </c>
    </row>
    <row r="7" spans="1:9" x14ac:dyDescent="0.2">
      <c r="H7" t="s">
        <v>3</v>
      </c>
      <c r="I7">
        <f>AVERAGE(TableSHU[DIFF])/10</f>
        <v>0.71307274018845024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175</v>
      </c>
      <c r="B2">
        <v>43.451991934040016</v>
      </c>
      <c r="C2">
        <v>42.200909013512593</v>
      </c>
      <c r="D2">
        <f>TableTOT[[#This Row],[ARIMAPP]]*$I$2+TableTOT[[#This Row],[LSTMPP]]*$I$3</f>
        <v>47.127468686806758</v>
      </c>
      <c r="E2">
        <v>54</v>
      </c>
      <c r="F2">
        <f>ABS(TableTOT[[#This Row],[PP]]-TableTOT[[#This Row],[AP]])</f>
        <v>6.8725313131932424</v>
      </c>
      <c r="H2" t="s">
        <v>0</v>
      </c>
      <c r="I2">
        <v>0.56096940939295348</v>
      </c>
    </row>
    <row r="3" spans="1:9" x14ac:dyDescent="0.2">
      <c r="A3" t="s">
        <v>176</v>
      </c>
      <c r="B3">
        <v>22.93158709765892</v>
      </c>
      <c r="C3">
        <v>40.842357578293068</v>
      </c>
      <c r="D3">
        <f>TableTOT[[#This Row],[ARIMAPP]]*$I$2+TableTOT[[#This Row],[LSTMPP]]*$I$3</f>
        <v>34.883698843056891</v>
      </c>
      <c r="E3">
        <v>50</v>
      </c>
      <c r="F3">
        <f>ABS(TableTOT[[#This Row],[PP]]-TableTOT[[#This Row],[AP]])</f>
        <v>15.116301156943109</v>
      </c>
      <c r="H3" t="s">
        <v>1</v>
      </c>
      <c r="I3">
        <v>0.53914076654926468</v>
      </c>
    </row>
    <row r="4" spans="1:9" x14ac:dyDescent="0.2">
      <c r="A4" t="s">
        <v>177</v>
      </c>
      <c r="B4">
        <v>31.000000000000011</v>
      </c>
      <c r="C4">
        <v>28</v>
      </c>
      <c r="D4">
        <f>TableTOT[[#This Row],[ARIMAPP]]*$I$2+TableTOT[[#This Row],[LSTMPP]]*$I$3</f>
        <v>32.485993154560973</v>
      </c>
      <c r="E4">
        <v>34</v>
      </c>
      <c r="F4">
        <f>ABS(TableTOT[[#This Row],[PP]]-TableTOT[[#This Row],[AP]])</f>
        <v>1.5140068454390274</v>
      </c>
    </row>
    <row r="5" spans="1:9" x14ac:dyDescent="0.2">
      <c r="A5" t="s">
        <v>178</v>
      </c>
      <c r="B5">
        <v>40.987048913760283</v>
      </c>
      <c r="C5">
        <v>40.860488230827102</v>
      </c>
      <c r="D5">
        <f>TableTOT[[#This Row],[ARIMAPP]]*$I$2+TableTOT[[#This Row],[LSTMPP]]*$I$3</f>
        <v>45.022035568257536</v>
      </c>
      <c r="E5">
        <v>49</v>
      </c>
      <c r="F5">
        <f>ABS(TableTOT[[#This Row],[PP]]-TableTOT[[#This Row],[AP]])</f>
        <v>3.9779644317424641</v>
      </c>
      <c r="H5" t="s">
        <v>2</v>
      </c>
      <c r="I5" cm="1">
        <f t="array" ref="I5">(SUM(TableTOT[PP]-TableTOT[AP]))^2</f>
        <v>0</v>
      </c>
    </row>
    <row r="6" spans="1:9" x14ac:dyDescent="0.2">
      <c r="A6" t="s">
        <v>179</v>
      </c>
      <c r="B6">
        <v>29.756097560975618</v>
      </c>
      <c r="C6">
        <v>31.5372313453658</v>
      </c>
      <c r="D6">
        <f>TableTOT[[#This Row],[ARIMAPP]]*$I$2+TableTOT[[#This Row],[LSTMPP]]*$I$3</f>
        <v>33.695267557001614</v>
      </c>
      <c r="E6">
        <v>29</v>
      </c>
      <c r="F6">
        <f>ABS(TableTOT[[#This Row],[PP]]-TableTOT[[#This Row],[AP]])</f>
        <v>4.695267557001614</v>
      </c>
    </row>
    <row r="7" spans="1:9" x14ac:dyDescent="0.2">
      <c r="A7" t="s">
        <v>180</v>
      </c>
      <c r="B7">
        <v>47.857142857142847</v>
      </c>
      <c r="C7">
        <v>35.606060606060623</v>
      </c>
      <c r="D7">
        <f>TableTOT[[#This Row],[ARIMAPP]]*$I$2+TableTOT[[#This Row],[LSTMPP]]*$I$3</f>
        <v>46.043071972756728</v>
      </c>
      <c r="E7">
        <v>64</v>
      </c>
      <c r="F7">
        <f>ABS(TableTOT[[#This Row],[PP]]-TableTOT[[#This Row],[AP]])</f>
        <v>17.956928027243272</v>
      </c>
      <c r="H7" t="s">
        <v>3</v>
      </c>
      <c r="I7">
        <f>AVERAGE(TableTOT[DIFF])/10</f>
        <v>0.94421772539309123</v>
      </c>
    </row>
    <row r="8" spans="1:9" x14ac:dyDescent="0.2">
      <c r="A8" t="s">
        <v>181</v>
      </c>
      <c r="B8">
        <v>20</v>
      </c>
      <c r="C8">
        <v>20.416666666666671</v>
      </c>
      <c r="D8">
        <f>TableTOT[[#This Row],[ARIMAPP]]*$I$2+TableTOT[[#This Row],[LSTMPP]]*$I$3</f>
        <v>22.226845504906557</v>
      </c>
      <c r="E8">
        <v>24</v>
      </c>
      <c r="F8">
        <f>ABS(TableTOT[[#This Row],[PP]]-TableTOT[[#This Row],[AP]])</f>
        <v>1.7731544950934435</v>
      </c>
    </row>
    <row r="9" spans="1:9" x14ac:dyDescent="0.2">
      <c r="A9" t="s">
        <v>182</v>
      </c>
      <c r="B9">
        <v>40.476190476190453</v>
      </c>
      <c r="C9">
        <v>36.759536263177232</v>
      </c>
      <c r="D9">
        <f>TableTOT[[#This Row],[ARIMAPP]]*$I$2+TableTOT[[#This Row],[LSTMPP]]*$I$3</f>
        <v>42.524469224830113</v>
      </c>
      <c r="E9">
        <v>42</v>
      </c>
      <c r="F9">
        <f>ABS(TableTOT[[#This Row],[PP]]-TableTOT[[#This Row],[AP]])</f>
        <v>0.52446922483011349</v>
      </c>
    </row>
    <row r="10" spans="1:9" x14ac:dyDescent="0.2">
      <c r="A10" t="s">
        <v>183</v>
      </c>
      <c r="B10">
        <v>50</v>
      </c>
      <c r="C10">
        <v>40.349961938159311</v>
      </c>
      <c r="D10">
        <f>TableTOT[[#This Row],[ARIMAPP]]*$I$2+TableTOT[[#This Row],[LSTMPP]]*$I$3</f>
        <v>49.802779879220537</v>
      </c>
      <c r="E10">
        <v>20</v>
      </c>
      <c r="F10">
        <f>ABS(TableTOT[[#This Row],[PP]]-TableTOT[[#This Row],[AP]])</f>
        <v>29.802779879220537</v>
      </c>
    </row>
    <row r="11" spans="1:9" x14ac:dyDescent="0.2">
      <c r="A11" t="s">
        <v>184</v>
      </c>
      <c r="B11">
        <v>41.428571428571423</v>
      </c>
      <c r="C11">
        <v>37</v>
      </c>
      <c r="D11">
        <f>TableTOT[[#This Row],[ARIMAPP]]*$I$2+TableTOT[[#This Row],[LSTMPP]]*$I$3</f>
        <v>43.188369608602294</v>
      </c>
      <c r="E11">
        <v>31</v>
      </c>
      <c r="F11">
        <f>ABS(TableTOT[[#This Row],[PP]]-TableTOT[[#This Row],[AP]])</f>
        <v>12.188369608602294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185</v>
      </c>
      <c r="B2">
        <v>37.133333333333383</v>
      </c>
      <c r="C2">
        <v>39.54627477591756</v>
      </c>
      <c r="D2">
        <f>TableWHU[[#This Row],[ARIMAPP]]*$I$2+TableWHU[[#This Row],[LSTMPP]]*$I$3</f>
        <v>31.880749425928116</v>
      </c>
      <c r="E2">
        <v>28</v>
      </c>
      <c r="F2">
        <f>ABS(TableWHU[[#This Row],[PP]]-TableWHU[[#This Row],[AP]])</f>
        <v>3.8807494259281157</v>
      </c>
      <c r="H2" t="s">
        <v>0</v>
      </c>
      <c r="I2">
        <v>0.43029297083608004</v>
      </c>
    </row>
    <row r="3" spans="1:9" x14ac:dyDescent="0.2">
      <c r="A3" t="s">
        <v>186</v>
      </c>
      <c r="B3">
        <v>38.86537097458676</v>
      </c>
      <c r="C3">
        <v>38.242537303044557</v>
      </c>
      <c r="D3">
        <f>TableWHU[[#This Row],[ARIMAPP]]*$I$2+TableWHU[[#This Row],[LSTMPP]]*$I$3</f>
        <v>32.101767901589966</v>
      </c>
      <c r="E3">
        <v>35</v>
      </c>
      <c r="F3">
        <f>ABS(TableWHU[[#This Row],[PP]]-TableWHU[[#This Row],[AP]])</f>
        <v>2.898232098410034</v>
      </c>
      <c r="H3" t="s">
        <v>1</v>
      </c>
      <c r="I3">
        <v>0.40212478163849202</v>
      </c>
    </row>
    <row r="4" spans="1:9" x14ac:dyDescent="0.2">
      <c r="A4" t="s">
        <v>187</v>
      </c>
      <c r="B4">
        <v>33.111111111111107</v>
      </c>
      <c r="C4">
        <v>31.111111111111111</v>
      </c>
      <c r="D4">
        <f>TableWHU[[#This Row],[ARIMAPP]]*$I$2+TableWHU[[#This Row],[LSTMPP]]*$I$3</f>
        <v>26.758027129769957</v>
      </c>
      <c r="E4">
        <v>20</v>
      </c>
      <c r="F4">
        <f>ABS(TableWHU[[#This Row],[PP]]-TableWHU[[#This Row],[AP]])</f>
        <v>6.7580271297699568</v>
      </c>
    </row>
    <row r="5" spans="1:9" x14ac:dyDescent="0.2">
      <c r="A5" t="s">
        <v>188</v>
      </c>
      <c r="B5">
        <v>43.977410611485382</v>
      </c>
      <c r="C5">
        <v>45.373132296379481</v>
      </c>
      <c r="D5">
        <f>TableWHU[[#This Row],[ARIMAPP]]*$I$2+TableWHU[[#This Row],[LSTMPP]]*$I$3</f>
        <v>37.168831578630204</v>
      </c>
      <c r="E5">
        <v>55</v>
      </c>
      <c r="F5">
        <f>ABS(TableWHU[[#This Row],[PP]]-TableWHU[[#This Row],[AP]])</f>
        <v>17.831168421369796</v>
      </c>
      <c r="H5" t="s">
        <v>2</v>
      </c>
      <c r="I5" cm="1">
        <f t="array" ref="I5">(SUM(TableWHU[PP]-TableWHU[AP]))^2</f>
        <v>3.1554436208840472E-28</v>
      </c>
    </row>
    <row r="6" spans="1:9" x14ac:dyDescent="0.2">
      <c r="A6" t="s">
        <v>189</v>
      </c>
      <c r="B6">
        <v>32.093023255813968</v>
      </c>
      <c r="C6">
        <v>32.058823529411768</v>
      </c>
      <c r="D6">
        <f>TableWHU[[#This Row],[ARIMAPP]]*$I$2+TableWHU[[#This Row],[LSTMPP]]*$I$3</f>
        <v>26.701049731207256</v>
      </c>
      <c r="E6">
        <v>25</v>
      </c>
      <c r="F6">
        <f>ABS(TableWHU[[#This Row],[PP]]-TableWHU[[#This Row],[AP]])</f>
        <v>1.7010497312072559</v>
      </c>
    </row>
    <row r="7" spans="1:9" x14ac:dyDescent="0.2">
      <c r="A7" t="s">
        <v>190</v>
      </c>
      <c r="B7">
        <v>35.000000000000007</v>
      </c>
      <c r="C7">
        <v>32.355654149397701</v>
      </c>
      <c r="D7">
        <f>TableWHU[[#This Row],[ARIMAPP]]*$I$2+TableWHU[[#This Row],[LSTMPP]]*$I$3</f>
        <v>28.071264338859923</v>
      </c>
      <c r="E7">
        <v>38</v>
      </c>
      <c r="F7">
        <f>ABS(TableWHU[[#This Row],[PP]]-TableWHU[[#This Row],[AP]])</f>
        <v>9.9287356611400774</v>
      </c>
      <c r="H7" t="s">
        <v>3</v>
      </c>
      <c r="I7">
        <f>AVERAGE(TableWHU[DIFF])/10</f>
        <v>0.96322066996015254</v>
      </c>
    </row>
    <row r="8" spans="1:9" x14ac:dyDescent="0.2">
      <c r="A8" t="s">
        <v>191</v>
      </c>
      <c r="B8">
        <v>64.881869938574141</v>
      </c>
      <c r="C8">
        <v>47.922408222917923</v>
      </c>
      <c r="D8">
        <f>TableWHU[[#This Row],[ARIMAPP]]*$I$2+TableWHU[[#This Row],[LSTMPP]]*$I$3</f>
        <v>47.189000511500765</v>
      </c>
      <c r="E8">
        <v>21</v>
      </c>
      <c r="F8">
        <f>ABS(TableWHU[[#This Row],[PP]]-TableWHU[[#This Row],[AP]])</f>
        <v>26.189000511500765</v>
      </c>
    </row>
    <row r="9" spans="1:9" x14ac:dyDescent="0.2">
      <c r="A9" t="s">
        <v>192</v>
      </c>
      <c r="B9">
        <v>35.000000000000007</v>
      </c>
      <c r="C9">
        <v>32.5</v>
      </c>
      <c r="D9">
        <f>TableWHU[[#This Row],[ARIMAPP]]*$I$2+TableWHU[[#This Row],[LSTMPP]]*$I$3</f>
        <v>28.129309382513796</v>
      </c>
      <c r="E9">
        <v>36</v>
      </c>
      <c r="F9">
        <f>ABS(TableWHU[[#This Row],[PP]]-TableWHU[[#This Row],[AP]])</f>
        <v>7.8706906174862041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193</v>
      </c>
      <c r="B2">
        <v>19.548537446869531</v>
      </c>
      <c r="C2">
        <v>24.910714285714281</v>
      </c>
      <c r="D2">
        <f>TableWOL[[#This Row],[ARIMAPP]]*$I$2+TableWOL[[#This Row],[LSTMPP]]*$I$3</f>
        <v>26.423229480721808</v>
      </c>
      <c r="E2">
        <v>29</v>
      </c>
      <c r="F2">
        <f>ABS(TableWOL[[#This Row],[PP]]-TableWOL[[#This Row],[AP]])</f>
        <v>2.5767705192781918</v>
      </c>
      <c r="H2" t="s">
        <v>0</v>
      </c>
      <c r="I2">
        <v>0.62148131602619938</v>
      </c>
    </row>
    <row r="3" spans="1:9" x14ac:dyDescent="0.2">
      <c r="A3" t="s">
        <v>194</v>
      </c>
      <c r="B3">
        <v>41.184017701195032</v>
      </c>
      <c r="C3">
        <v>34.915254237288138</v>
      </c>
      <c r="D3">
        <f>TableWOL[[#This Row],[ARIMAPP]]*$I$2+TableWOL[[#This Row],[LSTMPP]]*$I$3</f>
        <v>45.602013929222892</v>
      </c>
      <c r="E3">
        <v>21</v>
      </c>
      <c r="F3">
        <f>ABS(TableWOL[[#This Row],[PP]]-TableWOL[[#This Row],[AP]])</f>
        <v>24.602013929222892</v>
      </c>
      <c r="H3" t="s">
        <v>1</v>
      </c>
      <c r="I3">
        <v>0.57301362530739641</v>
      </c>
    </row>
    <row r="4" spans="1:9" x14ac:dyDescent="0.2">
      <c r="A4" t="s">
        <v>195</v>
      </c>
      <c r="B4">
        <v>21.6</v>
      </c>
      <c r="C4">
        <v>26</v>
      </c>
      <c r="D4">
        <f>TableWOL[[#This Row],[ARIMAPP]]*$I$2+TableWOL[[#This Row],[LSTMPP]]*$I$3</f>
        <v>28.322350684158213</v>
      </c>
      <c r="E4">
        <v>25</v>
      </c>
      <c r="F4">
        <f>ABS(TableWOL[[#This Row],[PP]]-TableWOL[[#This Row],[AP]])</f>
        <v>3.3223506841582129</v>
      </c>
    </row>
    <row r="5" spans="1:9" x14ac:dyDescent="0.2">
      <c r="A5" t="s">
        <v>196</v>
      </c>
      <c r="B5">
        <v>41.388044397097623</v>
      </c>
      <c r="C5">
        <v>26.296296296296301</v>
      </c>
      <c r="D5">
        <f>TableWOL[[#This Row],[ARIMAPP]]*$I$2+TableWOL[[#This Row],[LSTMPP]]*$I$3</f>
        <v>40.790032372557199</v>
      </c>
      <c r="E5">
        <v>50</v>
      </c>
      <c r="F5">
        <f>ABS(TableWOL[[#This Row],[PP]]-TableWOL[[#This Row],[AP]])</f>
        <v>9.2099676274428006</v>
      </c>
      <c r="H5" t="s">
        <v>2</v>
      </c>
      <c r="I5" cm="1">
        <f t="array" ref="I5">(SUM(TableWOL[PP]-TableWOL[AP]))^2</f>
        <v>5.0487097934144756E-29</v>
      </c>
    </row>
    <row r="6" spans="1:9" x14ac:dyDescent="0.2">
      <c r="A6" t="s">
        <v>197</v>
      </c>
      <c r="B6">
        <v>25</v>
      </c>
      <c r="C6">
        <v>25</v>
      </c>
      <c r="D6">
        <f>TableWOL[[#This Row],[ARIMAPP]]*$I$2+TableWOL[[#This Row],[LSTMPP]]*$I$3</f>
        <v>29.862373533339895</v>
      </c>
      <c r="E6">
        <v>46</v>
      </c>
      <c r="F6">
        <f>ABS(TableWOL[[#This Row],[PP]]-TableWOL[[#This Row],[AP]])</f>
        <v>16.137626466660105</v>
      </c>
    </row>
    <row r="7" spans="1:9" x14ac:dyDescent="0.2">
      <c r="H7" t="s">
        <v>3</v>
      </c>
      <c r="I7">
        <f>AVERAGE(TableWOL[DIFF])/10</f>
        <v>1.1169745845352441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2023-12-21T04:25:46Z</dcterms:created>
  <dcterms:modified xsi:type="dcterms:W3CDTF">2023-12-21T04:49:51Z</dcterms:modified>
</cp:coreProperties>
</file>