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ridog/Documents/GitHub/FPL-Predictor/Calibrations/2023-24/"/>
    </mc:Choice>
  </mc:AlternateContent>
  <xr:revisionPtr revIDLastSave="0" documentId="13_ncr:1_{460D57C8-DEE7-BC4B-81C4-21A747361976}" xr6:coauthVersionLast="47" xr6:coauthVersionMax="47" xr10:uidLastSave="{00000000-0000-0000-0000-000000000000}"/>
  <bookViews>
    <workbookView xWindow="8960" yWindow="1220" windowWidth="16100" windowHeight="9660" firstSheet="12" activeTab="19" xr2:uid="{00000000-000D-0000-FFFF-FFFF00000000}"/>
  </bookViews>
  <sheets>
    <sheet name="ARS" sheetId="1" r:id="rId1"/>
    <sheet name="AVL" sheetId="2" r:id="rId2"/>
    <sheet name="BOU" sheetId="3" r:id="rId3"/>
    <sheet name="BRE" sheetId="4" r:id="rId4"/>
    <sheet name="BHA" sheetId="5" r:id="rId5"/>
    <sheet name="BUR" sheetId="6" r:id="rId6"/>
    <sheet name="CHE" sheetId="7" r:id="rId7"/>
    <sheet name="CRY" sheetId="8" r:id="rId8"/>
    <sheet name="EVE" sheetId="9" r:id="rId9"/>
    <sheet name="FUL" sheetId="10" r:id="rId10"/>
    <sheet name="LIV" sheetId="11" r:id="rId11"/>
    <sheet name="LUT" sheetId="12" r:id="rId12"/>
    <sheet name="MCI" sheetId="13" r:id="rId13"/>
    <sheet name="MUN" sheetId="14" r:id="rId14"/>
    <sheet name="NEW" sheetId="15" r:id="rId15"/>
    <sheet name="NFO" sheetId="16" r:id="rId16"/>
    <sheet name="SHU" sheetId="17" r:id="rId17"/>
    <sheet name="TOT" sheetId="18" r:id="rId18"/>
    <sheet name="WHU" sheetId="19" r:id="rId19"/>
    <sheet name="WOL" sheetId="20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20" l="1"/>
  <c r="F11" i="20" s="1"/>
  <c r="D10" i="20"/>
  <c r="F10" i="20" s="1"/>
  <c r="F9" i="20"/>
  <c r="D9" i="20"/>
  <c r="F8" i="20"/>
  <c r="D8" i="20"/>
  <c r="D7" i="20"/>
  <c r="F7" i="20" s="1"/>
  <c r="F6" i="20"/>
  <c r="D6" i="20"/>
  <c r="I5" i="20"/>
  <c r="F5" i="20"/>
  <c r="D5" i="20"/>
  <c r="F4" i="20"/>
  <c r="D4" i="20"/>
  <c r="F3" i="20"/>
  <c r="D3" i="20"/>
  <c r="D2" i="20"/>
  <c r="F2" i="20" s="1"/>
  <c r="I7" i="20" s="1"/>
  <c r="F10" i="19"/>
  <c r="D10" i="19"/>
  <c r="F9" i="19"/>
  <c r="D9" i="19"/>
  <c r="D8" i="19"/>
  <c r="F8" i="19" s="1"/>
  <c r="D7" i="19"/>
  <c r="F7" i="19" s="1"/>
  <c r="D6" i="19"/>
  <c r="F6" i="19" s="1"/>
  <c r="I5" i="19"/>
  <c r="F5" i="19"/>
  <c r="D5" i="19"/>
  <c r="D4" i="19"/>
  <c r="F4" i="19" s="1"/>
  <c r="F3" i="19"/>
  <c r="D3" i="19"/>
  <c r="F2" i="19"/>
  <c r="D2" i="19"/>
  <c r="F11" i="18"/>
  <c r="D11" i="18"/>
  <c r="F10" i="18"/>
  <c r="D10" i="18"/>
  <c r="D9" i="18"/>
  <c r="F9" i="18" s="1"/>
  <c r="F8" i="18"/>
  <c r="D8" i="18"/>
  <c r="D7" i="18"/>
  <c r="F7" i="18" s="1"/>
  <c r="D6" i="18"/>
  <c r="F6" i="18" s="1"/>
  <c r="D5" i="18"/>
  <c r="I5" i="18" s="1"/>
  <c r="F4" i="18"/>
  <c r="D4" i="18"/>
  <c r="F3" i="18"/>
  <c r="D3" i="18"/>
  <c r="F2" i="18"/>
  <c r="D2" i="18"/>
  <c r="D6" i="17"/>
  <c r="F6" i="17" s="1"/>
  <c r="I5" i="17"/>
  <c r="F5" i="17"/>
  <c r="D5" i="17"/>
  <c r="F4" i="17"/>
  <c r="D4" i="17"/>
  <c r="D3" i="17"/>
  <c r="F3" i="17" s="1"/>
  <c r="F2" i="17"/>
  <c r="D2" i="17"/>
  <c r="F6" i="16"/>
  <c r="D6" i="16"/>
  <c r="F5" i="16"/>
  <c r="D5" i="16"/>
  <c r="I5" i="16" s="1"/>
  <c r="D4" i="16"/>
  <c r="F4" i="16" s="1"/>
  <c r="F3" i="16"/>
  <c r="D3" i="16"/>
  <c r="F2" i="16"/>
  <c r="I7" i="16" s="1"/>
  <c r="D2" i="16"/>
  <c r="F8" i="15"/>
  <c r="D8" i="15"/>
  <c r="D7" i="15"/>
  <c r="F7" i="15" s="1"/>
  <c r="D6" i="15"/>
  <c r="F6" i="15" s="1"/>
  <c r="F5" i="15"/>
  <c r="D5" i="15"/>
  <c r="I5" i="15" s="1"/>
  <c r="F4" i="15"/>
  <c r="D4" i="15"/>
  <c r="F3" i="15"/>
  <c r="D3" i="15"/>
  <c r="D2" i="15"/>
  <c r="F2" i="15" s="1"/>
  <c r="I7" i="15" s="1"/>
  <c r="F9" i="14"/>
  <c r="D9" i="14"/>
  <c r="F8" i="14"/>
  <c r="D8" i="14"/>
  <c r="D7" i="14"/>
  <c r="F7" i="14" s="1"/>
  <c r="D6" i="14"/>
  <c r="F6" i="14" s="1"/>
  <c r="I5" i="14"/>
  <c r="F5" i="14"/>
  <c r="D5" i="14"/>
  <c r="F4" i="14"/>
  <c r="D4" i="14"/>
  <c r="F3" i="14"/>
  <c r="D3" i="14"/>
  <c r="F2" i="14"/>
  <c r="D2" i="14"/>
  <c r="D11" i="13"/>
  <c r="F11" i="13" s="1"/>
  <c r="F10" i="13"/>
  <c r="D10" i="13"/>
  <c r="F9" i="13"/>
  <c r="D9" i="13"/>
  <c r="F8" i="13"/>
  <c r="D8" i="13"/>
  <c r="F7" i="13"/>
  <c r="D7" i="13"/>
  <c r="D6" i="13"/>
  <c r="F6" i="13" s="1"/>
  <c r="F5" i="13"/>
  <c r="D5" i="13"/>
  <c r="I5" i="13" s="1"/>
  <c r="F4" i="13"/>
  <c r="D4" i="13"/>
  <c r="F3" i="13"/>
  <c r="D3" i="13"/>
  <c r="D2" i="13"/>
  <c r="F2" i="13" s="1"/>
  <c r="I7" i="13" s="1"/>
  <c r="D7" i="12"/>
  <c r="F7" i="12" s="1"/>
  <c r="F6" i="12"/>
  <c r="D6" i="12"/>
  <c r="D5" i="12"/>
  <c r="F5" i="12" s="1"/>
  <c r="D4" i="12"/>
  <c r="F4" i="12" s="1"/>
  <c r="D3" i="12"/>
  <c r="F3" i="12" s="1"/>
  <c r="F2" i="12"/>
  <c r="D2" i="12"/>
  <c r="F14" i="11"/>
  <c r="D14" i="11"/>
  <c r="D13" i="11"/>
  <c r="F13" i="11" s="1"/>
  <c r="D12" i="11"/>
  <c r="F12" i="11" s="1"/>
  <c r="D11" i="11"/>
  <c r="F11" i="11" s="1"/>
  <c r="F10" i="11"/>
  <c r="D10" i="11"/>
  <c r="F9" i="11"/>
  <c r="D9" i="11"/>
  <c r="D8" i="11"/>
  <c r="F8" i="11" s="1"/>
  <c r="D7" i="11"/>
  <c r="F7" i="11" s="1"/>
  <c r="D6" i="11"/>
  <c r="F6" i="11" s="1"/>
  <c r="I5" i="11"/>
  <c r="F5" i="11"/>
  <c r="D5" i="11"/>
  <c r="D4" i="11"/>
  <c r="F4" i="11" s="1"/>
  <c r="D3" i="11"/>
  <c r="F3" i="11" s="1"/>
  <c r="D2" i="11"/>
  <c r="F2" i="11" s="1"/>
  <c r="F12" i="10"/>
  <c r="D12" i="10"/>
  <c r="D11" i="10"/>
  <c r="F11" i="10" s="1"/>
  <c r="D10" i="10"/>
  <c r="F10" i="10" s="1"/>
  <c r="D9" i="10"/>
  <c r="F9" i="10" s="1"/>
  <c r="D8" i="10"/>
  <c r="F8" i="10" s="1"/>
  <c r="F7" i="10"/>
  <c r="D7" i="10"/>
  <c r="F6" i="10"/>
  <c r="D6" i="10"/>
  <c r="I5" i="10"/>
  <c r="D5" i="10"/>
  <c r="F5" i="10" s="1"/>
  <c r="D4" i="10"/>
  <c r="F4" i="10" s="1"/>
  <c r="F3" i="10"/>
  <c r="D3" i="10"/>
  <c r="D2" i="10"/>
  <c r="F2" i="10" s="1"/>
  <c r="D11" i="9"/>
  <c r="F11" i="9" s="1"/>
  <c r="D10" i="9"/>
  <c r="F10" i="9" s="1"/>
  <c r="D9" i="9"/>
  <c r="F9" i="9" s="1"/>
  <c r="F8" i="9"/>
  <c r="D8" i="9"/>
  <c r="F7" i="9"/>
  <c r="D7" i="9"/>
  <c r="F6" i="9"/>
  <c r="D6" i="9"/>
  <c r="D5" i="9"/>
  <c r="I5" i="9" s="1"/>
  <c r="F4" i="9"/>
  <c r="D4" i="9"/>
  <c r="D3" i="9"/>
  <c r="F3" i="9" s="1"/>
  <c r="D2" i="9"/>
  <c r="F2" i="9" s="1"/>
  <c r="D7" i="8"/>
  <c r="F7" i="8" s="1"/>
  <c r="D6" i="8"/>
  <c r="F6" i="8" s="1"/>
  <c r="I5" i="8"/>
  <c r="D5" i="8"/>
  <c r="F5" i="8" s="1"/>
  <c r="D4" i="8"/>
  <c r="F4" i="8" s="1"/>
  <c r="D3" i="8"/>
  <c r="F3" i="8" s="1"/>
  <c r="D2" i="8"/>
  <c r="F2" i="8" s="1"/>
  <c r="I7" i="8" s="1"/>
  <c r="F10" i="7"/>
  <c r="D10" i="7"/>
  <c r="D9" i="7"/>
  <c r="F9" i="7" s="1"/>
  <c r="D8" i="7"/>
  <c r="F8" i="7" s="1"/>
  <c r="D7" i="7"/>
  <c r="F7" i="7" s="1"/>
  <c r="D6" i="7"/>
  <c r="F6" i="7" s="1"/>
  <c r="I5" i="7"/>
  <c r="D5" i="7"/>
  <c r="F5" i="7" s="1"/>
  <c r="D4" i="7"/>
  <c r="F4" i="7" s="1"/>
  <c r="D3" i="7"/>
  <c r="F3" i="7" s="1"/>
  <c r="D2" i="7"/>
  <c r="F2" i="7" s="1"/>
  <c r="I5" i="6"/>
  <c r="D5" i="6"/>
  <c r="F5" i="6" s="1"/>
  <c r="D4" i="6"/>
  <c r="F4" i="6" s="1"/>
  <c r="D3" i="6"/>
  <c r="F3" i="6" s="1"/>
  <c r="D2" i="6"/>
  <c r="F2" i="6" s="1"/>
  <c r="F9" i="5"/>
  <c r="D9" i="5"/>
  <c r="D8" i="5"/>
  <c r="F8" i="5" s="1"/>
  <c r="F7" i="5"/>
  <c r="D7" i="5"/>
  <c r="F6" i="5"/>
  <c r="D6" i="5"/>
  <c r="F5" i="5"/>
  <c r="D5" i="5"/>
  <c r="I5" i="5" s="1"/>
  <c r="D4" i="5"/>
  <c r="F4" i="5" s="1"/>
  <c r="D3" i="5"/>
  <c r="F3" i="5" s="1"/>
  <c r="D2" i="5"/>
  <c r="F2" i="5" s="1"/>
  <c r="D9" i="4"/>
  <c r="F9" i="4" s="1"/>
  <c r="F8" i="4"/>
  <c r="D8" i="4"/>
  <c r="F7" i="4"/>
  <c r="D7" i="4"/>
  <c r="F6" i="4"/>
  <c r="D6" i="4"/>
  <c r="D5" i="4"/>
  <c r="I5" i="4" s="1"/>
  <c r="F4" i="4"/>
  <c r="D4" i="4"/>
  <c r="D3" i="4"/>
  <c r="F3" i="4" s="1"/>
  <c r="D2" i="4"/>
  <c r="F2" i="4" s="1"/>
  <c r="D11" i="3"/>
  <c r="F11" i="3" s="1"/>
  <c r="D10" i="3"/>
  <c r="F10" i="3" s="1"/>
  <c r="F9" i="3"/>
  <c r="D9" i="3"/>
  <c r="D8" i="3"/>
  <c r="F8" i="3" s="1"/>
  <c r="F7" i="3"/>
  <c r="D7" i="3"/>
  <c r="D6" i="3"/>
  <c r="F6" i="3" s="1"/>
  <c r="F5" i="3"/>
  <c r="D5" i="3"/>
  <c r="I5" i="3" s="1"/>
  <c r="D4" i="3"/>
  <c r="F4" i="3" s="1"/>
  <c r="D3" i="3"/>
  <c r="F3" i="3" s="1"/>
  <c r="D2" i="3"/>
  <c r="F2" i="3" s="1"/>
  <c r="D10" i="2"/>
  <c r="F10" i="2" s="1"/>
  <c r="F9" i="2"/>
  <c r="D9" i="2"/>
  <c r="D8" i="2"/>
  <c r="F8" i="2" s="1"/>
  <c r="F7" i="2"/>
  <c r="D7" i="2"/>
  <c r="F6" i="2"/>
  <c r="D6" i="2"/>
  <c r="F5" i="2"/>
  <c r="D5" i="2"/>
  <c r="I5" i="2" s="1"/>
  <c r="D4" i="2"/>
  <c r="F4" i="2" s="1"/>
  <c r="D3" i="2"/>
  <c r="F3" i="2" s="1"/>
  <c r="D2" i="2"/>
  <c r="F2" i="2" s="1"/>
  <c r="D13" i="1"/>
  <c r="F13" i="1" s="1"/>
  <c r="F12" i="1"/>
  <c r="D12" i="1"/>
  <c r="D11" i="1"/>
  <c r="F11" i="1" s="1"/>
  <c r="D10" i="1"/>
  <c r="F10" i="1" s="1"/>
  <c r="D9" i="1"/>
  <c r="F9" i="1" s="1"/>
  <c r="D8" i="1"/>
  <c r="F8" i="1" s="1"/>
  <c r="F7" i="1"/>
  <c r="D7" i="1"/>
  <c r="F6" i="1"/>
  <c r="D6" i="1"/>
  <c r="D5" i="1"/>
  <c r="F5" i="1" s="1"/>
  <c r="D4" i="1"/>
  <c r="F4" i="1" s="1"/>
  <c r="F3" i="1"/>
  <c r="D3" i="1"/>
  <c r="D2" i="1"/>
  <c r="F2" i="1" s="1"/>
  <c r="I7" i="5" l="1"/>
  <c r="I7" i="2"/>
  <c r="I7" i="6"/>
  <c r="I7" i="12"/>
  <c r="I7" i="17"/>
  <c r="I7" i="3"/>
  <c r="I7" i="11"/>
  <c r="I7" i="1"/>
  <c r="I7" i="7"/>
  <c r="I7" i="10"/>
  <c r="I7" i="14"/>
  <c r="I7" i="19"/>
  <c r="I5" i="1"/>
  <c r="I5" i="12"/>
  <c r="F5" i="18"/>
  <c r="I7" i="18" s="1"/>
  <c r="F5" i="4"/>
  <c r="I7" i="4" s="1"/>
  <c r="F5" i="9"/>
  <c r="I7" i="9" s="1"/>
</calcChain>
</file>

<file path=xl/sharedStrings.xml><?xml version="1.0" encoding="utf-8"?>
<sst xmlns="http://schemas.openxmlformats.org/spreadsheetml/2006/main" count="370" uniqueCount="179">
  <si>
    <t>ARIMA</t>
  </si>
  <si>
    <t>LSTM</t>
  </si>
  <si>
    <t>OFF</t>
  </si>
  <si>
    <t>AVG</t>
  </si>
  <si>
    <t>Name</t>
  </si>
  <si>
    <t>ARIMAPP</t>
  </si>
  <si>
    <t>LSTMPP</t>
  </si>
  <si>
    <t>PP</t>
  </si>
  <si>
    <t>AP</t>
  </si>
  <si>
    <t>DIFF</t>
  </si>
  <si>
    <t>Rice</t>
  </si>
  <si>
    <t>G.Jesus</t>
  </si>
  <si>
    <t>Zinchenko</t>
  </si>
  <si>
    <t>Saka</t>
  </si>
  <si>
    <t>Trossard</t>
  </si>
  <si>
    <t>Havertz</t>
  </si>
  <si>
    <t>Ødegaard</t>
  </si>
  <si>
    <t>Raya</t>
  </si>
  <si>
    <t>Saliba</t>
  </si>
  <si>
    <t>White</t>
  </si>
  <si>
    <t>Martinelli</t>
  </si>
  <si>
    <t>Gabriel</t>
  </si>
  <si>
    <t>Tielemans</t>
  </si>
  <si>
    <t>Douglas Luiz</t>
  </si>
  <si>
    <t>McGinn</t>
  </si>
  <si>
    <t>Konsa</t>
  </si>
  <si>
    <t>Watkins</t>
  </si>
  <si>
    <t>Bailey</t>
  </si>
  <si>
    <t>Martinez</t>
  </si>
  <si>
    <t>Diaby</t>
  </si>
  <si>
    <t>Pau</t>
  </si>
  <si>
    <t>Smith</t>
  </si>
  <si>
    <t>L.Cook</t>
  </si>
  <si>
    <t>Solanke</t>
  </si>
  <si>
    <t>Christie</t>
  </si>
  <si>
    <t>Senesi</t>
  </si>
  <si>
    <t>Neto</t>
  </si>
  <si>
    <t>Semenyo</t>
  </si>
  <si>
    <t>Zabarnyi</t>
  </si>
  <si>
    <t>Kluivert</t>
  </si>
  <si>
    <t>Kerkez</t>
  </si>
  <si>
    <t>Maupay</t>
  </si>
  <si>
    <t>Nørgaard</t>
  </si>
  <si>
    <t>Janelt</t>
  </si>
  <si>
    <t>Ajer</t>
  </si>
  <si>
    <t>Wissa</t>
  </si>
  <si>
    <t>Roerslev</t>
  </si>
  <si>
    <t>Collins</t>
  </si>
  <si>
    <t>Flekken</t>
  </si>
  <si>
    <t>Dunk</t>
  </si>
  <si>
    <t>Gross</t>
  </si>
  <si>
    <t>Welbeck</t>
  </si>
  <si>
    <t>João Pedro</t>
  </si>
  <si>
    <t>Mitoma</t>
  </si>
  <si>
    <t>Van Hecke</t>
  </si>
  <si>
    <t>Buonanotte</t>
  </si>
  <si>
    <t>Adingra</t>
  </si>
  <si>
    <t>O'Shea</t>
  </si>
  <si>
    <t>Amdouni</t>
  </si>
  <si>
    <t>Bruun Larsen</t>
  </si>
  <si>
    <t>Odobert</t>
  </si>
  <si>
    <t>Sterling</t>
  </si>
  <si>
    <t>Gallagher</t>
  </si>
  <si>
    <t>Palmer</t>
  </si>
  <si>
    <t>T.Silva</t>
  </si>
  <si>
    <t>Colwill</t>
  </si>
  <si>
    <t>Mudryk</t>
  </si>
  <si>
    <t>Enzo</t>
  </si>
  <si>
    <t>N.Jackson</t>
  </si>
  <si>
    <t>Gusto</t>
  </si>
  <si>
    <t>Ward</t>
  </si>
  <si>
    <t>J.Ayew</t>
  </si>
  <si>
    <t>Eze</t>
  </si>
  <si>
    <t>Johnstone</t>
  </si>
  <si>
    <t>Mateta</t>
  </si>
  <si>
    <t>Lerma</t>
  </si>
  <si>
    <t>A.Doucoure</t>
  </si>
  <si>
    <t>Pickford</t>
  </si>
  <si>
    <t>Young</t>
  </si>
  <si>
    <t>Calvert-Lewin</t>
  </si>
  <si>
    <t>McNeil</t>
  </si>
  <si>
    <t>Garner</t>
  </si>
  <si>
    <t>Branthwaite</t>
  </si>
  <si>
    <t>Harrison</t>
  </si>
  <si>
    <t>Mykolenko</t>
  </si>
  <si>
    <t>Onana</t>
  </si>
  <si>
    <t>Raúl</t>
  </si>
  <si>
    <t>Iwobi</t>
  </si>
  <si>
    <t>Leno</t>
  </si>
  <si>
    <t>Wilson</t>
  </si>
  <si>
    <t>Castagne</t>
  </si>
  <si>
    <t>Robinson</t>
  </si>
  <si>
    <t>J.Palhinha</t>
  </si>
  <si>
    <t>Andreas</t>
  </si>
  <si>
    <t>De Cordova-Reid</t>
  </si>
  <si>
    <t>Willian</t>
  </si>
  <si>
    <t>Bassey</t>
  </si>
  <si>
    <t>A.Becker</t>
  </si>
  <si>
    <t>Salah</t>
  </si>
  <si>
    <t>Alexander-Arnold</t>
  </si>
  <si>
    <t>Virgil</t>
  </si>
  <si>
    <t>Elliott</t>
  </si>
  <si>
    <t>Mac Allister</t>
  </si>
  <si>
    <t>Konaté</t>
  </si>
  <si>
    <t>Luis Díaz</t>
  </si>
  <si>
    <t>Darwin</t>
  </si>
  <si>
    <t>Diogo J.</t>
  </si>
  <si>
    <t>Gakpo</t>
  </si>
  <si>
    <t>Szoboszlai</t>
  </si>
  <si>
    <t>Gomez</t>
  </si>
  <si>
    <t>Barkley</t>
  </si>
  <si>
    <t>Chong</t>
  </si>
  <si>
    <t>Kaminski</t>
  </si>
  <si>
    <t>Adebayo</t>
  </si>
  <si>
    <t>Ogbene</t>
  </si>
  <si>
    <t>Morris</t>
  </si>
  <si>
    <t>Ederson M.</t>
  </si>
  <si>
    <t>Walker</t>
  </si>
  <si>
    <t>Aké</t>
  </si>
  <si>
    <t>Foden</t>
  </si>
  <si>
    <t>Rodrigo</t>
  </si>
  <si>
    <t>Haaland</t>
  </si>
  <si>
    <t>Bernardo</t>
  </si>
  <si>
    <t>J.Alvarez</t>
  </si>
  <si>
    <t>Rúben</t>
  </si>
  <si>
    <t>Akanji</t>
  </si>
  <si>
    <t>Rashford</t>
  </si>
  <si>
    <t>McTominay</t>
  </si>
  <si>
    <t>Lindelof</t>
  </si>
  <si>
    <t>B.Fernandes</t>
  </si>
  <si>
    <t>Dalot</t>
  </si>
  <si>
    <t>Garnacho</t>
  </si>
  <si>
    <t>Højlund</t>
  </si>
  <si>
    <t>Trippier</t>
  </si>
  <si>
    <t>Schär</t>
  </si>
  <si>
    <t>Longstaff</t>
  </si>
  <si>
    <t>Burn</t>
  </si>
  <si>
    <t>Gordon</t>
  </si>
  <si>
    <t>Bruno G.</t>
  </si>
  <si>
    <t>Isak</t>
  </si>
  <si>
    <t>Wood</t>
  </si>
  <si>
    <t>Gibbs-White</t>
  </si>
  <si>
    <t>Hudson-Odoi</t>
  </si>
  <si>
    <t>Elanga</t>
  </si>
  <si>
    <t>Murillo</t>
  </si>
  <si>
    <t>Archer</t>
  </si>
  <si>
    <t>McAtee</t>
  </si>
  <si>
    <t>Vini Souza</t>
  </si>
  <si>
    <t>Foderingham</t>
  </si>
  <si>
    <t>Hamer</t>
  </si>
  <si>
    <t>Maddison</t>
  </si>
  <si>
    <t>Richarlison</t>
  </si>
  <si>
    <t>Romero</t>
  </si>
  <si>
    <t>Kulusevski</t>
  </si>
  <si>
    <t>Johnson</t>
  </si>
  <si>
    <t>Son</t>
  </si>
  <si>
    <t>Sarr</t>
  </si>
  <si>
    <t>Pedro Porro</t>
  </si>
  <si>
    <t>Udogie</t>
  </si>
  <si>
    <t>Vicario</t>
  </si>
  <si>
    <t>Ward-Prowse</t>
  </si>
  <si>
    <t>Zouma</t>
  </si>
  <si>
    <t>Emerson</t>
  </si>
  <si>
    <t>Bowen</t>
  </si>
  <si>
    <t>Areola</t>
  </si>
  <si>
    <t>L.Paquetá</t>
  </si>
  <si>
    <t>Souček</t>
  </si>
  <si>
    <t>Álvarez</t>
  </si>
  <si>
    <t>Kudus</t>
  </si>
  <si>
    <t>Mario Jr.</t>
  </si>
  <si>
    <t>Kilman</t>
  </si>
  <si>
    <t>Dawson</t>
  </si>
  <si>
    <t>José Sá</t>
  </si>
  <si>
    <t>Toti</t>
  </si>
  <si>
    <t>Hee Chan</t>
  </si>
  <si>
    <t>Aït-Nouri</t>
  </si>
  <si>
    <t>Cunha</t>
  </si>
  <si>
    <t>Sarabia</t>
  </si>
  <si>
    <t>João Gomes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</si>
</sst>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RS" displayName="TableARS" ref="A1:F13" totalsRowShown="0">
  <autoFilter ref="A1:F13" xr:uid="{00000000-0009-0000-0100-000001000000}"/>
  <tableColumns count="6">
    <tableColumn id="1" xr3:uid="{00000000-0010-0000-0000-000001000000}" name="Name"/>
    <tableColumn id="2" xr3:uid="{00000000-0010-0000-0000-000002000000}" name="ARIMAPP"/>
    <tableColumn id="3" xr3:uid="{00000000-0010-0000-0000-000003000000}" name="LSTMPP"/>
    <tableColumn id="4" xr3:uid="{00000000-0010-0000-0000-000004000000}" name="PP">
      <calculatedColumnFormula>TableARS[[#This Row],[ARIMAPP]]*$I$2+TableARS[[#This Row],[LSTMPP]]*$I$3</calculatedColumnFormula>
    </tableColumn>
    <tableColumn id="5" xr3:uid="{00000000-0010-0000-0000-000005000000}" name="AP"/>
    <tableColumn id="6" xr3:uid="{00000000-0010-0000-0000-000006000000}" name="DIFF">
      <calculatedColumnFormula>ABS(TableARS[[#This Row],[PP]]-TableARS[[#This Row],[AP]])</calculatedColumnFormula>
    </tableColumn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FUL" displayName="TableFUL" ref="A1:F12" totalsRowShown="0">
  <autoFilter ref="A1:F12" xr:uid="{00000000-0009-0000-0100-00000A000000}"/>
  <tableColumns count="6">
    <tableColumn id="1" xr3:uid="{00000000-0010-0000-0900-000001000000}" name="Name"/>
    <tableColumn id="2" xr3:uid="{00000000-0010-0000-0900-000002000000}" name="ARIMAPP"/>
    <tableColumn id="3" xr3:uid="{00000000-0010-0000-0900-000003000000}" name="LSTMPP"/>
    <tableColumn id="4" xr3:uid="{00000000-0010-0000-0900-000004000000}" name="PP">
      <calculatedColumnFormula>TableFUL[[#This Row],[ARIMAPP]]*$I$2+TableFUL[[#This Row],[LSTMPP]]*$I$3</calculatedColumnFormula>
    </tableColumn>
    <tableColumn id="5" xr3:uid="{00000000-0010-0000-0900-000005000000}" name="AP"/>
    <tableColumn id="6" xr3:uid="{00000000-0010-0000-0900-000006000000}" name="DIFF">
      <calculatedColumnFormula>ABS(TableFUL[[#This Row],[PP]]-TableFUL[[#This Row],[AP]])</calculatedColumnFormula>
    </tableColumn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LIV" displayName="TableLIV" ref="A1:F14" totalsRowShown="0">
  <autoFilter ref="A1:F14" xr:uid="{00000000-0009-0000-0100-00000B000000}"/>
  <tableColumns count="6">
    <tableColumn id="1" xr3:uid="{00000000-0010-0000-0A00-000001000000}" name="Name"/>
    <tableColumn id="2" xr3:uid="{00000000-0010-0000-0A00-000002000000}" name="ARIMAPP"/>
    <tableColumn id="3" xr3:uid="{00000000-0010-0000-0A00-000003000000}" name="LSTMPP"/>
    <tableColumn id="4" xr3:uid="{00000000-0010-0000-0A00-000004000000}" name="PP">
      <calculatedColumnFormula>TableLIV[[#This Row],[ARIMAPP]]*$I$2+TableLIV[[#This Row],[LSTMPP]]*$I$3</calculatedColumnFormula>
    </tableColumn>
    <tableColumn id="5" xr3:uid="{00000000-0010-0000-0A00-000005000000}" name="AP"/>
    <tableColumn id="6" xr3:uid="{00000000-0010-0000-0A00-000006000000}" name="DIFF">
      <calculatedColumnFormula>ABS(TableLIV[[#This Row],[PP]]-TableLIV[[#This Row],[AP]])</calculatedColumnFormula>
    </tableColumn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LUT" displayName="TableLUT" ref="A1:F7" totalsRowShown="0">
  <autoFilter ref="A1:F7" xr:uid="{00000000-0009-0000-0100-00000C000000}"/>
  <tableColumns count="6">
    <tableColumn id="1" xr3:uid="{00000000-0010-0000-0B00-000001000000}" name="Name"/>
    <tableColumn id="2" xr3:uid="{00000000-0010-0000-0B00-000002000000}" name="ARIMAPP"/>
    <tableColumn id="3" xr3:uid="{00000000-0010-0000-0B00-000003000000}" name="LSTMPP"/>
    <tableColumn id="4" xr3:uid="{00000000-0010-0000-0B00-000004000000}" name="PP">
      <calculatedColumnFormula>TableLUT[[#This Row],[ARIMAPP]]*$I$2+TableLUT[[#This Row],[LSTMPP]]*$I$3</calculatedColumnFormula>
    </tableColumn>
    <tableColumn id="5" xr3:uid="{00000000-0010-0000-0B00-000005000000}" name="AP"/>
    <tableColumn id="6" xr3:uid="{00000000-0010-0000-0B00-000006000000}" name="DIFF">
      <calculatedColumnFormula>ABS(TableLUT[[#This Row],[PP]]-TableLUT[[#This Row],[AP]])</calculatedColumnFormula>
    </tableColumn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MCI" displayName="TableMCI" ref="A1:F11" totalsRowShown="0">
  <autoFilter ref="A1:F11" xr:uid="{00000000-0009-0000-0100-00000D000000}"/>
  <tableColumns count="6">
    <tableColumn id="1" xr3:uid="{00000000-0010-0000-0C00-000001000000}" name="Name"/>
    <tableColumn id="2" xr3:uid="{00000000-0010-0000-0C00-000002000000}" name="ARIMAPP"/>
    <tableColumn id="3" xr3:uid="{00000000-0010-0000-0C00-000003000000}" name="LSTMPP"/>
    <tableColumn id="4" xr3:uid="{00000000-0010-0000-0C00-000004000000}" name="PP">
      <calculatedColumnFormula>TableMCI[[#This Row],[ARIMAPP]]*$I$2+TableMCI[[#This Row],[LSTMPP]]*$I$3</calculatedColumnFormula>
    </tableColumn>
    <tableColumn id="5" xr3:uid="{00000000-0010-0000-0C00-000005000000}" name="AP"/>
    <tableColumn id="6" xr3:uid="{00000000-0010-0000-0C00-000006000000}" name="DIFF">
      <calculatedColumnFormula>ABS(TableMCI[[#This Row],[PP]]-TableMCI[[#This Row],[AP]])</calculatedColumnFormula>
    </tableColumn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MUN" displayName="TableMUN" ref="A1:F9" totalsRowShown="0">
  <autoFilter ref="A1:F9" xr:uid="{00000000-0009-0000-0100-00000E000000}"/>
  <tableColumns count="6">
    <tableColumn id="1" xr3:uid="{00000000-0010-0000-0D00-000001000000}" name="Name"/>
    <tableColumn id="2" xr3:uid="{00000000-0010-0000-0D00-000002000000}" name="ARIMAPP"/>
    <tableColumn id="3" xr3:uid="{00000000-0010-0000-0D00-000003000000}" name="LSTMPP"/>
    <tableColumn id="4" xr3:uid="{00000000-0010-0000-0D00-000004000000}" name="PP">
      <calculatedColumnFormula>TableMUN[[#This Row],[ARIMAPP]]*$I$2+TableMUN[[#This Row],[LSTMPP]]*$I$3</calculatedColumnFormula>
    </tableColumn>
    <tableColumn id="5" xr3:uid="{00000000-0010-0000-0D00-000005000000}" name="AP"/>
    <tableColumn id="6" xr3:uid="{00000000-0010-0000-0D00-000006000000}" name="DIFF">
      <calculatedColumnFormula>ABS(TableMUN[[#This Row],[PP]]-TableMUN[[#This Row],[AP]])</calculatedColumnFormula>
    </tableColumn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NEW" displayName="TableNEW" ref="A1:F8" totalsRowShown="0">
  <autoFilter ref="A1:F8" xr:uid="{00000000-0009-0000-0100-00000F000000}"/>
  <tableColumns count="6">
    <tableColumn id="1" xr3:uid="{00000000-0010-0000-0E00-000001000000}" name="Name"/>
    <tableColumn id="2" xr3:uid="{00000000-0010-0000-0E00-000002000000}" name="ARIMAPP"/>
    <tableColumn id="3" xr3:uid="{00000000-0010-0000-0E00-000003000000}" name="LSTMPP"/>
    <tableColumn id="4" xr3:uid="{00000000-0010-0000-0E00-000004000000}" name="PP">
      <calculatedColumnFormula>TableNEW[[#This Row],[ARIMAPP]]*$I$2+TableNEW[[#This Row],[LSTMPP]]*$I$3</calculatedColumnFormula>
    </tableColumn>
    <tableColumn id="5" xr3:uid="{00000000-0010-0000-0E00-000005000000}" name="AP"/>
    <tableColumn id="6" xr3:uid="{00000000-0010-0000-0E00-000006000000}" name="DIFF">
      <calculatedColumnFormula>ABS(TableNEW[[#This Row],[PP]]-TableNEW[[#This Row],[AP]])</calculatedColumnFormula>
    </tableColumn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NFO" displayName="TableNFO" ref="A1:F6" totalsRowShown="0">
  <autoFilter ref="A1:F6" xr:uid="{00000000-0009-0000-0100-000010000000}"/>
  <tableColumns count="6">
    <tableColumn id="1" xr3:uid="{00000000-0010-0000-0F00-000001000000}" name="Name"/>
    <tableColumn id="2" xr3:uid="{00000000-0010-0000-0F00-000002000000}" name="ARIMAPP"/>
    <tableColumn id="3" xr3:uid="{00000000-0010-0000-0F00-000003000000}" name="LSTMPP"/>
    <tableColumn id="4" xr3:uid="{00000000-0010-0000-0F00-000004000000}" name="PP">
      <calculatedColumnFormula>TableNFO[[#This Row],[ARIMAPP]]*$I$2+TableNFO[[#This Row],[LSTMPP]]*$I$3</calculatedColumnFormula>
    </tableColumn>
    <tableColumn id="5" xr3:uid="{00000000-0010-0000-0F00-000005000000}" name="AP"/>
    <tableColumn id="6" xr3:uid="{00000000-0010-0000-0F00-000006000000}" name="DIFF">
      <calculatedColumnFormula>ABS(TableNFO[[#This Row],[PP]]-TableNFO[[#This Row],[AP]])</calculatedColumnFormula>
    </tableColumn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SHU" displayName="TableSHU" ref="A1:F6" totalsRowShown="0">
  <autoFilter ref="A1:F6" xr:uid="{00000000-0009-0000-0100-000011000000}"/>
  <tableColumns count="6">
    <tableColumn id="1" xr3:uid="{00000000-0010-0000-1000-000001000000}" name="Name"/>
    <tableColumn id="2" xr3:uid="{00000000-0010-0000-1000-000002000000}" name="ARIMAPP"/>
    <tableColumn id="3" xr3:uid="{00000000-0010-0000-1000-000003000000}" name="LSTMPP"/>
    <tableColumn id="4" xr3:uid="{00000000-0010-0000-1000-000004000000}" name="PP">
      <calculatedColumnFormula>TableSHU[[#This Row],[ARIMAPP]]*$I$2+TableSHU[[#This Row],[LSTMPP]]*$I$3</calculatedColumnFormula>
    </tableColumn>
    <tableColumn id="5" xr3:uid="{00000000-0010-0000-1000-000005000000}" name="AP"/>
    <tableColumn id="6" xr3:uid="{00000000-0010-0000-1000-000006000000}" name="DIFF">
      <calculatedColumnFormula>ABS(TableSHU[[#This Row],[PP]]-TableSHU[[#This Row],[AP]])</calculatedColumnFormula>
    </tableColumn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TOT" displayName="TableTOT" ref="A1:F11" totalsRowShown="0">
  <autoFilter ref="A1:F11" xr:uid="{00000000-0009-0000-0100-000012000000}"/>
  <tableColumns count="6">
    <tableColumn id="1" xr3:uid="{00000000-0010-0000-1100-000001000000}" name="Name"/>
    <tableColumn id="2" xr3:uid="{00000000-0010-0000-1100-000002000000}" name="ARIMAPP"/>
    <tableColumn id="3" xr3:uid="{00000000-0010-0000-1100-000003000000}" name="LSTMPP"/>
    <tableColumn id="4" xr3:uid="{00000000-0010-0000-1100-000004000000}" name="PP">
      <calculatedColumnFormula>TableTOT[[#This Row],[ARIMAPP]]*$I$2+TableTOT[[#This Row],[LSTMPP]]*$I$3</calculatedColumnFormula>
    </tableColumn>
    <tableColumn id="5" xr3:uid="{00000000-0010-0000-1100-000005000000}" name="AP"/>
    <tableColumn id="6" xr3:uid="{00000000-0010-0000-1100-000006000000}" name="DIFF">
      <calculatedColumnFormula>ABS(TableTOT[[#This Row],[PP]]-TableTOT[[#This Row],[AP]])</calculatedColumnFormula>
    </tableColumn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WHU" displayName="TableWHU" ref="A1:F10" totalsRowShown="0">
  <autoFilter ref="A1:F10" xr:uid="{00000000-0009-0000-0100-000013000000}"/>
  <tableColumns count="6">
    <tableColumn id="1" xr3:uid="{00000000-0010-0000-1200-000001000000}" name="Name"/>
    <tableColumn id="2" xr3:uid="{00000000-0010-0000-1200-000002000000}" name="ARIMAPP"/>
    <tableColumn id="3" xr3:uid="{00000000-0010-0000-1200-000003000000}" name="LSTMPP"/>
    <tableColumn id="4" xr3:uid="{00000000-0010-0000-1200-000004000000}" name="PP">
      <calculatedColumnFormula>TableWHU[[#This Row],[ARIMAPP]]*$I$2+TableWHU[[#This Row],[LSTMPP]]*$I$3</calculatedColumnFormula>
    </tableColumn>
    <tableColumn id="5" xr3:uid="{00000000-0010-0000-1200-000005000000}" name="AP"/>
    <tableColumn id="6" xr3:uid="{00000000-0010-0000-1200-000006000000}" name="DIFF">
      <calculatedColumnFormula>ABS(TableWHU[[#This Row],[PP]]-TableWHU[[#This Row],[AP]])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VL" displayName="TableAVL" ref="A1:F10" totalsRowShown="0">
  <autoFilter ref="A1:F10" xr:uid="{00000000-0009-0000-0100-000002000000}"/>
  <tableColumns count="6">
    <tableColumn id="1" xr3:uid="{00000000-0010-0000-0100-000001000000}" name="Name"/>
    <tableColumn id="2" xr3:uid="{00000000-0010-0000-0100-000002000000}" name="ARIMAPP"/>
    <tableColumn id="3" xr3:uid="{00000000-0010-0000-0100-000003000000}" name="LSTMPP"/>
    <tableColumn id="4" xr3:uid="{00000000-0010-0000-0100-000004000000}" name="PP">
      <calculatedColumnFormula>TableAVL[[#This Row],[ARIMAPP]]*$I$2+TableAVL[[#This Row],[LSTMPP]]*$I$3</calculatedColumnFormula>
    </tableColumn>
    <tableColumn id="5" xr3:uid="{00000000-0010-0000-0100-000005000000}" name="AP"/>
    <tableColumn id="6" xr3:uid="{00000000-0010-0000-0100-000006000000}" name="DIFF">
      <calculatedColumnFormula>ABS(TableAVL[[#This Row],[PP]]-TableAVL[[#This Row],[AP]])</calculatedColumnFormula>
    </tableColumn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WOL" displayName="TableWOL" ref="A1:F11" totalsRowShown="0">
  <autoFilter ref="A1:F11" xr:uid="{00000000-0009-0000-0100-000014000000}"/>
  <tableColumns count="6">
    <tableColumn id="1" xr3:uid="{00000000-0010-0000-1300-000001000000}" name="Name"/>
    <tableColumn id="2" xr3:uid="{00000000-0010-0000-1300-000002000000}" name="ARIMAPP"/>
    <tableColumn id="3" xr3:uid="{00000000-0010-0000-1300-000003000000}" name="LSTMPP"/>
    <tableColumn id="4" xr3:uid="{00000000-0010-0000-1300-000004000000}" name="PP">
      <calculatedColumnFormula>TableWOL[[#This Row],[ARIMAPP]]*$I$2+TableWOL[[#This Row],[LSTMPP]]*$I$3</calculatedColumnFormula>
    </tableColumn>
    <tableColumn id="5" xr3:uid="{00000000-0010-0000-1300-000005000000}" name="AP"/>
    <tableColumn id="6" xr3:uid="{00000000-0010-0000-1300-000006000000}" name="DIFF">
      <calculatedColumnFormula>ABS(TableWOL[[#This Row],[PP]]-TableWOL[[#This Row],[AP]])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BOU" displayName="TableBOU" ref="A1:F11" totalsRowShown="0">
  <autoFilter ref="A1:F11" xr:uid="{00000000-0009-0000-0100-000003000000}"/>
  <tableColumns count="6">
    <tableColumn id="1" xr3:uid="{00000000-0010-0000-0200-000001000000}" name="Name"/>
    <tableColumn id="2" xr3:uid="{00000000-0010-0000-0200-000002000000}" name="ARIMAPP"/>
    <tableColumn id="3" xr3:uid="{00000000-0010-0000-0200-000003000000}" name="LSTMPP"/>
    <tableColumn id="4" xr3:uid="{00000000-0010-0000-0200-000004000000}" name="PP">
      <calculatedColumnFormula>TableBOU[[#This Row],[ARIMAPP]]*$I$2+TableBOU[[#This Row],[LSTMPP]]*$I$3</calculatedColumnFormula>
    </tableColumn>
    <tableColumn id="5" xr3:uid="{00000000-0010-0000-0200-000005000000}" name="AP"/>
    <tableColumn id="6" xr3:uid="{00000000-0010-0000-0200-000006000000}" name="DIFF">
      <calculatedColumnFormula>ABS(TableBOU[[#This Row],[PP]]-TableBOU[[#This Row],[AP]])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BRE" displayName="TableBRE" ref="A1:F9" totalsRowShown="0">
  <autoFilter ref="A1:F9" xr:uid="{00000000-0009-0000-0100-000004000000}"/>
  <tableColumns count="6">
    <tableColumn id="1" xr3:uid="{00000000-0010-0000-0300-000001000000}" name="Name"/>
    <tableColumn id="2" xr3:uid="{00000000-0010-0000-0300-000002000000}" name="ARIMAPP"/>
    <tableColumn id="3" xr3:uid="{00000000-0010-0000-0300-000003000000}" name="LSTMPP"/>
    <tableColumn id="4" xr3:uid="{00000000-0010-0000-0300-000004000000}" name="PP">
      <calculatedColumnFormula>TableBRE[[#This Row],[ARIMAPP]]*$I$2+TableBRE[[#This Row],[LSTMPP]]*$I$3</calculatedColumnFormula>
    </tableColumn>
    <tableColumn id="5" xr3:uid="{00000000-0010-0000-0300-000005000000}" name="AP"/>
    <tableColumn id="6" xr3:uid="{00000000-0010-0000-0300-000006000000}" name="DIFF">
      <calculatedColumnFormula>ABS(TableBRE[[#This Row],[PP]]-TableBRE[[#This Row],[AP]])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BHA" displayName="TableBHA" ref="A1:F9" totalsRowShown="0">
  <autoFilter ref="A1:F9" xr:uid="{00000000-0009-0000-0100-000005000000}"/>
  <tableColumns count="6">
    <tableColumn id="1" xr3:uid="{00000000-0010-0000-0400-000001000000}" name="Name"/>
    <tableColumn id="2" xr3:uid="{00000000-0010-0000-0400-000002000000}" name="ARIMAPP"/>
    <tableColumn id="3" xr3:uid="{00000000-0010-0000-0400-000003000000}" name="LSTMPP"/>
    <tableColumn id="4" xr3:uid="{00000000-0010-0000-0400-000004000000}" name="PP">
      <calculatedColumnFormula>TableBHA[[#This Row],[ARIMAPP]]*$I$2+TableBHA[[#This Row],[LSTMPP]]*$I$3</calculatedColumnFormula>
    </tableColumn>
    <tableColumn id="5" xr3:uid="{00000000-0010-0000-0400-000005000000}" name="AP"/>
    <tableColumn id="6" xr3:uid="{00000000-0010-0000-0400-000006000000}" name="DIFF">
      <calculatedColumnFormula>ABS(TableBHA[[#This Row],[PP]]-TableBHA[[#This Row],[AP]])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BUR" displayName="TableBUR" ref="A1:F5" totalsRowShown="0">
  <autoFilter ref="A1:F5" xr:uid="{00000000-0009-0000-0100-000006000000}"/>
  <tableColumns count="6">
    <tableColumn id="1" xr3:uid="{00000000-0010-0000-0500-000001000000}" name="Name"/>
    <tableColumn id="2" xr3:uid="{00000000-0010-0000-0500-000002000000}" name="ARIMAPP"/>
    <tableColumn id="3" xr3:uid="{00000000-0010-0000-0500-000003000000}" name="LSTMPP"/>
    <tableColumn id="4" xr3:uid="{00000000-0010-0000-0500-000004000000}" name="PP">
      <calculatedColumnFormula>TableBUR[[#This Row],[ARIMAPP]]*$I$2+TableBUR[[#This Row],[LSTMPP]]*$I$3</calculatedColumnFormula>
    </tableColumn>
    <tableColumn id="5" xr3:uid="{00000000-0010-0000-0500-000005000000}" name="AP"/>
    <tableColumn id="6" xr3:uid="{00000000-0010-0000-0500-000006000000}" name="DIFF">
      <calculatedColumnFormula>ABS(TableBUR[[#This Row],[PP]]-TableBUR[[#This Row],[AP]])</calculatedColumnFormula>
    </tableColumn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CHE" displayName="TableCHE" ref="A1:F10" totalsRowShown="0">
  <autoFilter ref="A1:F10" xr:uid="{00000000-0009-0000-0100-000007000000}"/>
  <tableColumns count="6">
    <tableColumn id="1" xr3:uid="{00000000-0010-0000-0600-000001000000}" name="Name"/>
    <tableColumn id="2" xr3:uid="{00000000-0010-0000-0600-000002000000}" name="ARIMAPP"/>
    <tableColumn id="3" xr3:uid="{00000000-0010-0000-0600-000003000000}" name="LSTMPP"/>
    <tableColumn id="4" xr3:uid="{00000000-0010-0000-0600-000004000000}" name="PP">
      <calculatedColumnFormula>TableCHE[[#This Row],[ARIMAPP]]*$I$2+TableCHE[[#This Row],[LSTMPP]]*$I$3</calculatedColumnFormula>
    </tableColumn>
    <tableColumn id="5" xr3:uid="{00000000-0010-0000-0600-000005000000}" name="AP"/>
    <tableColumn id="6" xr3:uid="{00000000-0010-0000-0600-000006000000}" name="DIFF">
      <calculatedColumnFormula>ABS(TableCHE[[#This Row],[PP]]-TableCHE[[#This Row],[AP]])</calculatedColumnFormula>
    </tableColumn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CRY" displayName="TableCRY" ref="A1:F7" totalsRowShown="0">
  <autoFilter ref="A1:F7" xr:uid="{00000000-0009-0000-0100-000008000000}"/>
  <tableColumns count="6">
    <tableColumn id="1" xr3:uid="{00000000-0010-0000-0700-000001000000}" name="Name"/>
    <tableColumn id="2" xr3:uid="{00000000-0010-0000-0700-000002000000}" name="ARIMAPP"/>
    <tableColumn id="3" xr3:uid="{00000000-0010-0000-0700-000003000000}" name="LSTMPP"/>
    <tableColumn id="4" xr3:uid="{00000000-0010-0000-0700-000004000000}" name="PP">
      <calculatedColumnFormula>TableCRY[[#This Row],[ARIMAPP]]*$I$2+TableCRY[[#This Row],[LSTMPP]]*$I$3</calculatedColumnFormula>
    </tableColumn>
    <tableColumn id="5" xr3:uid="{00000000-0010-0000-0700-000005000000}" name="AP"/>
    <tableColumn id="6" xr3:uid="{00000000-0010-0000-0700-000006000000}" name="DIFF">
      <calculatedColumnFormula>ABS(TableCRY[[#This Row],[PP]]-TableCRY[[#This Row],[AP]])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EVE" displayName="TableEVE" ref="A1:F11" totalsRowShown="0">
  <autoFilter ref="A1:F11" xr:uid="{00000000-0009-0000-0100-000009000000}"/>
  <tableColumns count="6">
    <tableColumn id="1" xr3:uid="{00000000-0010-0000-0800-000001000000}" name="Name"/>
    <tableColumn id="2" xr3:uid="{00000000-0010-0000-0800-000002000000}" name="ARIMAPP"/>
    <tableColumn id="3" xr3:uid="{00000000-0010-0000-0800-000003000000}" name="LSTMPP"/>
    <tableColumn id="4" xr3:uid="{00000000-0010-0000-0800-000004000000}" name="PP">
      <calculatedColumnFormula>TableEVE[[#This Row],[ARIMAPP]]*$I$2+TableEVE[[#This Row],[LSTMPP]]*$I$3</calculatedColumnFormula>
    </tableColumn>
    <tableColumn id="5" xr3:uid="{00000000-0010-0000-0800-000005000000}" name="AP"/>
    <tableColumn id="6" xr3:uid="{00000000-0010-0000-0800-000006000000}" name="DIFF">
      <calculatedColumnFormula>ABS(TableEVE[[#This Row],[PP]]-TableEVE[[#This Row],[AP]])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10</v>
      </c>
      <c r="B2">
        <v>28.659359054385309</v>
      </c>
      <c r="C2">
        <v>26.646975562649889</v>
      </c>
      <c r="D2">
        <f>TableARS[[#This Row],[ARIMAPP]]*$I$2+TableARS[[#This Row],[LSTMPP]]*$I$3</f>
        <v>38.22381821449288</v>
      </c>
      <c r="E2">
        <v>56</v>
      </c>
      <c r="F2">
        <f>ABS(TableARS[[#This Row],[PP]]-TableARS[[#This Row],[AP]])</f>
        <v>17.77618178550712</v>
      </c>
      <c r="H2" t="s">
        <v>0</v>
      </c>
      <c r="I2">
        <v>0.92358790555000003</v>
      </c>
    </row>
    <row r="3" spans="1:9" x14ac:dyDescent="0.2">
      <c r="A3" t="s">
        <v>11</v>
      </c>
      <c r="B3">
        <v>40.60000000000003</v>
      </c>
      <c r="C3">
        <v>40.021873290120503</v>
      </c>
      <c r="D3">
        <f>TableARS[[#This Row],[ARIMAPP]]*$I$2+TableARS[[#This Row],[LSTMPP]]*$I$3</f>
        <v>55.15191788065399</v>
      </c>
      <c r="E3">
        <v>33</v>
      </c>
      <c r="F3">
        <f>ABS(TableARS[[#This Row],[PP]]-TableARS[[#This Row],[AP]])</f>
        <v>22.15191788065399</v>
      </c>
      <c r="H3" t="s">
        <v>1</v>
      </c>
      <c r="I3">
        <v>0.44111500697</v>
      </c>
    </row>
    <row r="4" spans="1:9" x14ac:dyDescent="0.2">
      <c r="A4" t="s">
        <v>12</v>
      </c>
      <c r="B4">
        <v>34.158415841584173</v>
      </c>
      <c r="C4">
        <v>35.707841789260833</v>
      </c>
      <c r="D4">
        <f>TableARS[[#This Row],[ARIMAPP]]*$I$2+TableARS[[#This Row],[LSTMPP]]*$I$3</f>
        <v>47.299564623788115</v>
      </c>
      <c r="E4">
        <v>37</v>
      </c>
      <c r="F4">
        <f>ABS(TableARS[[#This Row],[PP]]-TableARS[[#This Row],[AP]])</f>
        <v>10.299564623788115</v>
      </c>
    </row>
    <row r="5" spans="1:9" x14ac:dyDescent="0.2">
      <c r="A5" t="s">
        <v>13</v>
      </c>
      <c r="B5">
        <v>50.614519798993122</v>
      </c>
      <c r="C5">
        <v>43.634877539030207</v>
      </c>
      <c r="D5">
        <f>TableARS[[#This Row],[ARIMAPP]]*$I$2+TableARS[[#This Row],[LSTMPP]]*$I$3</f>
        <v>65.994957641335475</v>
      </c>
      <c r="E5">
        <v>81</v>
      </c>
      <c r="F5">
        <f>ABS(TableARS[[#This Row],[PP]]-TableARS[[#This Row],[AP]])</f>
        <v>15.005042358664525</v>
      </c>
      <c r="H5" t="s">
        <v>2</v>
      </c>
      <c r="I5">
        <f>SUM(ABS(TableARS[[#This Row],[PP]]-TableARS[[#This Row],[AP]]))</f>
        <v>15.005042358664525</v>
      </c>
    </row>
    <row r="6" spans="1:9" x14ac:dyDescent="0.2">
      <c r="A6" t="s">
        <v>14</v>
      </c>
      <c r="B6">
        <v>37.544929101114988</v>
      </c>
      <c r="C6">
        <v>38.029496547876498</v>
      </c>
      <c r="D6">
        <f>TableARS[[#This Row],[ARIMAPP]]*$I$2+TableARS[[#This Row],[LSTMPP]]*$I$3</f>
        <v>51.451424067304174</v>
      </c>
      <c r="E6">
        <v>44</v>
      </c>
      <c r="F6">
        <f>ABS(TableARS[[#This Row],[PP]]-TableARS[[#This Row],[AP]])</f>
        <v>7.4514240673041741</v>
      </c>
    </row>
    <row r="7" spans="1:9" x14ac:dyDescent="0.2">
      <c r="A7" t="s">
        <v>15</v>
      </c>
      <c r="B7">
        <v>31.904761904761891</v>
      </c>
      <c r="C7">
        <v>33.848556665803258</v>
      </c>
      <c r="D7">
        <f>TableARS[[#This Row],[ARIMAPP]]*$I$2+TableARS[[#This Row],[LSTMPP]]*$I$3</f>
        <v>44.397958534250705</v>
      </c>
      <c r="E7">
        <v>66</v>
      </c>
      <c r="F7">
        <f>ABS(TableARS[[#This Row],[PP]]-TableARS[[#This Row],[AP]])</f>
        <v>21.602041465749295</v>
      </c>
      <c r="H7" t="s">
        <v>3</v>
      </c>
      <c r="I7">
        <f>AVERAGE(TableARS[DIFF])/10</f>
        <v>1.141853823411269</v>
      </c>
    </row>
    <row r="8" spans="1:9" x14ac:dyDescent="0.2">
      <c r="A8" t="s">
        <v>16</v>
      </c>
      <c r="B8">
        <v>49.862682964563419</v>
      </c>
      <c r="C8">
        <v>46.417376579062868</v>
      </c>
      <c r="D8">
        <f>TableARS[[#This Row],[ARIMAPP]]*$I$2+TableARS[[#This Row],[LSTMPP]]*$I$3</f>
        <v>66.527972317547224</v>
      </c>
      <c r="E8">
        <v>59</v>
      </c>
      <c r="F8">
        <f>ABS(TableARS[[#This Row],[PP]]-TableARS[[#This Row],[AP]])</f>
        <v>7.5279723175472242</v>
      </c>
    </row>
    <row r="9" spans="1:9" x14ac:dyDescent="0.2">
      <c r="A9" t="s">
        <v>17</v>
      </c>
      <c r="B9">
        <v>41.351351351351383</v>
      </c>
      <c r="C9">
        <v>40.86820143531186</v>
      </c>
      <c r="D9">
        <f>TableARS[[#This Row],[ARIMAPP]]*$I$2+TableARS[[#This Row],[LSTMPP]]*$I$3</f>
        <v>56.219184947245736</v>
      </c>
      <c r="E9">
        <v>44</v>
      </c>
      <c r="F9">
        <f>ABS(TableARS[[#This Row],[PP]]-TableARS[[#This Row],[AP]])</f>
        <v>12.219184947245736</v>
      </c>
    </row>
    <row r="10" spans="1:9" x14ac:dyDescent="0.2">
      <c r="A10" t="s">
        <v>18</v>
      </c>
      <c r="B10">
        <v>42.761550806367289</v>
      </c>
      <c r="C10">
        <v>37.335029677857143</v>
      </c>
      <c r="D10">
        <f>TableARS[[#This Row],[ARIMAPP]]*$I$2+TableARS[[#This Row],[LSTMPP]]*$I$3</f>
        <v>55.963093023895794</v>
      </c>
      <c r="E10">
        <v>51</v>
      </c>
      <c r="F10">
        <f>ABS(TableARS[[#This Row],[PP]]-TableARS[[#This Row],[AP]])</f>
        <v>4.9630930238957944</v>
      </c>
    </row>
    <row r="11" spans="1:9" x14ac:dyDescent="0.2">
      <c r="A11" t="s">
        <v>19</v>
      </c>
      <c r="B11">
        <v>39.272727272727273</v>
      </c>
      <c r="C11">
        <v>41.289571409138077</v>
      </c>
      <c r="D11">
        <f>TableARS[[#This Row],[ARIMAPP]]*$I$2+TableARS[[#This Row],[LSTMPP]]*$I$3</f>
        <v>54.485265506984803</v>
      </c>
      <c r="E11">
        <v>62</v>
      </c>
      <c r="F11">
        <f>ABS(TableARS[[#This Row],[PP]]-TableARS[[#This Row],[AP]])</f>
        <v>7.5147344930151974</v>
      </c>
    </row>
    <row r="12" spans="1:9" x14ac:dyDescent="0.2">
      <c r="A12" t="s">
        <v>20</v>
      </c>
      <c r="B12">
        <v>32.841193976742503</v>
      </c>
      <c r="C12">
        <v>56.454508335571539</v>
      </c>
      <c r="D12">
        <f>TableARS[[#This Row],[ARIMAPP]]*$I$2+TableARS[[#This Row],[LSTMPP]]*$I$3</f>
        <v>55.23466039867445</v>
      </c>
      <c r="E12">
        <v>57</v>
      </c>
      <c r="F12">
        <f>ABS(TableARS[[#This Row],[PP]]-TableARS[[#This Row],[AP]])</f>
        <v>1.7653396013255502</v>
      </c>
    </row>
    <row r="13" spans="1:9" x14ac:dyDescent="0.2">
      <c r="A13" t="s">
        <v>21</v>
      </c>
      <c r="B13">
        <v>35.740740740740733</v>
      </c>
      <c r="C13">
        <v>34.55861086320941</v>
      </c>
      <c r="D13">
        <f>TableARS[[#This Row],[ARIMAPP]]*$I$2+TableARS[[#This Row],[LSTMPP]]*$I$3</f>
        <v>48.254037755344427</v>
      </c>
      <c r="E13">
        <v>57</v>
      </c>
      <c r="F13">
        <f>ABS(TableARS[[#This Row],[PP]]-TableARS[[#This Row],[AP]])</f>
        <v>8.7459622446555727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2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86</v>
      </c>
      <c r="B2">
        <v>19.950473142208772</v>
      </c>
      <c r="C2">
        <v>41.357493364178083</v>
      </c>
      <c r="D2">
        <f>TableFUL[[#This Row],[ARIMAPP]]*$I$2+TableFUL[[#This Row],[LSTMPP]]*$I$3</f>
        <v>34.540196993046308</v>
      </c>
      <c r="E2">
        <v>36</v>
      </c>
      <c r="F2">
        <f>ABS(TableFUL[[#This Row],[PP]]-TableFUL[[#This Row],[AP]])</f>
        <v>1.4598030069536918</v>
      </c>
      <c r="H2" t="s">
        <v>0</v>
      </c>
      <c r="I2">
        <v>0.32836806444</v>
      </c>
    </row>
    <row r="3" spans="1:9" x14ac:dyDescent="0.2">
      <c r="A3" t="s">
        <v>87</v>
      </c>
      <c r="B3">
        <v>27.51515151515153</v>
      </c>
      <c r="C3">
        <v>24.819185813091028</v>
      </c>
      <c r="D3">
        <f>TableFUL[[#This Row],[ARIMAPP]]*$I$2+TableFUL[[#This Row],[LSTMPP]]*$I$3</f>
        <v>25.831730156966536</v>
      </c>
      <c r="E3">
        <v>36</v>
      </c>
      <c r="F3">
        <f>ABS(TableFUL[[#This Row],[PP]]-TableFUL[[#This Row],[AP]])</f>
        <v>10.168269843033464</v>
      </c>
      <c r="H3" t="s">
        <v>1</v>
      </c>
      <c r="I3">
        <v>0.67676003707999999</v>
      </c>
    </row>
    <row r="4" spans="1:9" x14ac:dyDescent="0.2">
      <c r="A4" t="s">
        <v>88</v>
      </c>
      <c r="B4">
        <v>36.209150326797356</v>
      </c>
      <c r="C4">
        <v>38.03890271038663</v>
      </c>
      <c r="D4">
        <f>TableFUL[[#This Row],[ARIMAPP]]*$I$2+TableFUL[[#This Row],[LSTMPP]]*$I$3</f>
        <v>37.633137816591208</v>
      </c>
      <c r="E4">
        <v>34</v>
      </c>
      <c r="F4">
        <f>ABS(TableFUL[[#This Row],[PP]]-TableFUL[[#This Row],[AP]])</f>
        <v>3.6331378165912085</v>
      </c>
    </row>
    <row r="5" spans="1:9" x14ac:dyDescent="0.2">
      <c r="A5" t="s">
        <v>89</v>
      </c>
      <c r="B5">
        <v>26.71052631578948</v>
      </c>
      <c r="C5">
        <v>22.863700294675091</v>
      </c>
      <c r="D5">
        <f>TableFUL[[#This Row],[ARIMAPP]]*$I$2+TableFUL[[#This Row],[LSTMPP]]*$I$3</f>
        <v>24.244122485699798</v>
      </c>
      <c r="E5">
        <v>23</v>
      </c>
      <c r="F5">
        <f>ABS(TableFUL[[#This Row],[PP]]-TableFUL[[#This Row],[AP]])</f>
        <v>1.2441224856997977</v>
      </c>
      <c r="H5" t="s">
        <v>2</v>
      </c>
      <c r="I5">
        <f>SUM(ABS(TableFUL[[#This Row],[PP]]-TableFUL[[#This Row],[AP]]))</f>
        <v>1.2441224856997977</v>
      </c>
    </row>
    <row r="6" spans="1:9" x14ac:dyDescent="0.2">
      <c r="A6" t="s">
        <v>90</v>
      </c>
      <c r="B6">
        <v>30.46245395772705</v>
      </c>
      <c r="C6">
        <v>30.629583036423838</v>
      </c>
      <c r="D6">
        <f>TableFUL[[#This Row],[ARIMAPP]]*$I$2+TableFUL[[#This Row],[LSTMPP]]*$I$3</f>
        <v>30.731774795666585</v>
      </c>
      <c r="E6">
        <v>35</v>
      </c>
      <c r="F6">
        <f>ABS(TableFUL[[#This Row],[PP]]-TableFUL[[#This Row],[AP]])</f>
        <v>4.2682252043334152</v>
      </c>
    </row>
    <row r="7" spans="1:9" x14ac:dyDescent="0.2">
      <c r="A7" t="s">
        <v>91</v>
      </c>
      <c r="B7">
        <v>23.625</v>
      </c>
      <c r="C7">
        <v>27.817412225904981</v>
      </c>
      <c r="D7">
        <f>TableFUL[[#This Row],[ARIMAPP]]*$I$2+TableFUL[[#This Row],[LSTMPP]]*$I$3</f>
        <v>26.583408451868099</v>
      </c>
      <c r="E7">
        <v>40</v>
      </c>
      <c r="F7">
        <f>ABS(TableFUL[[#This Row],[PP]]-TableFUL[[#This Row],[AP]])</f>
        <v>13.416591548131901</v>
      </c>
      <c r="H7" t="s">
        <v>3</v>
      </c>
      <c r="I7">
        <f>AVERAGE(TableFUL[DIFF])/10</f>
        <v>0.80279718607342743</v>
      </c>
    </row>
    <row r="8" spans="1:9" x14ac:dyDescent="0.2">
      <c r="A8" t="s">
        <v>92</v>
      </c>
      <c r="B8">
        <v>26.470910744649391</v>
      </c>
      <c r="C8">
        <v>29.943985083885849</v>
      </c>
      <c r="D8">
        <f>TableFUL[[#This Row],[ARIMAPP]]*$I$2+TableFUL[[#This Row],[LSTMPP]]*$I$3</f>
        <v>28.957094180878073</v>
      </c>
      <c r="E8">
        <v>29</v>
      </c>
      <c r="F8">
        <f>ABS(TableFUL[[#This Row],[PP]]-TableFUL[[#This Row],[AP]])</f>
        <v>4.2905819121926925E-2</v>
      </c>
    </row>
    <row r="9" spans="1:9" x14ac:dyDescent="0.2">
      <c r="A9" t="s">
        <v>93</v>
      </c>
      <c r="B9">
        <v>35.660377358490571</v>
      </c>
      <c r="C9">
        <v>41.816855300454527</v>
      </c>
      <c r="D9">
        <f>TableFUL[[#This Row],[ARIMAPP]]*$I$2+TableFUL[[#This Row],[LSTMPP]]*$I$3</f>
        <v>40.009705634112152</v>
      </c>
      <c r="E9">
        <v>32</v>
      </c>
      <c r="F9">
        <f>ABS(TableFUL[[#This Row],[PP]]-TableFUL[[#This Row],[AP]])</f>
        <v>8.0097056341121515</v>
      </c>
    </row>
    <row r="10" spans="1:9" x14ac:dyDescent="0.2">
      <c r="A10" t="s">
        <v>94</v>
      </c>
      <c r="B10">
        <v>25.098039215686271</v>
      </c>
      <c r="C10">
        <v>30.896965882305398</v>
      </c>
      <c r="D10">
        <f>TableFUL[[#This Row],[ARIMAPP]]*$I$2+TableFUL[[#This Row],[LSTMPP]]*$I$3</f>
        <v>29.15122633466261</v>
      </c>
      <c r="E10">
        <v>41</v>
      </c>
      <c r="F10">
        <f>ABS(TableFUL[[#This Row],[PP]]-TableFUL[[#This Row],[AP]])</f>
        <v>11.84877366533739</v>
      </c>
    </row>
    <row r="11" spans="1:9" x14ac:dyDescent="0.2">
      <c r="A11" t="s">
        <v>95</v>
      </c>
      <c r="B11">
        <v>41.682155038928293</v>
      </c>
      <c r="C11">
        <v>41.223813950752643</v>
      </c>
      <c r="D11">
        <f>TableFUL[[#This Row],[ARIMAPP]]*$I$2+TableFUL[[#This Row],[LSTMPP]]*$I$3</f>
        <v>41.585718429711257</v>
      </c>
      <c r="E11">
        <v>21</v>
      </c>
      <c r="F11">
        <f>ABS(TableFUL[[#This Row],[PP]]-TableFUL[[#This Row],[AP]])</f>
        <v>20.585718429711257</v>
      </c>
    </row>
    <row r="12" spans="1:9" x14ac:dyDescent="0.2">
      <c r="A12" t="s">
        <v>96</v>
      </c>
      <c r="B12">
        <v>18.639215657009071</v>
      </c>
      <c r="C12">
        <v>12.189017325209241</v>
      </c>
      <c r="D12">
        <f>TableFUL[[#This Row],[ARIMAPP]]*$I$2+TableFUL[[#This Row],[LSTMPP]]*$I$3</f>
        <v>14.36956298494918</v>
      </c>
      <c r="E12">
        <v>28</v>
      </c>
      <c r="F12">
        <f>ABS(TableFUL[[#This Row],[PP]]-TableFUL[[#This Row],[AP]])</f>
        <v>13.63043701505082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4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97</v>
      </c>
      <c r="B2">
        <v>44.733168337584942</v>
      </c>
      <c r="C2">
        <v>42.815464493353993</v>
      </c>
      <c r="D2">
        <f>TableLIV[[#This Row],[ARIMAPP]]*$I$2+TableLIV[[#This Row],[LSTMPP]]*$I$3</f>
        <v>45.032982464333124</v>
      </c>
      <c r="E2">
        <v>38</v>
      </c>
      <c r="F2">
        <f>ABS(TableLIV[[#This Row],[PP]]-TableLIV[[#This Row],[AP]])</f>
        <v>7.0329824643331236</v>
      </c>
      <c r="H2" t="s">
        <v>0</v>
      </c>
      <c r="I2">
        <v>0</v>
      </c>
    </row>
    <row r="3" spans="1:9" x14ac:dyDescent="0.2">
      <c r="A3" t="s">
        <v>98</v>
      </c>
      <c r="B3">
        <v>69.193548387096726</v>
      </c>
      <c r="C3">
        <v>68.58281114677726</v>
      </c>
      <c r="D3">
        <f>TableLIV[[#This Row],[ARIMAPP]]*$I$2+TableLIV[[#This Row],[LSTMPP]]*$I$3</f>
        <v>72.134883231429129</v>
      </c>
      <c r="E3">
        <v>65</v>
      </c>
      <c r="F3">
        <f>ABS(TableLIV[[#This Row],[PP]]-TableLIV[[#This Row],[AP]])</f>
        <v>7.1348832314291286</v>
      </c>
      <c r="H3" t="s">
        <v>1</v>
      </c>
      <c r="I3">
        <v>1.0517924539000001</v>
      </c>
    </row>
    <row r="4" spans="1:9" x14ac:dyDescent="0.2">
      <c r="A4" t="s">
        <v>99</v>
      </c>
      <c r="B4">
        <v>52.914775325573672</v>
      </c>
      <c r="C4">
        <v>49.881047739140513</v>
      </c>
      <c r="D4">
        <f>TableLIV[[#This Row],[ARIMAPP]]*$I$2+TableLIV[[#This Row],[LSTMPP]]*$I$3</f>
        <v>52.464509604653649</v>
      </c>
      <c r="E4">
        <v>57</v>
      </c>
      <c r="F4">
        <f>ABS(TableLIV[[#This Row],[PP]]-TableLIV[[#This Row],[AP]])</f>
        <v>4.5354903953463506</v>
      </c>
    </row>
    <row r="5" spans="1:9" x14ac:dyDescent="0.2">
      <c r="A5" t="s">
        <v>100</v>
      </c>
      <c r="B5">
        <v>48.037974683544313</v>
      </c>
      <c r="C5">
        <v>48.101397073693931</v>
      </c>
      <c r="D5">
        <f>TableLIV[[#This Row],[ARIMAPP]]*$I$2+TableLIV[[#This Row],[LSTMPP]]*$I$3</f>
        <v>50.592686464158824</v>
      </c>
      <c r="E5">
        <v>31</v>
      </c>
      <c r="F5">
        <f>ABS(TableLIV[[#This Row],[PP]]-TableLIV[[#This Row],[AP]])</f>
        <v>19.592686464158824</v>
      </c>
      <c r="H5" t="s">
        <v>2</v>
      </c>
      <c r="I5">
        <f>SUM(ABS(TableLIV[[#This Row],[PP]]-TableLIV[[#This Row],[AP]]))</f>
        <v>19.592686464158824</v>
      </c>
    </row>
    <row r="6" spans="1:9" x14ac:dyDescent="0.2">
      <c r="A6" t="s">
        <v>101</v>
      </c>
      <c r="B6">
        <v>18.18181818181818</v>
      </c>
      <c r="C6">
        <v>16.735281026403008</v>
      </c>
      <c r="D6">
        <f>TableLIV[[#This Row],[ARIMAPP]]*$I$2+TableLIV[[#This Row],[LSTMPP]]*$I$3</f>
        <v>17.602042297466532</v>
      </c>
      <c r="E6">
        <v>35</v>
      </c>
      <c r="F6">
        <f>ABS(TableLIV[[#This Row],[PP]]-TableLIV[[#This Row],[AP]])</f>
        <v>17.397957702533468</v>
      </c>
    </row>
    <row r="7" spans="1:9" x14ac:dyDescent="0.2">
      <c r="A7" t="s">
        <v>102</v>
      </c>
      <c r="B7">
        <v>28.543689320388339</v>
      </c>
      <c r="C7">
        <v>30.912580784012231</v>
      </c>
      <c r="D7">
        <f>TableLIV[[#This Row],[ARIMAPP]]*$I$2+TableLIV[[#This Row],[LSTMPP]]*$I$3</f>
        <v>32.51361919919821</v>
      </c>
      <c r="E7">
        <v>49</v>
      </c>
      <c r="F7">
        <f>ABS(TableLIV[[#This Row],[PP]]-TableLIV[[#This Row],[AP]])</f>
        <v>16.48638080080179</v>
      </c>
      <c r="H7" t="s">
        <v>3</v>
      </c>
      <c r="I7">
        <f>AVERAGE(TableLIV[DIFF])/10</f>
        <v>1.2165164619077875</v>
      </c>
    </row>
    <row r="8" spans="1:9" x14ac:dyDescent="0.2">
      <c r="A8" t="s">
        <v>103</v>
      </c>
      <c r="B8">
        <v>29.1891891891892</v>
      </c>
      <c r="C8">
        <v>28.285071291346998</v>
      </c>
      <c r="D8">
        <f>TableLIV[[#This Row],[ARIMAPP]]*$I$2+TableLIV[[#This Row],[LSTMPP]]*$I$3</f>
        <v>29.750024542262302</v>
      </c>
      <c r="E8">
        <v>27</v>
      </c>
      <c r="F8">
        <f>ABS(TableLIV[[#This Row],[PP]]-TableLIV[[#This Row],[AP]])</f>
        <v>2.7500245422623024</v>
      </c>
    </row>
    <row r="9" spans="1:9" x14ac:dyDescent="0.2">
      <c r="A9" t="s">
        <v>104</v>
      </c>
      <c r="B9">
        <v>32.727272727272727</v>
      </c>
      <c r="C9">
        <v>37.827534407985993</v>
      </c>
      <c r="D9">
        <f>TableLIV[[#This Row],[ARIMAPP]]*$I$2+TableLIV[[#This Row],[LSTMPP]]*$I$3</f>
        <v>39.786715239962277</v>
      </c>
      <c r="E9">
        <v>58</v>
      </c>
      <c r="F9">
        <f>ABS(TableLIV[[#This Row],[PP]]-TableLIV[[#This Row],[AP]])</f>
        <v>18.213284760037723</v>
      </c>
    </row>
    <row r="10" spans="1:9" x14ac:dyDescent="0.2">
      <c r="A10" t="s">
        <v>105</v>
      </c>
      <c r="B10">
        <v>37.777777777777779</v>
      </c>
      <c r="C10">
        <v>40.033276648752498</v>
      </c>
      <c r="D10">
        <f>TableLIV[[#This Row],[ARIMAPP]]*$I$2+TableLIV[[#This Row],[LSTMPP]]*$I$3</f>
        <v>42.10669828404896</v>
      </c>
      <c r="E10">
        <v>47</v>
      </c>
      <c r="F10">
        <f>ABS(TableLIV[[#This Row],[PP]]-TableLIV[[#This Row],[AP]])</f>
        <v>4.8933017159510399</v>
      </c>
    </row>
    <row r="11" spans="1:9" x14ac:dyDescent="0.2">
      <c r="A11" t="s">
        <v>106</v>
      </c>
      <c r="B11">
        <v>36.071428571428569</v>
      </c>
      <c r="C11">
        <v>41.807745665177052</v>
      </c>
      <c r="D11">
        <f>TableLIV[[#This Row],[ARIMAPP]]*$I$2+TableLIV[[#This Row],[LSTMPP]]*$I$3</f>
        <v>43.973071405203662</v>
      </c>
      <c r="E11">
        <v>65</v>
      </c>
      <c r="F11">
        <f>ABS(TableLIV[[#This Row],[PP]]-TableLIV[[#This Row],[AP]])</f>
        <v>21.026928594796338</v>
      </c>
    </row>
    <row r="12" spans="1:9" x14ac:dyDescent="0.2">
      <c r="A12" t="s">
        <v>107</v>
      </c>
      <c r="B12">
        <v>32.571428571428562</v>
      </c>
      <c r="C12">
        <v>27.915153119227501</v>
      </c>
      <c r="D12">
        <f>TableLIV[[#This Row],[ARIMAPP]]*$I$2+TableLIV[[#This Row],[LSTMPP]]*$I$3</f>
        <v>29.360947400266536</v>
      </c>
      <c r="E12">
        <v>29</v>
      </c>
      <c r="F12">
        <f>ABS(TableLIV[[#This Row],[PP]]-TableLIV[[#This Row],[AP]])</f>
        <v>0.36094740026653582</v>
      </c>
    </row>
    <row r="13" spans="1:9" x14ac:dyDescent="0.2">
      <c r="A13" t="s">
        <v>108</v>
      </c>
      <c r="B13">
        <v>42.000000000000007</v>
      </c>
      <c r="C13">
        <v>48.91043598993452</v>
      </c>
      <c r="D13">
        <f>TableLIV[[#This Row],[ARIMAPP]]*$I$2+TableLIV[[#This Row],[LSTMPP]]*$I$3</f>
        <v>51.443627491172109</v>
      </c>
      <c r="E13">
        <v>26</v>
      </c>
      <c r="F13">
        <f>ABS(TableLIV[[#This Row],[PP]]-TableLIV[[#This Row],[AP]])</f>
        <v>25.443627491172109</v>
      </c>
    </row>
    <row r="14" spans="1:9" x14ac:dyDescent="0.2">
      <c r="A14" t="s">
        <v>109</v>
      </c>
      <c r="B14">
        <v>21.333333333333329</v>
      </c>
      <c r="C14">
        <v>20.65175067051921</v>
      </c>
      <c r="D14">
        <f>TableLIV[[#This Row],[ARIMAPP]]*$I$2+TableLIV[[#This Row],[LSTMPP]]*$I$3</f>
        <v>21.721355515076372</v>
      </c>
      <c r="E14">
        <v>35</v>
      </c>
      <c r="F14">
        <f>ABS(TableLIV[[#This Row],[PP]]-TableLIV[[#This Row],[AP]])</f>
        <v>13.278644484923628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7"/>
  <sheetViews>
    <sheetView workbookViewId="0">
      <selection activeCell="I2" sqref="I2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110</v>
      </c>
      <c r="B2">
        <v>29.016535204843269</v>
      </c>
      <c r="C2">
        <v>26.072757833595329</v>
      </c>
      <c r="D2">
        <f>TableLUT[[#This Row],[ARIMAPP]]*$I$2+TableLUT[[#This Row],[LSTMPP]]*$I$3</f>
        <v>47.768671921823305</v>
      </c>
      <c r="E2">
        <v>41</v>
      </c>
      <c r="F2">
        <f>ABS(TableLUT[[#This Row],[PP]]-TableLUT[[#This Row],[AP]])</f>
        <v>6.7686719218233051</v>
      </c>
      <c r="H2" t="s">
        <v>0</v>
      </c>
      <c r="I2">
        <v>1.6462569216</v>
      </c>
    </row>
    <row r="3" spans="1:9" x14ac:dyDescent="0.2">
      <c r="A3" t="s">
        <v>111</v>
      </c>
      <c r="B3">
        <v>14.210526315789471</v>
      </c>
      <c r="C3">
        <v>15.30314620658103</v>
      </c>
      <c r="D3">
        <f>TableLUT[[#This Row],[ARIMAPP]]*$I$2+TableLUT[[#This Row],[LSTMPP]]*$I$3</f>
        <v>23.394177306947363</v>
      </c>
      <c r="E3">
        <v>36</v>
      </c>
      <c r="F3">
        <f>ABS(TableLUT[[#This Row],[PP]]-TableLUT[[#This Row],[AP]])</f>
        <v>12.605822693052637</v>
      </c>
      <c r="H3" t="s">
        <v>1</v>
      </c>
      <c r="I3">
        <v>0</v>
      </c>
    </row>
    <row r="4" spans="1:9" x14ac:dyDescent="0.2">
      <c r="A4" t="s">
        <v>112</v>
      </c>
      <c r="B4">
        <v>22.222222222222211</v>
      </c>
      <c r="C4">
        <v>18.371079869453538</v>
      </c>
      <c r="D4">
        <f>TableLUT[[#This Row],[ARIMAPP]]*$I$2+TableLUT[[#This Row],[LSTMPP]]*$I$3</f>
        <v>36.583487146666648</v>
      </c>
      <c r="E4">
        <v>23</v>
      </c>
      <c r="F4">
        <f>ABS(TableLUT[[#This Row],[PP]]-TableLUT[[#This Row],[AP]])</f>
        <v>13.583487146666648</v>
      </c>
    </row>
    <row r="5" spans="1:9" x14ac:dyDescent="0.2">
      <c r="A5" t="s">
        <v>113</v>
      </c>
      <c r="B5">
        <v>20.833333333333339</v>
      </c>
      <c r="C5">
        <v>8.5608802593004469</v>
      </c>
      <c r="D5">
        <f>TableLUT[[#This Row],[ARIMAPP]]*$I$2+TableLUT[[#This Row],[LSTMPP]]*$I$3</f>
        <v>34.297019200000008</v>
      </c>
      <c r="E5">
        <v>54</v>
      </c>
      <c r="F5">
        <f>ABS(TableLUT[[#This Row],[PP]]-TableLUT[[#This Row],[AP]])</f>
        <v>19.702980799999992</v>
      </c>
      <c r="H5" t="s">
        <v>2</v>
      </c>
      <c r="I5">
        <f>SUM(ABS(TableLUT[[#This Row],[PP]]-TableLUT[[#This Row],[AP]]))</f>
        <v>19.702980799999992</v>
      </c>
    </row>
    <row r="6" spans="1:9" x14ac:dyDescent="0.2">
      <c r="A6" t="s">
        <v>114</v>
      </c>
      <c r="B6">
        <v>21.333333333333329</v>
      </c>
      <c r="C6">
        <v>13.41083114760827</v>
      </c>
      <c r="D6">
        <f>TableLUT[[#This Row],[ARIMAPP]]*$I$2+TableLUT[[#This Row],[LSTMPP]]*$I$3</f>
        <v>35.120147660799994</v>
      </c>
      <c r="E6">
        <v>37</v>
      </c>
      <c r="F6">
        <f>ABS(TableLUT[[#This Row],[PP]]-TableLUT[[#This Row],[AP]])</f>
        <v>1.8798523392000064</v>
      </c>
    </row>
    <row r="7" spans="1:9" x14ac:dyDescent="0.2">
      <c r="A7" t="s">
        <v>115</v>
      </c>
      <c r="B7">
        <v>30.555555555555539</v>
      </c>
      <c r="C7">
        <v>30.41121452426318</v>
      </c>
      <c r="D7">
        <f>TableLUT[[#This Row],[ARIMAPP]]*$I$2+TableLUT[[#This Row],[LSTMPP]]*$I$3</f>
        <v>50.302294826666639</v>
      </c>
      <c r="E7">
        <v>46</v>
      </c>
      <c r="F7">
        <f>ABS(TableLUT[[#This Row],[PP]]-TableLUT[[#This Row],[AP]])</f>
        <v>4.302294826666639</v>
      </c>
      <c r="H7" t="s">
        <v>3</v>
      </c>
      <c r="I7">
        <f>AVERAGE(TableLUT[DIFF])/10</f>
        <v>0.98071849545682055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1"/>
  <sheetViews>
    <sheetView workbookViewId="0">
      <selection activeCell="I2" sqref="I2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116</v>
      </c>
      <c r="B2">
        <v>39.193548387096733</v>
      </c>
      <c r="C2">
        <v>41.580634813375923</v>
      </c>
      <c r="D2">
        <f>TableMCI[[#This Row],[ARIMAPP]]*$I$2+TableMCI[[#This Row],[LSTMPP]]*$I$3</f>
        <v>38.080385016401571</v>
      </c>
      <c r="E2">
        <v>36</v>
      </c>
      <c r="F2">
        <f>ABS(TableMCI[[#This Row],[PP]]-TableMCI[[#This Row],[AP]])</f>
        <v>2.0803850164015714</v>
      </c>
      <c r="H2" t="s">
        <v>0</v>
      </c>
      <c r="I2">
        <v>0.97159830082999998</v>
      </c>
    </row>
    <row r="3" spans="1:9" x14ac:dyDescent="0.2">
      <c r="A3" t="s">
        <v>117</v>
      </c>
      <c r="B3">
        <v>37.971014492753618</v>
      </c>
      <c r="C3">
        <v>43.199412919078718</v>
      </c>
      <c r="D3">
        <f>TableMCI[[#This Row],[ARIMAPP]]*$I$2+TableMCI[[#This Row],[LSTMPP]]*$I$3</f>
        <v>36.892573161950722</v>
      </c>
      <c r="E3">
        <v>29</v>
      </c>
      <c r="F3">
        <f>ABS(TableMCI[[#This Row],[PP]]-TableMCI[[#This Row],[AP]])</f>
        <v>7.8925731619507218</v>
      </c>
      <c r="H3" t="s">
        <v>1</v>
      </c>
      <c r="I3">
        <v>0</v>
      </c>
    </row>
    <row r="4" spans="1:9" x14ac:dyDescent="0.2">
      <c r="A4" t="s">
        <v>118</v>
      </c>
      <c r="B4">
        <v>32.558139534883743</v>
      </c>
      <c r="C4">
        <v>29.249234027813412</v>
      </c>
      <c r="D4">
        <f>TableMCI[[#This Row],[ARIMAPP]]*$I$2+TableMCI[[#This Row],[LSTMPP]]*$I$3</f>
        <v>31.633433050279091</v>
      </c>
      <c r="E4">
        <v>35</v>
      </c>
      <c r="F4">
        <f>ABS(TableMCI[[#This Row],[PP]]-TableMCI[[#This Row],[AP]])</f>
        <v>3.3665669497209088</v>
      </c>
    </row>
    <row r="5" spans="1:9" x14ac:dyDescent="0.2">
      <c r="A5" t="s">
        <v>119</v>
      </c>
      <c r="B5">
        <v>47.626114911037988</v>
      </c>
      <c r="C5">
        <v>37.65899499125306</v>
      </c>
      <c r="D5">
        <f>TableMCI[[#This Row],[ARIMAPP]]*$I$2+TableMCI[[#This Row],[LSTMPP]]*$I$3</f>
        <v>46.273452322698837</v>
      </c>
      <c r="E5">
        <v>85</v>
      </c>
      <c r="F5">
        <f>ABS(TableMCI[[#This Row],[PP]]-TableMCI[[#This Row],[AP]])</f>
        <v>38.726547677301163</v>
      </c>
      <c r="H5" t="s">
        <v>2</v>
      </c>
      <c r="I5">
        <f>SUM(ABS(TableMCI[[#This Row],[PP]]-TableMCI[[#This Row],[AP]]))</f>
        <v>38.726547677301163</v>
      </c>
    </row>
    <row r="6" spans="1:9" x14ac:dyDescent="0.2">
      <c r="A6" t="s">
        <v>120</v>
      </c>
      <c r="B6">
        <v>30.684931506849331</v>
      </c>
      <c r="C6">
        <v>29.039081361488108</v>
      </c>
      <c r="D6">
        <f>TableMCI[[#This Row],[ARIMAPP]]*$I$2+TableMCI[[#This Row],[LSTMPP]]*$I$3</f>
        <v>29.813427313139741</v>
      </c>
      <c r="E6">
        <v>51</v>
      </c>
      <c r="F6">
        <f>ABS(TableMCI[[#This Row],[PP]]-TableMCI[[#This Row],[AP]])</f>
        <v>21.186572686860259</v>
      </c>
    </row>
    <row r="7" spans="1:9" x14ac:dyDescent="0.2">
      <c r="A7" t="s">
        <v>121</v>
      </c>
      <c r="B7">
        <v>81.818181818181813</v>
      </c>
      <c r="C7">
        <v>80.254833713151271</v>
      </c>
      <c r="D7">
        <f>TableMCI[[#This Row],[ARIMAPP]]*$I$2+TableMCI[[#This Row],[LSTMPP]]*$I$3</f>
        <v>79.494406431545443</v>
      </c>
      <c r="E7">
        <v>51</v>
      </c>
      <c r="F7">
        <f>ABS(TableMCI[[#This Row],[PP]]-TableMCI[[#This Row],[AP]])</f>
        <v>28.494406431545443</v>
      </c>
      <c r="H7" t="s">
        <v>3</v>
      </c>
      <c r="I7">
        <f>AVERAGE(TableMCI[DIFF])/10</f>
        <v>1.2645596164428832</v>
      </c>
    </row>
    <row r="8" spans="1:9" x14ac:dyDescent="0.2">
      <c r="A8" t="s">
        <v>122</v>
      </c>
      <c r="B8">
        <v>38.913043478260867</v>
      </c>
      <c r="C8">
        <v>31.638680349671741</v>
      </c>
      <c r="D8">
        <f>TableMCI[[#This Row],[ARIMAPP]]*$I$2+TableMCI[[#This Row],[LSTMPP]]*$I$3</f>
        <v>37.80784692360217</v>
      </c>
      <c r="E8">
        <v>28</v>
      </c>
      <c r="F8">
        <f>ABS(TableMCI[[#This Row],[PP]]-TableMCI[[#This Row],[AP]])</f>
        <v>9.8078469236021704</v>
      </c>
    </row>
    <row r="9" spans="1:9" x14ac:dyDescent="0.2">
      <c r="A9" t="s">
        <v>123</v>
      </c>
      <c r="B9">
        <v>36.808510638297847</v>
      </c>
      <c r="C9">
        <v>35.79042998346295</v>
      </c>
      <c r="D9">
        <f>TableMCI[[#This Row],[ARIMAPP]]*$I$2+TableMCI[[#This Row],[LSTMPP]]*$I$3</f>
        <v>35.763086392253165</v>
      </c>
      <c r="E9">
        <v>40</v>
      </c>
      <c r="F9">
        <f>ABS(TableMCI[[#This Row],[PP]]-TableMCI[[#This Row],[AP]])</f>
        <v>4.2369136077468355</v>
      </c>
    </row>
    <row r="10" spans="1:9" x14ac:dyDescent="0.2">
      <c r="A10" t="s">
        <v>124</v>
      </c>
      <c r="B10">
        <v>29.473684210526329</v>
      </c>
      <c r="C10">
        <v>9.9207703574881734</v>
      </c>
      <c r="D10">
        <f>TableMCI[[#This Row],[ARIMAPP]]*$I$2+TableMCI[[#This Row],[LSTMPP]]*$I$3</f>
        <v>28.636581498147383</v>
      </c>
      <c r="E10">
        <v>33</v>
      </c>
      <c r="F10">
        <f>ABS(TableMCI[[#This Row],[PP]]-TableMCI[[#This Row],[AP]])</f>
        <v>4.3634185018526175</v>
      </c>
    </row>
    <row r="11" spans="1:9" x14ac:dyDescent="0.2">
      <c r="A11" t="s">
        <v>125</v>
      </c>
      <c r="B11">
        <v>32.625900318695379</v>
      </c>
      <c r="C11">
        <v>30.55074521269594</v>
      </c>
      <c r="D11">
        <f>TableMCI[[#This Row],[ARIMAPP]]*$I$2+TableMCI[[#This Row],[LSTMPP]]*$I$3</f>
        <v>31.699269312693385</v>
      </c>
      <c r="E11">
        <v>38</v>
      </c>
      <c r="F11">
        <f>ABS(TableMCI[[#This Row],[PP]]-TableMCI[[#This Row],[AP]])</f>
        <v>6.3007306873066149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9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126</v>
      </c>
      <c r="B2">
        <v>45.41583805658361</v>
      </c>
      <c r="C2">
        <v>43.829373267190498</v>
      </c>
      <c r="D2">
        <f>TableMUN[[#This Row],[ARIMAPP]]*$I$2+TableMUN[[#This Row],[LSTMPP]]*$I$3</f>
        <v>54.197743531370669</v>
      </c>
      <c r="E2">
        <v>42</v>
      </c>
      <c r="F2">
        <f>ABS(TableMUN[[#This Row],[PP]]-TableMUN[[#This Row],[AP]])</f>
        <v>12.197743531370669</v>
      </c>
      <c r="H2" t="s">
        <v>0</v>
      </c>
      <c r="I2">
        <v>0.90480787213000002</v>
      </c>
    </row>
    <row r="3" spans="1:9" x14ac:dyDescent="0.2">
      <c r="A3" t="s">
        <v>127</v>
      </c>
      <c r="B3">
        <v>25.79710144927537</v>
      </c>
      <c r="C3">
        <v>23.552124703081979</v>
      </c>
      <c r="D3">
        <f>TableMUN[[#This Row],[ARIMAPP]]*$I$2+TableMUN[[#This Row],[LSTMPP]]*$I$3</f>
        <v>30.383588042310912</v>
      </c>
      <c r="E3">
        <v>25</v>
      </c>
      <c r="F3">
        <f>ABS(TableMUN[[#This Row],[PP]]-TableMUN[[#This Row],[AP]])</f>
        <v>5.3835880423109117</v>
      </c>
      <c r="H3" t="s">
        <v>1</v>
      </c>
      <c r="I3">
        <v>0.29900349381000002</v>
      </c>
    </row>
    <row r="4" spans="1:9" x14ac:dyDescent="0.2">
      <c r="A4" t="s">
        <v>128</v>
      </c>
      <c r="B4">
        <v>30.270056540728749</v>
      </c>
      <c r="C4">
        <v>33.361478727373921</v>
      </c>
      <c r="D4">
        <f>TableMUN[[#This Row],[ARIMAPP]]*$I$2+TableMUN[[#This Row],[LSTMPP]]*$I$3</f>
        <v>37.363784146024365</v>
      </c>
      <c r="E4">
        <v>42</v>
      </c>
      <c r="F4">
        <f>ABS(TableMUN[[#This Row],[PP]]-TableMUN[[#This Row],[AP]])</f>
        <v>4.6362158539756351</v>
      </c>
    </row>
    <row r="5" spans="1:9" x14ac:dyDescent="0.2">
      <c r="A5" t="s">
        <v>129</v>
      </c>
      <c r="B5">
        <v>40.980392156862727</v>
      </c>
      <c r="C5">
        <v>55.905224037090157</v>
      </c>
      <c r="D5">
        <f>TableMUN[[#This Row],[ARIMAPP]]*$I$2+TableMUN[[#This Row],[LSTMPP]]*$I$3</f>
        <v>53.795238735824654</v>
      </c>
      <c r="E5">
        <v>47</v>
      </c>
      <c r="F5">
        <f>ABS(TableMUN[[#This Row],[PP]]-TableMUN[[#This Row],[AP]])</f>
        <v>6.795238735824654</v>
      </c>
      <c r="H5" t="s">
        <v>2</v>
      </c>
      <c r="I5">
        <f>SUM(ABS(TableMUN[[#This Row],[PP]]-TableMUN[[#This Row],[AP]]))</f>
        <v>6.795238735824654</v>
      </c>
    </row>
    <row r="6" spans="1:9" x14ac:dyDescent="0.2">
      <c r="A6" t="s">
        <v>130</v>
      </c>
      <c r="B6">
        <v>35.714285714285687</v>
      </c>
      <c r="C6">
        <v>35.980418269109229</v>
      </c>
      <c r="D6">
        <f>TableMUN[[#This Row],[ARIMAPP]]*$I$2+TableMUN[[#This Row],[LSTMPP]]*$I$3</f>
        <v>43.072837632994506</v>
      </c>
      <c r="E6">
        <v>30</v>
      </c>
      <c r="F6">
        <f>ABS(TableMUN[[#This Row],[PP]]-TableMUN[[#This Row],[AP]])</f>
        <v>13.072837632994506</v>
      </c>
    </row>
    <row r="7" spans="1:9" x14ac:dyDescent="0.2">
      <c r="A7" t="s">
        <v>131</v>
      </c>
      <c r="B7">
        <v>25.882352941176471</v>
      </c>
      <c r="C7">
        <v>22.886647291459461</v>
      </c>
      <c r="D7">
        <f>TableMUN[[#This Row],[ARIMAPP]]*$I$2+TableMUN[[#This Row],[LSTMPP]]*$I$3</f>
        <v>30.261744192167082</v>
      </c>
      <c r="E7">
        <v>54</v>
      </c>
      <c r="F7">
        <f>ABS(TableMUN[[#This Row],[PP]]-TableMUN[[#This Row],[AP]])</f>
        <v>23.738255807832918</v>
      </c>
      <c r="H7" t="s">
        <v>3</v>
      </c>
      <c r="I7">
        <f>AVERAGE(TableMUN[DIFF])/10</f>
        <v>1.3825004275292812</v>
      </c>
    </row>
    <row r="8" spans="1:9" x14ac:dyDescent="0.2">
      <c r="A8" t="s">
        <v>85</v>
      </c>
      <c r="B8">
        <v>35.999999999999993</v>
      </c>
      <c r="C8">
        <v>13.320289930061911</v>
      </c>
      <c r="D8">
        <f>TableMUN[[#This Row],[ARIMAPP]]*$I$2+TableMUN[[#This Row],[LSTMPP]]*$I$3</f>
        <v>36.555896624330671</v>
      </c>
      <c r="E8">
        <v>38</v>
      </c>
      <c r="F8">
        <f>ABS(TableMUN[[#This Row],[PP]]-TableMUN[[#This Row],[AP]])</f>
        <v>1.4441033756693287</v>
      </c>
    </row>
    <row r="9" spans="1:9" x14ac:dyDescent="0.2">
      <c r="A9" t="s">
        <v>132</v>
      </c>
      <c r="B9">
        <v>14.573096539391621</v>
      </c>
      <c r="C9">
        <v>18.334556020163721</v>
      </c>
      <c r="D9">
        <f>TableMUN[[#This Row],[ARIMAPP]]*$I$2+TableMUN[[#This Row],[LSTMPP]]*$I$3</f>
        <v>18.66794877763612</v>
      </c>
      <c r="E9">
        <v>62</v>
      </c>
      <c r="F9">
        <f>ABS(TableMUN[[#This Row],[PP]]-TableMUN[[#This Row],[AP]])</f>
        <v>43.33205122236388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8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133</v>
      </c>
      <c r="B2">
        <v>47.763086683688101</v>
      </c>
      <c r="C2">
        <v>44.483935385540043</v>
      </c>
      <c r="D2">
        <f>TableNEW[[#This Row],[ARIMAPP]]*$I$2+TableNEW[[#This Row],[LSTMPP]]*$I$3</f>
        <v>50.82419665300813</v>
      </c>
      <c r="E2">
        <v>25</v>
      </c>
      <c r="F2">
        <f>ABS(TableNEW[[#This Row],[PP]]-TableNEW[[#This Row],[AP]])</f>
        <v>25.82419665300813</v>
      </c>
      <c r="H2" t="s">
        <v>0</v>
      </c>
      <c r="I2">
        <v>0.47167501851999999</v>
      </c>
    </row>
    <row r="3" spans="1:9" x14ac:dyDescent="0.2">
      <c r="A3" t="s">
        <v>134</v>
      </c>
      <c r="B3">
        <v>24.808565799245361</v>
      </c>
      <c r="C3">
        <v>35.076003236380693</v>
      </c>
      <c r="D3">
        <f>TableNEW[[#This Row],[ARIMAPP]]*$I$2+TableNEW[[#This Row],[LSTMPP]]*$I$3</f>
        <v>34.012882760076373</v>
      </c>
      <c r="E3">
        <v>44</v>
      </c>
      <c r="F3">
        <f>ABS(TableNEW[[#This Row],[PP]]-TableNEW[[#This Row],[AP]])</f>
        <v>9.9871172399236272</v>
      </c>
      <c r="H3" t="s">
        <v>1</v>
      </c>
      <c r="I3">
        <v>0.63608450133000005</v>
      </c>
    </row>
    <row r="4" spans="1:9" x14ac:dyDescent="0.2">
      <c r="A4" t="s">
        <v>135</v>
      </c>
      <c r="B4">
        <v>27.36499875552855</v>
      </c>
      <c r="C4">
        <v>20.466888439531679</v>
      </c>
      <c r="D4">
        <f>TableNEW[[#This Row],[ARIMAPP]]*$I$2+TableNEW[[#This Row],[LSTMPP]]*$I$3</f>
        <v>25.926056821649958</v>
      </c>
      <c r="E4">
        <v>32</v>
      </c>
      <c r="F4">
        <f>ABS(TableNEW[[#This Row],[PP]]-TableNEW[[#This Row],[AP]])</f>
        <v>6.0739431783500422</v>
      </c>
    </row>
    <row r="5" spans="1:9" x14ac:dyDescent="0.2">
      <c r="A5" t="s">
        <v>136</v>
      </c>
      <c r="B5">
        <v>32.620228975378438</v>
      </c>
      <c r="C5">
        <v>28.095618036808659</v>
      </c>
      <c r="D5">
        <f>TableNEW[[#This Row],[ARIMAPP]]*$I$2+TableNEW[[#This Row],[LSTMPP]]*$I$3</f>
        <v>33.257334294589853</v>
      </c>
      <c r="E5">
        <v>23</v>
      </c>
      <c r="F5">
        <f>ABS(TableNEW[[#This Row],[PP]]-TableNEW[[#This Row],[AP]])</f>
        <v>10.257334294589853</v>
      </c>
      <c r="H5" t="s">
        <v>2</v>
      </c>
      <c r="I5">
        <f>SUM(ABS(TableNEW[[#This Row],[PP]]-TableNEW[[#This Row],[AP]]))</f>
        <v>10.257334294589853</v>
      </c>
    </row>
    <row r="6" spans="1:9" x14ac:dyDescent="0.2">
      <c r="A6" t="s">
        <v>137</v>
      </c>
      <c r="B6">
        <v>31.523221024643469</v>
      </c>
      <c r="C6">
        <v>22.268311698577659</v>
      </c>
      <c r="D6">
        <f>TableNEW[[#This Row],[ARIMAPP]]*$I$2+TableNEW[[#This Row],[LSTMPP]]*$I$3</f>
        <v>29.033243802859538</v>
      </c>
      <c r="E6">
        <v>46</v>
      </c>
      <c r="F6">
        <f>ABS(TableNEW[[#This Row],[PP]]-TableNEW[[#This Row],[AP]])</f>
        <v>16.966756197140462</v>
      </c>
    </row>
    <row r="7" spans="1:9" x14ac:dyDescent="0.2">
      <c r="A7" t="s">
        <v>138</v>
      </c>
      <c r="B7">
        <v>32.698412698412689</v>
      </c>
      <c r="C7">
        <v>42.11862736449617</v>
      </c>
      <c r="D7">
        <f>TableNEW[[#This Row],[ARIMAPP]]*$I$2+TableNEW[[#This Row],[LSTMPP]]*$I$3</f>
        <v>42.214030498948048</v>
      </c>
      <c r="E7">
        <v>45</v>
      </c>
      <c r="F7">
        <f>ABS(TableNEW[[#This Row],[PP]]-TableNEW[[#This Row],[AP]])</f>
        <v>2.7859695010519516</v>
      </c>
      <c r="H7" t="s">
        <v>3</v>
      </c>
      <c r="I7">
        <f>AVERAGE(TableNEW[DIFF])/10</f>
        <v>1.1869599611591706</v>
      </c>
    </row>
    <row r="8" spans="1:9" x14ac:dyDescent="0.2">
      <c r="A8" t="s">
        <v>139</v>
      </c>
      <c r="B8">
        <v>47.187500000000007</v>
      </c>
      <c r="C8">
        <v>41.741238453371778</v>
      </c>
      <c r="D8">
        <f>TableNEW[[#This Row],[ARIMAPP]]*$I$2+TableNEW[[#This Row],[LSTMPP]]*$I$3</f>
        <v>48.80811978292212</v>
      </c>
      <c r="E8">
        <v>60</v>
      </c>
      <c r="F8">
        <f>ABS(TableNEW[[#This Row],[PP]]-TableNEW[[#This Row],[AP]])</f>
        <v>11.19188021707788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7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140</v>
      </c>
      <c r="B2">
        <v>33.052041900848103</v>
      </c>
      <c r="C2">
        <v>39.288677949221047</v>
      </c>
      <c r="D2">
        <f>TableNFO[[#This Row],[ARIMAPP]]*$I$2+TableNFO[[#This Row],[LSTMPP]]*$I$3</f>
        <v>66.197299339498187</v>
      </c>
      <c r="E2">
        <v>67</v>
      </c>
      <c r="F2">
        <f>ABS(TableNFO[[#This Row],[PP]]-TableNFO[[#This Row],[AP]])</f>
        <v>0.80270066050181299</v>
      </c>
      <c r="H2" t="s">
        <v>0</v>
      </c>
      <c r="I2">
        <v>0</v>
      </c>
    </row>
    <row r="3" spans="1:9" x14ac:dyDescent="0.2">
      <c r="A3" t="s">
        <v>141</v>
      </c>
      <c r="B3">
        <v>37.078302652980277</v>
      </c>
      <c r="C3">
        <v>24.61647348904496</v>
      </c>
      <c r="D3">
        <f>TableNFO[[#This Row],[ARIMAPP]]*$I$2+TableNFO[[#This Row],[LSTMPP]]*$I$3</f>
        <v>41.476174544311405</v>
      </c>
      <c r="E3">
        <v>47</v>
      </c>
      <c r="F3">
        <f>ABS(TableNFO[[#This Row],[PP]]-TableNFO[[#This Row],[AP]])</f>
        <v>5.5238254556885948</v>
      </c>
      <c r="H3" t="s">
        <v>1</v>
      </c>
      <c r="I3">
        <v>1.6848950587</v>
      </c>
    </row>
    <row r="4" spans="1:9" x14ac:dyDescent="0.2">
      <c r="A4" t="s">
        <v>142</v>
      </c>
      <c r="B4">
        <v>26.202531645569621</v>
      </c>
      <c r="C4">
        <v>25.07172936152433</v>
      </c>
      <c r="D4">
        <f>TableNFO[[#This Row],[ARIMAPP]]*$I$2+TableNFO[[#This Row],[LSTMPP]]*$I$3</f>
        <v>42.243232914296051</v>
      </c>
      <c r="E4">
        <v>46</v>
      </c>
      <c r="F4">
        <f>ABS(TableNFO[[#This Row],[PP]]-TableNFO[[#This Row],[AP]])</f>
        <v>3.7567670857039488</v>
      </c>
    </row>
    <row r="5" spans="1:9" x14ac:dyDescent="0.2">
      <c r="A5" t="s">
        <v>143</v>
      </c>
      <c r="B5">
        <v>40.747798099966083</v>
      </c>
      <c r="C5">
        <v>22.708207181843569</v>
      </c>
      <c r="D5">
        <f>TableNFO[[#This Row],[ARIMAPP]]*$I$2+TableNFO[[#This Row],[LSTMPP]]*$I$3</f>
        <v>38.26094607262408</v>
      </c>
      <c r="E5">
        <v>26</v>
      </c>
      <c r="F5">
        <f>ABS(TableNFO[[#This Row],[PP]]-TableNFO[[#This Row],[AP]])</f>
        <v>12.26094607262408</v>
      </c>
      <c r="H5" t="s">
        <v>2</v>
      </c>
      <c r="I5">
        <f>SUM(ABS(TableNFO[[#This Row],[PP]]-TableNFO[[#This Row],[AP]]))</f>
        <v>12.26094607262408</v>
      </c>
    </row>
    <row r="6" spans="1:9" x14ac:dyDescent="0.2">
      <c r="A6" t="s">
        <v>144</v>
      </c>
      <c r="B6">
        <v>20.666666666666661</v>
      </c>
      <c r="C6">
        <v>12.246843754402921</v>
      </c>
      <c r="D6">
        <f>TableNFO[[#This Row],[ARIMAPP]]*$I$2+TableNFO[[#This Row],[LSTMPP]]*$I$3</f>
        <v>20.634646526464437</v>
      </c>
      <c r="E6">
        <v>22</v>
      </c>
      <c r="F6">
        <f>ABS(TableNFO[[#This Row],[PP]]-TableNFO[[#This Row],[AP]])</f>
        <v>1.3653534735355635</v>
      </c>
    </row>
    <row r="7" spans="1:9" x14ac:dyDescent="0.2">
      <c r="H7" t="s">
        <v>3</v>
      </c>
      <c r="I7">
        <f>AVERAGE(TableNFO[DIFF])/10</f>
        <v>0.47419185496107996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7"/>
  <sheetViews>
    <sheetView workbookViewId="0">
      <selection activeCell="I2" sqref="I2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145</v>
      </c>
      <c r="B2">
        <v>21.42857142857142</v>
      </c>
      <c r="C2">
        <v>20.00204430943052</v>
      </c>
      <c r="D2">
        <f>TableSHU[[#This Row],[ARIMAPP]]*$I$2+TableSHU[[#This Row],[LSTMPP]]*$I$3</f>
        <v>26.131657238571417</v>
      </c>
      <c r="E2">
        <v>30</v>
      </c>
      <c r="F2">
        <f>ABS(TableSHU[[#This Row],[PP]]-TableSHU[[#This Row],[AP]])</f>
        <v>3.8683427614285826</v>
      </c>
      <c r="H2" t="s">
        <v>0</v>
      </c>
      <c r="I2">
        <v>1.2194773377999999</v>
      </c>
    </row>
    <row r="3" spans="1:9" x14ac:dyDescent="0.2">
      <c r="A3" t="s">
        <v>146</v>
      </c>
      <c r="B3">
        <v>24.5337626755217</v>
      </c>
      <c r="C3">
        <v>22.329264886486449</v>
      </c>
      <c r="D3">
        <f>TableSHU[[#This Row],[ARIMAPP]]*$I$2+TableSHU[[#This Row],[LSTMPP]]*$I$3</f>
        <v>29.918367593762206</v>
      </c>
      <c r="E3">
        <v>27</v>
      </c>
      <c r="F3">
        <f>ABS(TableSHU[[#This Row],[PP]]-TableSHU[[#This Row],[AP]])</f>
        <v>2.9183675937622056</v>
      </c>
      <c r="H3" t="s">
        <v>1</v>
      </c>
      <c r="I3">
        <v>0</v>
      </c>
    </row>
    <row r="4" spans="1:9" x14ac:dyDescent="0.2">
      <c r="A4" t="s">
        <v>147</v>
      </c>
      <c r="B4">
        <v>17.89473683638106</v>
      </c>
      <c r="C4">
        <v>16.201030093436788</v>
      </c>
      <c r="D4">
        <f>TableSHU[[#This Row],[ARIMAPP]]*$I$2+TableSHU[[#This Row],[LSTMPP]]*$I$3</f>
        <v>21.822226037861569</v>
      </c>
      <c r="E4">
        <v>30</v>
      </c>
      <c r="F4">
        <f>ABS(TableSHU[[#This Row],[PP]]-TableSHU[[#This Row],[AP]])</f>
        <v>8.1777739621384313</v>
      </c>
    </row>
    <row r="5" spans="1:9" x14ac:dyDescent="0.2">
      <c r="A5" t="s">
        <v>148</v>
      </c>
      <c r="B5">
        <v>21.333333333333329</v>
      </c>
      <c r="C5">
        <v>20.655138891163741</v>
      </c>
      <c r="D5">
        <f>TableSHU[[#This Row],[ARIMAPP]]*$I$2+TableSHU[[#This Row],[LSTMPP]]*$I$3</f>
        <v>26.015516539733326</v>
      </c>
      <c r="E5">
        <v>26</v>
      </c>
      <c r="F5">
        <f>ABS(TableSHU[[#This Row],[PP]]-TableSHU[[#This Row],[AP]])</f>
        <v>1.551653973332634E-2</v>
      </c>
      <c r="H5" t="s">
        <v>2</v>
      </c>
      <c r="I5">
        <f>SUM(ABS(TableSHU[[#This Row],[PP]]-TableSHU[[#This Row],[AP]]))</f>
        <v>1.551653973332634E-2</v>
      </c>
    </row>
    <row r="6" spans="1:9" x14ac:dyDescent="0.2">
      <c r="A6" t="s">
        <v>149</v>
      </c>
      <c r="B6">
        <v>28.333333333333321</v>
      </c>
      <c r="C6">
        <v>30.994521259268971</v>
      </c>
      <c r="D6">
        <f>TableSHU[[#This Row],[ARIMAPP]]*$I$2+TableSHU[[#This Row],[LSTMPP]]*$I$3</f>
        <v>34.551857904333318</v>
      </c>
      <c r="E6">
        <v>29</v>
      </c>
      <c r="F6">
        <f>ABS(TableSHU[[#This Row],[PP]]-TableSHU[[#This Row],[AP]])</f>
        <v>5.5518579043333176</v>
      </c>
    </row>
    <row r="7" spans="1:9" x14ac:dyDescent="0.2">
      <c r="H7" t="s">
        <v>3</v>
      </c>
      <c r="I7">
        <f>AVERAGE(TableSHU[DIFF])/10</f>
        <v>0.41063717522791726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11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150</v>
      </c>
      <c r="B2">
        <v>44.364313691842582</v>
      </c>
      <c r="C2">
        <v>40.248948720907578</v>
      </c>
      <c r="D2">
        <f>TableTOT[[#This Row],[ARIMAPP]]*$I$2+TableTOT[[#This Row],[LSTMPP]]*$I$3</f>
        <v>45.13920170386988</v>
      </c>
      <c r="E2">
        <v>36</v>
      </c>
      <c r="F2">
        <f>ABS(TableTOT[[#This Row],[PP]]-TableTOT[[#This Row],[AP]])</f>
        <v>9.1392017038698796</v>
      </c>
      <c r="H2" t="s">
        <v>0</v>
      </c>
      <c r="I2">
        <v>1.0174664367999999</v>
      </c>
    </row>
    <row r="3" spans="1:9" x14ac:dyDescent="0.2">
      <c r="A3" t="s">
        <v>151</v>
      </c>
      <c r="B3">
        <v>31.86681593031344</v>
      </c>
      <c r="C3">
        <v>41.011347333832973</v>
      </c>
      <c r="D3">
        <f>TableTOT[[#This Row],[ARIMAPP]]*$I$2+TableTOT[[#This Row],[LSTMPP]]*$I$3</f>
        <v>32.423417216526495</v>
      </c>
      <c r="E3">
        <v>46</v>
      </c>
      <c r="F3">
        <f>ABS(TableTOT[[#This Row],[PP]]-TableTOT[[#This Row],[AP]])</f>
        <v>13.576582783473505</v>
      </c>
      <c r="H3" t="s">
        <v>1</v>
      </c>
      <c r="I3">
        <v>3.8032132675000002E-8</v>
      </c>
    </row>
    <row r="4" spans="1:9" x14ac:dyDescent="0.2">
      <c r="A4" t="s">
        <v>152</v>
      </c>
      <c r="B4">
        <v>31.147540983606561</v>
      </c>
      <c r="C4">
        <v>30.181162430118171</v>
      </c>
      <c r="D4">
        <f>TableTOT[[#This Row],[ARIMAPP]]*$I$2+TableTOT[[#This Row],[LSTMPP]]*$I$3</f>
        <v>31.691578687526107</v>
      </c>
      <c r="E4">
        <v>28</v>
      </c>
      <c r="F4">
        <f>ABS(TableTOT[[#This Row],[PP]]-TableTOT[[#This Row],[AP]])</f>
        <v>3.691578687526107</v>
      </c>
    </row>
    <row r="5" spans="1:9" x14ac:dyDescent="0.2">
      <c r="A5" t="s">
        <v>153</v>
      </c>
      <c r="B5">
        <v>40.579833997132141</v>
      </c>
      <c r="C5">
        <v>52.71044907842407</v>
      </c>
      <c r="D5">
        <f>TableTOT[[#This Row],[ARIMAPP]]*$I$2+TableTOT[[#This Row],[LSTMPP]]*$I$3</f>
        <v>41.288621107688328</v>
      </c>
      <c r="E5">
        <v>26</v>
      </c>
      <c r="F5">
        <f>ABS(TableTOT[[#This Row],[PP]]-TableTOT[[#This Row],[AP]])</f>
        <v>15.288621107688328</v>
      </c>
      <c r="H5" t="s">
        <v>2</v>
      </c>
      <c r="I5">
        <f>SUM(ABS(TableTOT[[#This Row],[PP]]-TableTOT[[#This Row],[AP]]))</f>
        <v>15.288621107688328</v>
      </c>
    </row>
    <row r="6" spans="1:9" x14ac:dyDescent="0.2">
      <c r="A6" t="s">
        <v>154</v>
      </c>
      <c r="B6">
        <v>31.111111111111111</v>
      </c>
      <c r="C6">
        <v>32.796151048242827</v>
      </c>
      <c r="D6">
        <f>TableTOT[[#This Row],[ARIMAPP]]*$I$2+TableTOT[[#This Row],[LSTMPP]]*$I$3</f>
        <v>31.654512614418678</v>
      </c>
      <c r="E6">
        <v>53</v>
      </c>
      <c r="F6">
        <f>ABS(TableTOT[[#This Row],[PP]]-TableTOT[[#This Row],[AP]])</f>
        <v>21.345487385581322</v>
      </c>
    </row>
    <row r="7" spans="1:9" x14ac:dyDescent="0.2">
      <c r="A7" t="s">
        <v>155</v>
      </c>
      <c r="B7">
        <v>50.96153846153846</v>
      </c>
      <c r="C7">
        <v>43.451320996267</v>
      </c>
      <c r="D7">
        <f>TableTOT[[#This Row],[ARIMAPP]]*$I$2+TableTOT[[#This Row],[LSTMPP]]*$I$3</f>
        <v>51.851656604854092</v>
      </c>
      <c r="E7">
        <v>65</v>
      </c>
      <c r="F7">
        <f>ABS(TableTOT[[#This Row],[PP]]-TableTOT[[#This Row],[AP]])</f>
        <v>13.148343395145908</v>
      </c>
      <c r="H7" t="s">
        <v>3</v>
      </c>
      <c r="I7">
        <f>AVERAGE(TableTOT[DIFF])/10</f>
        <v>1.1096798791138274</v>
      </c>
    </row>
    <row r="8" spans="1:9" x14ac:dyDescent="0.2">
      <c r="A8" t="s">
        <v>156</v>
      </c>
      <c r="B8">
        <v>21.851851851851858</v>
      </c>
      <c r="C8">
        <v>26.117519223650561</v>
      </c>
      <c r="D8">
        <f>TableTOT[[#This Row],[ARIMAPP]]*$I$2+TableTOT[[#This Row],[LSTMPP]]*$I$3</f>
        <v>22.233526834490146</v>
      </c>
      <c r="E8">
        <v>30</v>
      </c>
      <c r="F8">
        <f>ABS(TableTOT[[#This Row],[PP]]-TableTOT[[#This Row],[AP]])</f>
        <v>7.7664731655098542</v>
      </c>
    </row>
    <row r="9" spans="1:9" x14ac:dyDescent="0.2">
      <c r="A9" t="s">
        <v>157</v>
      </c>
      <c r="B9">
        <v>40.312500000000007</v>
      </c>
      <c r="C9">
        <v>43.861797068916673</v>
      </c>
      <c r="D9">
        <f>TableTOT[[#This Row],[ARIMAPP]]*$I$2+TableTOT[[#This Row],[LSTMPP]]*$I$3</f>
        <v>41.01661740165769</v>
      </c>
      <c r="E9">
        <v>29</v>
      </c>
      <c r="F9">
        <f>ABS(TableTOT[[#This Row],[PP]]-TableTOT[[#This Row],[AP]])</f>
        <v>12.01661740165769</v>
      </c>
    </row>
    <row r="10" spans="1:9" x14ac:dyDescent="0.2">
      <c r="A10" t="s">
        <v>158</v>
      </c>
      <c r="B10">
        <v>28.125</v>
      </c>
      <c r="C10">
        <v>26.795907007330879</v>
      </c>
      <c r="D10">
        <f>TableTOT[[#This Row],[ARIMAPP]]*$I$2+TableTOT[[#This Row],[LSTMPP]]*$I$3</f>
        <v>28.616244554105489</v>
      </c>
      <c r="E10">
        <v>32</v>
      </c>
      <c r="F10">
        <f>ABS(TableTOT[[#This Row],[PP]]-TableTOT[[#This Row],[AP]])</f>
        <v>3.3837554458945114</v>
      </c>
    </row>
    <row r="11" spans="1:9" x14ac:dyDescent="0.2">
      <c r="A11" t="s">
        <v>159</v>
      </c>
      <c r="B11">
        <v>34.999999999999993</v>
      </c>
      <c r="C11">
        <v>40.677069056833801</v>
      </c>
      <c r="D11">
        <f>TableTOT[[#This Row],[ARIMAPP]]*$I$2+TableTOT[[#This Row],[LSTMPP]]*$I$3</f>
        <v>35.611326835035676</v>
      </c>
      <c r="E11">
        <v>24</v>
      </c>
      <c r="F11">
        <f>ABS(TableTOT[[#This Row],[PP]]-TableTOT[[#This Row],[AP]])</f>
        <v>11.611326835035676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10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160</v>
      </c>
      <c r="B2">
        <v>39.599261674689217</v>
      </c>
      <c r="C2">
        <v>35.215588932935447</v>
      </c>
      <c r="D2">
        <f>TableWHU[[#This Row],[ARIMAPP]]*$I$2+TableWHU[[#This Row],[LSTMPP]]*$I$3</f>
        <v>31.78294251077627</v>
      </c>
      <c r="E2">
        <v>29</v>
      </c>
      <c r="F2">
        <f>ABS(TableWHU[[#This Row],[PP]]-TableWHU[[#This Row],[AP]])</f>
        <v>2.7829425107762695</v>
      </c>
      <c r="H2" t="s">
        <v>0</v>
      </c>
      <c r="I2">
        <v>0.20537239568999999</v>
      </c>
    </row>
    <row r="3" spans="1:9" x14ac:dyDescent="0.2">
      <c r="A3" t="s">
        <v>161</v>
      </c>
      <c r="B3">
        <v>32.572869721764107</v>
      </c>
      <c r="C3">
        <v>36.150751822952081</v>
      </c>
      <c r="D3">
        <f>TableWHU[[#This Row],[ARIMAPP]]*$I$2+TableWHU[[#This Row],[LSTMPP]]*$I$3</f>
        <v>30.967959215057824</v>
      </c>
      <c r="E3">
        <v>25</v>
      </c>
      <c r="F3">
        <f>ABS(TableWHU[[#This Row],[PP]]-TableWHU[[#This Row],[AP]])</f>
        <v>5.9679592150578245</v>
      </c>
      <c r="H3" t="s">
        <v>1</v>
      </c>
      <c r="I3">
        <v>0.67158744152000005</v>
      </c>
    </row>
    <row r="4" spans="1:9" x14ac:dyDescent="0.2">
      <c r="A4" t="s">
        <v>162</v>
      </c>
      <c r="B4">
        <v>22.01306303137676</v>
      </c>
      <c r="C4">
        <v>16.573508996083469</v>
      </c>
      <c r="D4">
        <f>TableWHU[[#This Row],[ARIMAPP]]*$I$2+TableWHU[[#This Row],[LSTMPP]]*$I$3</f>
        <v>15.651435994917218</v>
      </c>
      <c r="E4">
        <v>23</v>
      </c>
      <c r="F4">
        <f>ABS(TableWHU[[#This Row],[PP]]-TableWHU[[#This Row],[AP]])</f>
        <v>7.3485640050827818</v>
      </c>
    </row>
    <row r="5" spans="1:9" x14ac:dyDescent="0.2">
      <c r="A5" t="s">
        <v>163</v>
      </c>
      <c r="B5">
        <v>45.106382978723403</v>
      </c>
      <c r="C5">
        <v>42.497815505553078</v>
      </c>
      <c r="D5">
        <f>TableWHU[[#This Row],[ARIMAPP]]*$I$2+TableWHU[[#This Row],[LSTMPP]]*$I$3</f>
        <v>37.804605118814443</v>
      </c>
      <c r="E5">
        <v>51</v>
      </c>
      <c r="F5">
        <f>ABS(TableWHU[[#This Row],[PP]]-TableWHU[[#This Row],[AP]])</f>
        <v>13.195394881185557</v>
      </c>
      <c r="H5" t="s">
        <v>2</v>
      </c>
      <c r="I5">
        <f>SUM(ABS(TableWHU[[#This Row],[PP]]-TableWHU[[#This Row],[AP]]))</f>
        <v>13.195394881185557</v>
      </c>
    </row>
    <row r="6" spans="1:9" x14ac:dyDescent="0.2">
      <c r="A6" t="s">
        <v>164</v>
      </c>
      <c r="B6">
        <v>35.371294618282711</v>
      </c>
      <c r="C6">
        <v>31.749331307024001</v>
      </c>
      <c r="D6">
        <f>TableWHU[[#This Row],[ARIMAPP]]*$I$2+TableWHU[[#This Row],[LSTMPP]]*$I$3</f>
        <v>28.586739696868612</v>
      </c>
      <c r="E6">
        <v>32</v>
      </c>
      <c r="F6">
        <f>ABS(TableWHU[[#This Row],[PP]]-TableWHU[[#This Row],[AP]])</f>
        <v>3.4132603031313877</v>
      </c>
    </row>
    <row r="7" spans="1:9" x14ac:dyDescent="0.2">
      <c r="A7" t="s">
        <v>165</v>
      </c>
      <c r="B7">
        <v>33.500000000000007</v>
      </c>
      <c r="C7">
        <v>40.826465877246143</v>
      </c>
      <c r="D7">
        <f>TableWHU[[#This Row],[ARIMAPP]]*$I$2+TableWHU[[#This Row],[LSTMPP]]*$I$3</f>
        <v>34.298517020418323</v>
      </c>
      <c r="E7">
        <v>41</v>
      </c>
      <c r="F7">
        <f>ABS(TableWHU[[#This Row],[PP]]-TableWHU[[#This Row],[AP]])</f>
        <v>6.7014829795816766</v>
      </c>
      <c r="H7" t="s">
        <v>3</v>
      </c>
      <c r="I7">
        <f>AVERAGE(TableWHU[DIFF])/10</f>
        <v>0.76687882927857876</v>
      </c>
    </row>
    <row r="8" spans="1:9" x14ac:dyDescent="0.2">
      <c r="A8" t="s">
        <v>166</v>
      </c>
      <c r="B8">
        <v>36.999999999999993</v>
      </c>
      <c r="C8">
        <v>40.238480328308</v>
      </c>
      <c r="D8">
        <f>TableWHU[[#This Row],[ARIMAPP]]*$I$2+TableWHU[[#This Row],[LSTMPP]]*$I$3</f>
        <v>34.622436694871219</v>
      </c>
      <c r="E8">
        <v>21</v>
      </c>
      <c r="F8">
        <f>ABS(TableWHU[[#This Row],[PP]]-TableWHU[[#This Row],[AP]])</f>
        <v>13.622436694871219</v>
      </c>
    </row>
    <row r="9" spans="1:9" x14ac:dyDescent="0.2">
      <c r="A9" t="s">
        <v>167</v>
      </c>
      <c r="B9">
        <v>18.666666666666671</v>
      </c>
      <c r="C9">
        <v>19.137350025202391</v>
      </c>
      <c r="D9">
        <f>TableWHU[[#This Row],[ARIMAPP]]*$I$2+TableWHU[[#This Row],[LSTMPP]]*$I$3</f>
        <v>16.686021993778382</v>
      </c>
      <c r="E9">
        <v>25</v>
      </c>
      <c r="F9">
        <f>ABS(TableWHU[[#This Row],[PP]]-TableWHU[[#This Row],[AP]])</f>
        <v>8.3139780062216175</v>
      </c>
    </row>
    <row r="10" spans="1:9" x14ac:dyDescent="0.2">
      <c r="A10" t="s">
        <v>168</v>
      </c>
      <c r="B10">
        <v>58.485036301243341</v>
      </c>
      <c r="C10">
        <v>47.144812521063059</v>
      </c>
      <c r="D10">
        <f>TableWHU[[#This Row],[ARIMAPP]]*$I$2+TableWHU[[#This Row],[LSTMPP]]*$I$3</f>
        <v>43.67307603916376</v>
      </c>
      <c r="E10">
        <v>36</v>
      </c>
      <c r="F10">
        <f>ABS(TableWHU[[#This Row],[PP]]-TableWHU[[#This Row],[AP]])</f>
        <v>7.6730760391637602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22</v>
      </c>
      <c r="B2">
        <v>22.157648211127949</v>
      </c>
      <c r="C2">
        <v>34.080833638553869</v>
      </c>
      <c r="D2">
        <f>TableAVL[[#This Row],[ARIMAPP]]*$I$2+TableAVL[[#This Row],[LSTMPP]]*$I$3</f>
        <v>23.435666604149343</v>
      </c>
      <c r="E2">
        <v>25</v>
      </c>
      <c r="F2">
        <f>ABS(TableAVL[[#This Row],[PP]]-TableAVL[[#This Row],[AP]])</f>
        <v>1.5643333958506567</v>
      </c>
      <c r="H2" t="s">
        <v>0</v>
      </c>
      <c r="I2">
        <v>1.0216186829</v>
      </c>
    </row>
    <row r="3" spans="1:9" x14ac:dyDescent="0.2">
      <c r="A3" t="s">
        <v>23</v>
      </c>
      <c r="B3">
        <v>48.411892373143019</v>
      </c>
      <c r="C3">
        <v>23.883024031771239</v>
      </c>
      <c r="D3">
        <f>TableAVL[[#This Row],[ARIMAPP]]*$I$2+TableAVL[[#This Row],[LSTMPP]]*$I$3</f>
        <v>50.018413055776541</v>
      </c>
      <c r="E3">
        <v>44</v>
      </c>
      <c r="F3">
        <f>ABS(TableAVL[[#This Row],[PP]]-TableAVL[[#This Row],[AP]])</f>
        <v>6.0184130557765414</v>
      </c>
      <c r="H3" t="s">
        <v>1</v>
      </c>
      <c r="I3">
        <v>2.3444239392999999E-2</v>
      </c>
    </row>
    <row r="4" spans="1:9" x14ac:dyDescent="0.2">
      <c r="A4" t="s">
        <v>24</v>
      </c>
      <c r="B4">
        <v>30.48275862068969</v>
      </c>
      <c r="C4">
        <v>28.456152326834879</v>
      </c>
      <c r="D4">
        <f>TableAVL[[#This Row],[ARIMAPP]]*$I$2+TableAVL[[#This Row],[LSTMPP]]*$I$3</f>
        <v>31.808888560581615</v>
      </c>
      <c r="E4">
        <v>30</v>
      </c>
      <c r="F4">
        <f>ABS(TableAVL[[#This Row],[PP]]-TableAVL[[#This Row],[AP]])</f>
        <v>1.8088885605816145</v>
      </c>
    </row>
    <row r="5" spans="1:9" x14ac:dyDescent="0.2">
      <c r="A5" t="s">
        <v>25</v>
      </c>
      <c r="B5">
        <v>28.571428571428559</v>
      </c>
      <c r="C5">
        <v>27.634198029948969</v>
      </c>
      <c r="D5">
        <f>TableAVL[[#This Row],[ARIMAPP]]*$I$2+TableAVL[[#This Row],[LSTMPP]]*$I$3</f>
        <v>29.836967979761965</v>
      </c>
      <c r="E5">
        <v>27</v>
      </c>
      <c r="F5">
        <f>ABS(TableAVL[[#This Row],[PP]]-TableAVL[[#This Row],[AP]])</f>
        <v>2.8369679797619654</v>
      </c>
      <c r="H5" t="s">
        <v>2</v>
      </c>
      <c r="I5">
        <f>SUM(ABS(TableAVL[[#This Row],[PP]]-TableAVL[[#This Row],[AP]]))</f>
        <v>2.8369679797619654</v>
      </c>
    </row>
    <row r="6" spans="1:9" x14ac:dyDescent="0.2">
      <c r="A6" t="s">
        <v>26</v>
      </c>
      <c r="B6">
        <v>45.609756097561011</v>
      </c>
      <c r="C6">
        <v>41.020755332960263</v>
      </c>
      <c r="D6">
        <f>TableAVL[[#This Row],[ARIMAPP]]*$I$2+TableAVL[[#This Row],[LSTMPP]]*$I$3</f>
        <v>47.557479359888127</v>
      </c>
      <c r="E6">
        <v>68</v>
      </c>
      <c r="F6">
        <f>ABS(TableAVL[[#This Row],[PP]]-TableAVL[[#This Row],[AP]])</f>
        <v>20.442520640111873</v>
      </c>
    </row>
    <row r="7" spans="1:9" x14ac:dyDescent="0.2">
      <c r="A7" t="s">
        <v>27</v>
      </c>
      <c r="B7">
        <v>30.869565217391312</v>
      </c>
      <c r="C7">
        <v>27.964374853062029</v>
      </c>
      <c r="D7">
        <f>TableAVL[[#This Row],[ARIMAPP]]*$I$2+TableAVL[[#This Row],[LSTMPP]]*$I$3</f>
        <v>32.192528057617743</v>
      </c>
      <c r="E7">
        <v>42</v>
      </c>
      <c r="F7">
        <f>ABS(TableAVL[[#This Row],[PP]]-TableAVL[[#This Row],[AP]])</f>
        <v>9.8074719423822572</v>
      </c>
      <c r="H7" t="s">
        <v>3</v>
      </c>
      <c r="I7">
        <f>AVERAGE(TableAVL[DIFF])/10</f>
        <v>0.79381244211069613</v>
      </c>
    </row>
    <row r="8" spans="1:9" x14ac:dyDescent="0.2">
      <c r="A8" t="s">
        <v>28</v>
      </c>
      <c r="B8">
        <v>34.259259259259267</v>
      </c>
      <c r="C8">
        <v>44.383669734613093</v>
      </c>
      <c r="D8">
        <f>TableAVL[[#This Row],[ARIMAPP]]*$I$2+TableAVL[[#This Row],[LSTMPP]]*$I$3</f>
        <v>36.040440699972201</v>
      </c>
      <c r="E8">
        <v>40</v>
      </c>
      <c r="F8">
        <f>ABS(TableAVL[[#This Row],[PP]]-TableAVL[[#This Row],[AP]])</f>
        <v>3.9595593000277987</v>
      </c>
    </row>
    <row r="9" spans="1:9" x14ac:dyDescent="0.2">
      <c r="A9" t="s">
        <v>29</v>
      </c>
      <c r="B9">
        <v>41.995496028875522</v>
      </c>
      <c r="C9">
        <v>50.272539173307088</v>
      </c>
      <c r="D9">
        <f>TableAVL[[#This Row],[ARIMAPP]]*$I$2+TableAVL[[#This Row],[LSTMPP]]*$I$3</f>
        <v>44.081984784024975</v>
      </c>
      <c r="E9">
        <v>30</v>
      </c>
      <c r="F9">
        <f>ABS(TableAVL[[#This Row],[PP]]-TableAVL[[#This Row],[AP]])</f>
        <v>14.081984784024975</v>
      </c>
    </row>
    <row r="10" spans="1:9" x14ac:dyDescent="0.2">
      <c r="A10" t="s">
        <v>30</v>
      </c>
      <c r="B10">
        <v>35.384615384615387</v>
      </c>
      <c r="C10">
        <v>32.988742109587761</v>
      </c>
      <c r="D10">
        <f>TableAVL[[#This Row],[ARIMAPP]]*$I$2+TableAVL[[#This Row],[LSTMPP]]*$I$3</f>
        <v>36.922980131444966</v>
      </c>
      <c r="E10">
        <v>26</v>
      </c>
      <c r="F10">
        <f>ABS(TableAVL[[#This Row],[PP]]-TableAVL[[#This Row],[AP]])</f>
        <v>10.922980131444966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11"/>
  <sheetViews>
    <sheetView tabSelected="1"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169</v>
      </c>
      <c r="B2">
        <v>22.439024390243912</v>
      </c>
      <c r="C2">
        <v>18.897644239677408</v>
      </c>
      <c r="D2">
        <f>TableWOL[[#This Row],[ARIMAPP]]*$I$2+TableWOL[[#This Row],[LSTMPP]]*$I$3</f>
        <v>23.757609166887278</v>
      </c>
      <c r="E2">
        <v>21</v>
      </c>
      <c r="F2">
        <f>ABS(TableWOL[[#This Row],[PP]]-TableWOL[[#This Row],[AP]])</f>
        <v>2.7576091668872778</v>
      </c>
      <c r="H2" t="s">
        <v>0</v>
      </c>
      <c r="I2">
        <v>0.74728881015000004</v>
      </c>
    </row>
    <row r="3" spans="1:9" x14ac:dyDescent="0.2">
      <c r="A3" t="s">
        <v>170</v>
      </c>
      <c r="B3">
        <v>30.186915887850461</v>
      </c>
      <c r="C3">
        <v>31.416592017810409</v>
      </c>
      <c r="D3">
        <f>TableWOL[[#This Row],[ARIMAPP]]*$I$2+TableWOL[[#This Row],[LSTMPP]]*$I$3</f>
        <v>34.177577515471015</v>
      </c>
      <c r="E3">
        <v>26</v>
      </c>
      <c r="F3">
        <f>ABS(TableWOL[[#This Row],[PP]]-TableWOL[[#This Row],[AP]])</f>
        <v>8.1775775154710146</v>
      </c>
      <c r="H3" t="s">
        <v>1</v>
      </c>
      <c r="I3">
        <v>0.36984384089</v>
      </c>
    </row>
    <row r="4" spans="1:9" x14ac:dyDescent="0.2">
      <c r="A4" t="s">
        <v>171</v>
      </c>
      <c r="B4">
        <v>26.598450343323549</v>
      </c>
      <c r="C4">
        <v>23.567271848819061</v>
      </c>
      <c r="D4">
        <f>TableWOL[[#This Row],[ARIMAPP]]*$I$2+TableWOL[[#This Row],[LSTMPP]]*$I$3</f>
        <v>28.592934648762128</v>
      </c>
      <c r="E4">
        <v>41</v>
      </c>
      <c r="F4">
        <f>ABS(TableWOL[[#This Row],[PP]]-TableWOL[[#This Row],[AP]])</f>
        <v>12.407065351237872</v>
      </c>
    </row>
    <row r="5" spans="1:9" x14ac:dyDescent="0.2">
      <c r="A5" t="s">
        <v>172</v>
      </c>
      <c r="B5">
        <v>37.961077967803668</v>
      </c>
      <c r="C5">
        <v>44.93026904443709</v>
      </c>
      <c r="D5">
        <f>TableWOL[[#This Row],[ARIMAPP]]*$I$2+TableWOL[[#This Row],[LSTMPP]]*$I$3</f>
        <v>44.985072062187072</v>
      </c>
      <c r="E5">
        <v>31</v>
      </c>
      <c r="F5">
        <f>ABS(TableWOL[[#This Row],[PP]]-TableWOL[[#This Row],[AP]])</f>
        <v>13.985072062187072</v>
      </c>
      <c r="H5" t="s">
        <v>2</v>
      </c>
      <c r="I5">
        <f>SUM(ABS(TableWOL[[#This Row],[PP]]-TableWOL[[#This Row],[AP]]))</f>
        <v>13.985072062187072</v>
      </c>
    </row>
    <row r="6" spans="1:9" x14ac:dyDescent="0.2">
      <c r="A6" t="s">
        <v>173</v>
      </c>
      <c r="B6">
        <v>24.21052631578948</v>
      </c>
      <c r="C6">
        <v>20.620124225174141</v>
      </c>
      <c r="D6">
        <f>TableWOL[[#This Row],[ARIMAPP]]*$I$2+TableWOL[[#This Row],[LSTMPP]]*$I$3</f>
        <v>25.718481346698923</v>
      </c>
      <c r="E6">
        <v>21</v>
      </c>
      <c r="F6">
        <f>ABS(TableWOL[[#This Row],[PP]]-TableWOL[[#This Row],[AP]])</f>
        <v>4.7184813466989226</v>
      </c>
    </row>
    <row r="7" spans="1:9" x14ac:dyDescent="0.2">
      <c r="A7" t="s">
        <v>174</v>
      </c>
      <c r="B7">
        <v>46.641307192213262</v>
      </c>
      <c r="C7">
        <v>25.169461270991651</v>
      </c>
      <c r="D7">
        <f>TableWOL[[#This Row],[ARIMAPP]]*$I$2+TableWOL[[#This Row],[LSTMPP]]*$I$3</f>
        <v>44.163297185105343</v>
      </c>
      <c r="E7">
        <v>49</v>
      </c>
      <c r="F7">
        <f>ABS(TableWOL[[#This Row],[PP]]-TableWOL[[#This Row],[AP]])</f>
        <v>4.8367028148946574</v>
      </c>
      <c r="H7" t="s">
        <v>3</v>
      </c>
      <c r="I7">
        <f>AVERAGE(TableWOL[DIFF])/10</f>
        <v>1.109778218768789</v>
      </c>
    </row>
    <row r="8" spans="1:9" x14ac:dyDescent="0.2">
      <c r="A8" t="s">
        <v>175</v>
      </c>
      <c r="B8">
        <v>17.297297297297309</v>
      </c>
      <c r="C8">
        <v>17.139904923176111</v>
      </c>
      <c r="D8">
        <f>TableWOL[[#This Row],[ARIMAPP]]*$I$2+TableWOL[[#This Row],[LSTMPP]]*$I$3</f>
        <v>19.265164985384992</v>
      </c>
      <c r="E8">
        <v>44</v>
      </c>
      <c r="F8">
        <f>ABS(TableWOL[[#This Row],[PP]]-TableWOL[[#This Row],[AP]])</f>
        <v>24.734835014615008</v>
      </c>
    </row>
    <row r="9" spans="1:9" x14ac:dyDescent="0.2">
      <c r="A9" t="s">
        <v>176</v>
      </c>
      <c r="B9">
        <v>43.106405017334247</v>
      </c>
      <c r="C9">
        <v>26.878325591586702</v>
      </c>
      <c r="D9">
        <f>TableWOL[[#This Row],[ARIMAPP]]*$I$2+TableWOL[[#This Row],[LSTMPP]]*$I$3</f>
        <v>42.153717288732103</v>
      </c>
      <c r="E9">
        <v>53</v>
      </c>
      <c r="F9">
        <f>ABS(TableWOL[[#This Row],[PP]]-TableWOL[[#This Row],[AP]])</f>
        <v>10.846282711267897</v>
      </c>
    </row>
    <row r="10" spans="1:9" x14ac:dyDescent="0.2">
      <c r="A10" t="s">
        <v>177</v>
      </c>
      <c r="B10">
        <v>57.584093497413932</v>
      </c>
      <c r="C10">
        <v>25.521438462285861</v>
      </c>
      <c r="D10">
        <f>TableWOL[[#This Row],[ARIMAPP]]*$I$2+TableWOL[[#This Row],[LSTMPP]]*$I$3</f>
        <v>52.470895539178386</v>
      </c>
      <c r="E10">
        <v>39</v>
      </c>
      <c r="F10">
        <f>ABS(TableWOL[[#This Row],[PP]]-TableWOL[[#This Row],[AP]])</f>
        <v>13.470895539178386</v>
      </c>
    </row>
    <row r="11" spans="1:9" x14ac:dyDescent="0.2">
      <c r="A11" t="s">
        <v>178</v>
      </c>
      <c r="B11">
        <v>18.51851851851853</v>
      </c>
      <c r="C11">
        <v>16.542165367394599</v>
      </c>
      <c r="D11">
        <f>TableWOL[[#This Row],[ARIMAPP]]*$I$2+TableWOL[[#This Row],[LSTMPP]]*$I$3</f>
        <v>19.956699645559208</v>
      </c>
      <c r="E11">
        <v>35</v>
      </c>
      <c r="F11">
        <f>ABS(TableWOL[[#This Row],[PP]]-TableWOL[[#This Row],[AP]])</f>
        <v>15.043300354440792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1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31</v>
      </c>
      <c r="B2">
        <v>23.473684210526319</v>
      </c>
      <c r="C2">
        <v>22.464276860384629</v>
      </c>
      <c r="D2">
        <f>TableBOU[[#This Row],[ARIMAPP]]*$I$2+TableBOU[[#This Row],[LSTMPP]]*$I$3</f>
        <v>30.307635625359531</v>
      </c>
      <c r="E2">
        <v>27</v>
      </c>
      <c r="F2">
        <f>ABS(TableBOU[[#This Row],[PP]]-TableBOU[[#This Row],[AP]])</f>
        <v>3.3076356253595307</v>
      </c>
      <c r="H2" t="s">
        <v>0</v>
      </c>
      <c r="I2">
        <v>0.40771482324000002</v>
      </c>
    </row>
    <row r="3" spans="1:9" x14ac:dyDescent="0.2">
      <c r="A3" t="s">
        <v>32</v>
      </c>
      <c r="B3">
        <v>17.483771219893988</v>
      </c>
      <c r="C3">
        <v>15.19107725752904</v>
      </c>
      <c r="D3">
        <f>TableBOU[[#This Row],[ARIMAPP]]*$I$2+TableBOU[[#This Row],[LSTMPP]]*$I$3</f>
        <v>21.151474006266294</v>
      </c>
      <c r="E3">
        <v>28</v>
      </c>
      <c r="F3">
        <f>ABS(TableBOU[[#This Row],[PP]]-TableBOU[[#This Row],[AP]])</f>
        <v>6.8485259937337055</v>
      </c>
      <c r="H3" t="s">
        <v>1</v>
      </c>
      <c r="I3">
        <v>0.92311302720999999</v>
      </c>
    </row>
    <row r="4" spans="1:9" x14ac:dyDescent="0.2">
      <c r="A4" t="s">
        <v>33</v>
      </c>
      <c r="B4">
        <v>59.579091786246018</v>
      </c>
      <c r="C4">
        <v>28.361449683600458</v>
      </c>
      <c r="D4">
        <f>TableBOU[[#This Row],[ARIMAPP]]*$I$2+TableBOU[[#This Row],[LSTMPP]]*$I$3</f>
        <v>50.472102549921544</v>
      </c>
      <c r="E4">
        <v>49</v>
      </c>
      <c r="F4">
        <f>ABS(TableBOU[[#This Row],[PP]]-TableBOU[[#This Row],[AP]])</f>
        <v>1.4721025499215443</v>
      </c>
    </row>
    <row r="5" spans="1:9" x14ac:dyDescent="0.2">
      <c r="A5" t="s">
        <v>34</v>
      </c>
      <c r="B5">
        <v>21.428571428571431</v>
      </c>
      <c r="C5">
        <v>19.961543513046571</v>
      </c>
      <c r="D5">
        <f>TableBOU[[#This Row],[ARIMAPP]]*$I$2+TableBOU[[#This Row],[LSTMPP]]*$I$3</f>
        <v>27.163507072398275</v>
      </c>
      <c r="E5">
        <v>20</v>
      </c>
      <c r="F5">
        <f>ABS(TableBOU[[#This Row],[PP]]-TableBOU[[#This Row],[AP]])</f>
        <v>7.163507072398275</v>
      </c>
      <c r="H5" t="s">
        <v>2</v>
      </c>
      <c r="I5">
        <f>SUM(ABS(TableBOU[[#This Row],[PP]]-TableBOU[[#This Row],[AP]]))</f>
        <v>7.163507072398275</v>
      </c>
    </row>
    <row r="6" spans="1:9" x14ac:dyDescent="0.2">
      <c r="A6" t="s">
        <v>35</v>
      </c>
      <c r="B6">
        <v>22.558139534883729</v>
      </c>
      <c r="C6">
        <v>17.820098968394031</v>
      </c>
      <c r="D6">
        <f>TableBOU[[#This Row],[ARIMAPP]]*$I$2+TableBOU[[#This Row],[LSTMPP]]*$I$3</f>
        <v>25.647253376984388</v>
      </c>
      <c r="E6">
        <v>39</v>
      </c>
      <c r="F6">
        <f>ABS(TableBOU[[#This Row],[PP]]-TableBOU[[#This Row],[AP]])</f>
        <v>13.352746623015612</v>
      </c>
    </row>
    <row r="7" spans="1:9" x14ac:dyDescent="0.2">
      <c r="A7" t="s">
        <v>36</v>
      </c>
      <c r="B7">
        <v>34.814514830809919</v>
      </c>
      <c r="C7">
        <v>31.51750690971199</v>
      </c>
      <c r="D7">
        <f>TableBOU[[#This Row],[ARIMAPP]]*$I$2+TableBOU[[#This Row],[LSTMPP]]*$I$3</f>
        <v>43.288614973966354</v>
      </c>
      <c r="E7">
        <v>31</v>
      </c>
      <c r="F7">
        <f>ABS(TableBOU[[#This Row],[PP]]-TableBOU[[#This Row],[AP]])</f>
        <v>12.288614973966354</v>
      </c>
      <c r="H7" t="s">
        <v>3</v>
      </c>
      <c r="I7">
        <f>AVERAGE(TableBOU[DIFF])/10</f>
        <v>0.70757554066306749</v>
      </c>
    </row>
    <row r="8" spans="1:9" x14ac:dyDescent="0.2">
      <c r="A8" t="s">
        <v>37</v>
      </c>
      <c r="B8">
        <v>25.2</v>
      </c>
      <c r="C8">
        <v>25.48234545369305</v>
      </c>
      <c r="D8">
        <f>TableBOU[[#This Row],[ARIMAPP]]*$I$2+TableBOU[[#This Row],[LSTMPP]]*$I$3</f>
        <v>33.797498597817572</v>
      </c>
      <c r="E8">
        <v>40</v>
      </c>
      <c r="F8">
        <f>ABS(TableBOU[[#This Row],[PP]]-TableBOU[[#This Row],[AP]])</f>
        <v>6.2025014021824276</v>
      </c>
    </row>
    <row r="9" spans="1:9" x14ac:dyDescent="0.2">
      <c r="A9" t="s">
        <v>38</v>
      </c>
      <c r="B9">
        <v>20.416666666666671</v>
      </c>
      <c r="C9">
        <v>17.08788223101671</v>
      </c>
      <c r="D9">
        <f>TableBOU[[#This Row],[ARIMAPP]]*$I$2+TableBOU[[#This Row],[LSTMPP]]*$I$3</f>
        <v>24.098224336031805</v>
      </c>
      <c r="E9">
        <v>29</v>
      </c>
      <c r="F9">
        <f>ABS(TableBOU[[#This Row],[PP]]-TableBOU[[#This Row],[AP]])</f>
        <v>4.9017756639681949</v>
      </c>
    </row>
    <row r="10" spans="1:9" x14ac:dyDescent="0.2">
      <c r="A10" t="s">
        <v>39</v>
      </c>
      <c r="B10">
        <v>27.142857142857149</v>
      </c>
      <c r="C10">
        <v>25.565591484406031</v>
      </c>
      <c r="D10">
        <f>TableBOU[[#This Row],[ARIMAPP]]*$I$2+TableBOU[[#This Row],[LSTMPP]]*$I$3</f>
        <v>34.666475749812825</v>
      </c>
      <c r="E10">
        <v>31</v>
      </c>
      <c r="F10">
        <f>ABS(TableBOU[[#This Row],[PP]]-TableBOU[[#This Row],[AP]])</f>
        <v>3.6664757498128253</v>
      </c>
    </row>
    <row r="11" spans="1:9" x14ac:dyDescent="0.2">
      <c r="A11" t="s">
        <v>40</v>
      </c>
      <c r="B11">
        <v>14.61538461538462</v>
      </c>
      <c r="C11">
        <v>13.527512086734729</v>
      </c>
      <c r="D11">
        <f>TableBOU[[#This Row],[ARIMAPP]]*$I$2+TableBOU[[#This Row],[LSTMPP]]*$I$3</f>
        <v>18.446331588051716</v>
      </c>
      <c r="E11">
        <v>30</v>
      </c>
      <c r="F11">
        <f>ABS(TableBOU[[#This Row],[PP]]-TableBOU[[#This Row],[AP]])</f>
        <v>11.553668411948284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"/>
  <sheetViews>
    <sheetView workbookViewId="0">
      <selection activeCell="I2" sqref="I2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41</v>
      </c>
      <c r="B2">
        <v>21.822225940954311</v>
      </c>
      <c r="C2">
        <v>29.68194279093742</v>
      </c>
      <c r="D2">
        <f>TableBRE[[#This Row],[ARIMAPP]]*$I$2+TableBRE[[#This Row],[LSTMPP]]*$I$3</f>
        <v>24.55649241361704</v>
      </c>
      <c r="E2">
        <v>30</v>
      </c>
      <c r="F2">
        <f>ABS(TableBRE[[#This Row],[PP]]-TableBRE[[#This Row],[AP]])</f>
        <v>5.4435075863829603</v>
      </c>
      <c r="H2" t="s">
        <v>0</v>
      </c>
      <c r="I2">
        <v>1.1252973221</v>
      </c>
    </row>
    <row r="3" spans="1:9" x14ac:dyDescent="0.2">
      <c r="A3" t="s">
        <v>42</v>
      </c>
      <c r="B3">
        <v>29.85294117647058</v>
      </c>
      <c r="C3">
        <v>31.113349984962081</v>
      </c>
      <c r="D3">
        <f>TableBRE[[#This Row],[ARIMAPP]]*$I$2+TableBRE[[#This Row],[LSTMPP]]*$I$3</f>
        <v>33.593434762691167</v>
      </c>
      <c r="E3">
        <v>23</v>
      </c>
      <c r="F3">
        <f>ABS(TableBRE[[#This Row],[PP]]-TableBRE[[#This Row],[AP]])</f>
        <v>10.593434762691167</v>
      </c>
      <c r="H3" t="s">
        <v>1</v>
      </c>
      <c r="I3">
        <v>0</v>
      </c>
    </row>
    <row r="4" spans="1:9" x14ac:dyDescent="0.2">
      <c r="A4" t="s">
        <v>43</v>
      </c>
      <c r="B4">
        <v>23.662918888641642</v>
      </c>
      <c r="C4">
        <v>32.533949430371337</v>
      </c>
      <c r="D4">
        <f>TableBRE[[#This Row],[ARIMAPP]]*$I$2+TableBRE[[#This Row],[LSTMPP]]*$I$3</f>
        <v>26.627819258457947</v>
      </c>
      <c r="E4">
        <v>20</v>
      </c>
      <c r="F4">
        <f>ABS(TableBRE[[#This Row],[PP]]-TableBRE[[#This Row],[AP]])</f>
        <v>6.6278192584579472</v>
      </c>
    </row>
    <row r="5" spans="1:9" x14ac:dyDescent="0.2">
      <c r="A5" t="s">
        <v>44</v>
      </c>
      <c r="B5">
        <v>29.55555555555555</v>
      </c>
      <c r="C5">
        <v>23.961352805342042</v>
      </c>
      <c r="D5">
        <f>TableBRE[[#This Row],[ARIMAPP]]*$I$2+TableBRE[[#This Row],[LSTMPP]]*$I$3</f>
        <v>33.258787519844439</v>
      </c>
      <c r="E5">
        <v>29</v>
      </c>
      <c r="F5">
        <f>ABS(TableBRE[[#This Row],[PP]]-TableBRE[[#This Row],[AP]])</f>
        <v>4.2587875198444394</v>
      </c>
      <c r="H5" t="s">
        <v>2</v>
      </c>
      <c r="I5">
        <f>SUM(ABS(TableBRE[[#This Row],[PP]]-TableBRE[[#This Row],[AP]]))</f>
        <v>4.2587875198444394</v>
      </c>
    </row>
    <row r="6" spans="1:9" x14ac:dyDescent="0.2">
      <c r="A6" t="s">
        <v>45</v>
      </c>
      <c r="B6">
        <v>31.307830121584811</v>
      </c>
      <c r="C6">
        <v>35.058351595061438</v>
      </c>
      <c r="D6">
        <f>TableBRE[[#This Row],[ARIMAPP]]*$I$2+TableBRE[[#This Row],[LSTMPP]]*$I$3</f>
        <v>35.230617396581103</v>
      </c>
      <c r="E6">
        <v>33</v>
      </c>
      <c r="F6">
        <f>ABS(TableBRE[[#This Row],[PP]]-TableBRE[[#This Row],[AP]])</f>
        <v>2.2306173965811027</v>
      </c>
    </row>
    <row r="7" spans="1:9" x14ac:dyDescent="0.2">
      <c r="A7" t="s">
        <v>46</v>
      </c>
      <c r="B7">
        <v>18.54545454545455</v>
      </c>
      <c r="C7">
        <v>18.038069314484769</v>
      </c>
      <c r="D7">
        <f>TableBRE[[#This Row],[ARIMAPP]]*$I$2+TableBRE[[#This Row],[LSTMPP]]*$I$3</f>
        <v>20.869150337127277</v>
      </c>
      <c r="E7">
        <v>35</v>
      </c>
      <c r="F7">
        <f>ABS(TableBRE[[#This Row],[PP]]-TableBRE[[#This Row],[AP]])</f>
        <v>14.130849662872723</v>
      </c>
      <c r="H7" t="s">
        <v>3</v>
      </c>
      <c r="I7">
        <f>AVERAGE(TableBRE[DIFF])/10</f>
        <v>0.88273743616065603</v>
      </c>
    </row>
    <row r="8" spans="1:9" x14ac:dyDescent="0.2">
      <c r="A8" t="s">
        <v>47</v>
      </c>
      <c r="B8">
        <v>24.067796610169481</v>
      </c>
      <c r="C8">
        <v>17.572087848488291</v>
      </c>
      <c r="D8">
        <f>TableBRE[[#This Row],[ARIMAPP]]*$I$2+TableBRE[[#This Row],[LSTMPP]]*$I$3</f>
        <v>27.083427074271174</v>
      </c>
      <c r="E8">
        <v>22</v>
      </c>
      <c r="F8">
        <f>ABS(TableBRE[[#This Row],[PP]]-TableBRE[[#This Row],[AP]])</f>
        <v>5.0834270742711745</v>
      </c>
    </row>
    <row r="9" spans="1:9" x14ac:dyDescent="0.2">
      <c r="A9" t="s">
        <v>48</v>
      </c>
      <c r="B9">
        <v>18.439080908436679</v>
      </c>
      <c r="C9">
        <v>16.903190230887159</v>
      </c>
      <c r="D9">
        <f>TableBRE[[#This Row],[ARIMAPP]]*$I$2+TableBRE[[#This Row],[LSTMPP]]*$I$3</f>
        <v>20.74944836824903</v>
      </c>
      <c r="E9">
        <v>43</v>
      </c>
      <c r="F9">
        <f>ABS(TableBRE[[#This Row],[PP]]-TableBRE[[#This Row],[AP]])</f>
        <v>22.25055163175097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9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49</v>
      </c>
      <c r="B2">
        <v>30.852272727272741</v>
      </c>
      <c r="C2">
        <v>34.792738241647093</v>
      </c>
      <c r="D2">
        <f>TableBHA[[#This Row],[ARIMAPP]]*$I$2+TableBHA[[#This Row],[LSTMPP]]*$I$3</f>
        <v>45.828460793196406</v>
      </c>
      <c r="E2">
        <v>52</v>
      </c>
      <c r="F2">
        <f>ABS(TableBHA[[#This Row],[PP]]-TableBHA[[#This Row],[AP]])</f>
        <v>6.1715392068035939</v>
      </c>
      <c r="H2" t="s">
        <v>0</v>
      </c>
      <c r="I2">
        <v>1.1092141402</v>
      </c>
    </row>
    <row r="3" spans="1:9" x14ac:dyDescent="0.2">
      <c r="A3" t="s">
        <v>50</v>
      </c>
      <c r="B3">
        <v>35.214723926380358</v>
      </c>
      <c r="C3">
        <v>34.458939636876813</v>
      </c>
      <c r="D3">
        <f>TableBHA[[#This Row],[ARIMAPP]]*$I$2+TableBHA[[#This Row],[LSTMPP]]*$I$3</f>
        <v>50.55599980253583</v>
      </c>
      <c r="E3">
        <v>54</v>
      </c>
      <c r="F3">
        <f>ABS(TableBHA[[#This Row],[PP]]-TableBHA[[#This Row],[AP]])</f>
        <v>3.4440001974641703</v>
      </c>
      <c r="H3" t="s">
        <v>1</v>
      </c>
      <c r="I3">
        <v>0.33359500325000002</v>
      </c>
    </row>
    <row r="4" spans="1:9" x14ac:dyDescent="0.2">
      <c r="A4" t="s">
        <v>51</v>
      </c>
      <c r="B4">
        <v>30.71151609392448</v>
      </c>
      <c r="C4">
        <v>33.788522639161059</v>
      </c>
      <c r="D4">
        <f>TableBHA[[#This Row],[ARIMAPP]]*$I$2+TableBHA[[#This Row],[LSTMPP]]*$I$3</f>
        <v>45.337330237984531</v>
      </c>
      <c r="E4">
        <v>30</v>
      </c>
      <c r="F4">
        <f>ABS(TableBHA[[#This Row],[PP]]-TableBHA[[#This Row],[AP]])</f>
        <v>15.337330237984531</v>
      </c>
    </row>
    <row r="5" spans="1:9" x14ac:dyDescent="0.2">
      <c r="A5" t="s">
        <v>52</v>
      </c>
      <c r="B5">
        <v>24.318181818181809</v>
      </c>
      <c r="C5">
        <v>21.747070736895889</v>
      </c>
      <c r="D5">
        <f>TableBHA[[#This Row],[ARIMAPP]]*$I$2+TableBHA[[#This Row],[LSTMPP]]*$I$3</f>
        <v>34.228785269834574</v>
      </c>
      <c r="E5">
        <v>39</v>
      </c>
      <c r="F5">
        <f>ABS(TableBHA[[#This Row],[PP]]-TableBHA[[#This Row],[AP]])</f>
        <v>4.7712147301654255</v>
      </c>
      <c r="H5" t="s">
        <v>2</v>
      </c>
      <c r="I5">
        <f>SUM(ABS(TableBHA[[#This Row],[PP]]-TableBHA[[#This Row],[AP]]))</f>
        <v>4.7712147301654255</v>
      </c>
    </row>
    <row r="6" spans="1:9" x14ac:dyDescent="0.2">
      <c r="A6" t="s">
        <v>53</v>
      </c>
      <c r="B6">
        <v>15.086647067872811</v>
      </c>
      <c r="C6">
        <v>28.187627308904752</v>
      </c>
      <c r="D6">
        <f>TableBHA[[#This Row],[ARIMAPP]]*$I$2+TableBHA[[#This Row],[LSTMPP]]*$I$3</f>
        <v>26.13757387961526</v>
      </c>
      <c r="E6">
        <v>30</v>
      </c>
      <c r="F6">
        <f>ABS(TableBHA[[#This Row],[PP]]-TableBHA[[#This Row],[AP]])</f>
        <v>3.8624261203847396</v>
      </c>
    </row>
    <row r="7" spans="1:9" x14ac:dyDescent="0.2">
      <c r="A7" t="s">
        <v>54</v>
      </c>
      <c r="B7">
        <v>15.45454545454545</v>
      </c>
      <c r="C7">
        <v>11.24086268669787</v>
      </c>
      <c r="D7">
        <f>TableBHA[[#This Row],[ARIMAPP]]*$I$2+TableBHA[[#This Row],[LSTMPP]]*$I$3</f>
        <v>20.892295973047226</v>
      </c>
      <c r="E7">
        <v>29</v>
      </c>
      <c r="F7">
        <f>ABS(TableBHA[[#This Row],[PP]]-TableBHA[[#This Row],[AP]])</f>
        <v>8.1077040269527743</v>
      </c>
      <c r="H7" t="s">
        <v>3</v>
      </c>
      <c r="I7">
        <f>AVERAGE(TableBHA[DIFF])/10</f>
        <v>0.59963302112265382</v>
      </c>
    </row>
    <row r="8" spans="1:9" x14ac:dyDescent="0.2">
      <c r="A8" t="s">
        <v>55</v>
      </c>
      <c r="B8">
        <v>19.523809523809511</v>
      </c>
      <c r="C8">
        <v>18.212811581657508</v>
      </c>
      <c r="D8">
        <f>TableBHA[[#This Row],[ARIMAPP]]*$I$2+TableBHA[[#This Row],[LSTMPP]]*$I$3</f>
        <v>27.731788533155612</v>
      </c>
      <c r="E8">
        <v>29</v>
      </c>
      <c r="F8">
        <f>ABS(TableBHA[[#This Row],[PP]]-TableBHA[[#This Row],[AP]])</f>
        <v>1.268211466844388</v>
      </c>
    </row>
    <row r="9" spans="1:9" x14ac:dyDescent="0.2">
      <c r="A9" t="s">
        <v>56</v>
      </c>
      <c r="B9">
        <v>32.948339020586147</v>
      </c>
      <c r="C9">
        <v>28.362091977692419</v>
      </c>
      <c r="D9">
        <f>TableBHA[[#This Row],[ARIMAPP]]*$I$2+TableBHA[[#This Row],[LSTMPP]]*$I$3</f>
        <v>46.008215703212677</v>
      </c>
      <c r="E9">
        <v>41</v>
      </c>
      <c r="F9">
        <f>ABS(TableBHA[[#This Row],[PP]]-TableBHA[[#This Row],[AP]])</f>
        <v>5.0082157032126773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7"/>
  <sheetViews>
    <sheetView workbookViewId="0">
      <selection activeCell="I2" sqref="I2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57</v>
      </c>
      <c r="B2">
        <v>15.34883720930233</v>
      </c>
      <c r="C2">
        <v>11.31758119069821</v>
      </c>
      <c r="D2">
        <f>TableBUR[[#This Row],[ARIMAPP]]*$I$2+TableBUR[[#This Row],[LSTMPP]]*$I$3</f>
        <v>15.535306891116281</v>
      </c>
      <c r="E2">
        <v>25</v>
      </c>
      <c r="F2">
        <f>ABS(TableBUR[[#This Row],[PP]]-TableBUR[[#This Row],[AP]])</f>
        <v>9.4646931088837185</v>
      </c>
      <c r="H2" t="s">
        <v>0</v>
      </c>
      <c r="I2">
        <v>1.0121487822999999</v>
      </c>
    </row>
    <row r="3" spans="1:9" x14ac:dyDescent="0.2">
      <c r="A3" t="s">
        <v>58</v>
      </c>
      <c r="B3">
        <v>27.64705882352942</v>
      </c>
      <c r="C3">
        <v>30.764316808130872</v>
      </c>
      <c r="D3">
        <f>TableBUR[[#This Row],[ARIMAPP]]*$I$2+TableBUR[[#This Row],[LSTMPP]]*$I$3</f>
        <v>27.982936922411771</v>
      </c>
      <c r="E3">
        <v>25</v>
      </c>
      <c r="F3">
        <f>ABS(TableBUR[[#This Row],[PP]]-TableBUR[[#This Row],[AP]])</f>
        <v>2.9829369224117706</v>
      </c>
      <c r="H3" t="s">
        <v>1</v>
      </c>
      <c r="I3">
        <v>0</v>
      </c>
    </row>
    <row r="4" spans="1:9" x14ac:dyDescent="0.2">
      <c r="A4" t="s">
        <v>59</v>
      </c>
      <c r="B4">
        <v>20</v>
      </c>
      <c r="C4">
        <v>18.790256216214729</v>
      </c>
      <c r="D4">
        <f>TableBUR[[#This Row],[ARIMAPP]]*$I$2+TableBUR[[#This Row],[LSTMPP]]*$I$3</f>
        <v>20.242975645999998</v>
      </c>
      <c r="E4">
        <v>30</v>
      </c>
      <c r="F4">
        <f>ABS(TableBUR[[#This Row],[PP]]-TableBUR[[#This Row],[AP]])</f>
        <v>9.7570243540000021</v>
      </c>
    </row>
    <row r="5" spans="1:9" x14ac:dyDescent="0.2">
      <c r="A5" t="s">
        <v>60</v>
      </c>
      <c r="B5">
        <v>33.33333333333335</v>
      </c>
      <c r="C5">
        <v>34.834283055391808</v>
      </c>
      <c r="D5">
        <f>TableBUR[[#This Row],[ARIMAPP]]*$I$2+TableBUR[[#This Row],[LSTMPP]]*$I$3</f>
        <v>33.738292743333346</v>
      </c>
      <c r="E5">
        <v>26</v>
      </c>
      <c r="F5">
        <f>ABS(TableBUR[[#This Row],[PP]]-TableBUR[[#This Row],[AP]])</f>
        <v>7.7382927433333464</v>
      </c>
      <c r="H5" t="s">
        <v>2</v>
      </c>
      <c r="I5">
        <f>SUM(ABS(TableBUR[[#This Row],[PP]]-TableBUR[[#This Row],[AP]]))</f>
        <v>7.7382927433333464</v>
      </c>
    </row>
    <row r="7" spans="1:9" x14ac:dyDescent="0.2">
      <c r="H7" t="s">
        <v>3</v>
      </c>
      <c r="I7">
        <f>AVERAGE(TableBUR[DIFF])/10</f>
        <v>0.74857367821572096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"/>
  <sheetViews>
    <sheetView workbookViewId="0">
      <selection activeCell="I2" sqref="I2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61</v>
      </c>
      <c r="B2">
        <v>43.789272876530347</v>
      </c>
      <c r="C2">
        <v>56.147844796927181</v>
      </c>
      <c r="D2">
        <f>TableCHE[[#This Row],[ARIMAPP]]*$I$2+TableCHE[[#This Row],[LSTMPP]]*$I$3</f>
        <v>51.654311562256147</v>
      </c>
      <c r="E2">
        <v>30</v>
      </c>
      <c r="F2">
        <f>ABS(TableCHE[[#This Row],[PP]]-TableCHE[[#This Row],[AP]])</f>
        <v>21.654311562256147</v>
      </c>
      <c r="H2" t="s">
        <v>0</v>
      </c>
      <c r="I2">
        <v>1.1796110821000001</v>
      </c>
    </row>
    <row r="3" spans="1:9" x14ac:dyDescent="0.2">
      <c r="A3" t="s">
        <v>62</v>
      </c>
      <c r="B3">
        <v>27.841521033223781</v>
      </c>
      <c r="C3">
        <v>26.386485911904739</v>
      </c>
      <c r="D3">
        <f>TableCHE[[#This Row],[ARIMAPP]]*$I$2+TableCHE[[#This Row],[LSTMPP]]*$I$3</f>
        <v>32.84216675331102</v>
      </c>
      <c r="E3">
        <v>40</v>
      </c>
      <c r="F3">
        <f>ABS(TableCHE[[#This Row],[PP]]-TableCHE[[#This Row],[AP]])</f>
        <v>7.1578332466889805</v>
      </c>
      <c r="H3" t="s">
        <v>1</v>
      </c>
      <c r="I3">
        <v>0</v>
      </c>
    </row>
    <row r="4" spans="1:9" x14ac:dyDescent="0.2">
      <c r="A4" t="s">
        <v>63</v>
      </c>
      <c r="B4">
        <v>62.205347102159408</v>
      </c>
      <c r="C4">
        <v>40.202546300433298</v>
      </c>
      <c r="D4">
        <f>TableCHE[[#This Row],[ARIMAPP]]*$I$2+TableCHE[[#This Row],[LSTMPP]]*$I$3</f>
        <v>73.378116807584362</v>
      </c>
      <c r="E4">
        <v>103</v>
      </c>
      <c r="F4">
        <f>ABS(TableCHE[[#This Row],[PP]]-TableCHE[[#This Row],[AP]])</f>
        <v>29.621883192415638</v>
      </c>
    </row>
    <row r="5" spans="1:9" x14ac:dyDescent="0.2">
      <c r="A5" t="s">
        <v>64</v>
      </c>
      <c r="B5">
        <v>27.998750921758528</v>
      </c>
      <c r="C5">
        <v>35.664975427518023</v>
      </c>
      <c r="D5">
        <f>TableCHE[[#This Row],[ARIMAPP]]*$I$2+TableCHE[[#This Row],[LSTMPP]]*$I$3</f>
        <v>33.027636872263955</v>
      </c>
      <c r="E5">
        <v>29</v>
      </c>
      <c r="F5">
        <f>ABS(TableCHE[[#This Row],[PP]]-TableCHE[[#This Row],[AP]])</f>
        <v>4.0276368722639546</v>
      </c>
      <c r="H5" t="s">
        <v>2</v>
      </c>
      <c r="I5">
        <f>SUM(ABS(TableCHE[[#This Row],[PP]]-TableCHE[[#This Row],[AP]]))</f>
        <v>4.0276368722639546</v>
      </c>
    </row>
    <row r="6" spans="1:9" x14ac:dyDescent="0.2">
      <c r="A6" t="s">
        <v>65</v>
      </c>
      <c r="B6">
        <v>28.275862068965509</v>
      </c>
      <c r="C6">
        <v>18.001917756931078</v>
      </c>
      <c r="D6">
        <f>TableCHE[[#This Row],[ARIMAPP]]*$I$2+TableCHE[[#This Row],[LSTMPP]]*$I$3</f>
        <v>33.35452025248275</v>
      </c>
      <c r="E6">
        <v>23</v>
      </c>
      <c r="F6">
        <f>ABS(TableCHE[[#This Row],[PP]]-TableCHE[[#This Row],[AP]])</f>
        <v>10.35452025248275</v>
      </c>
    </row>
    <row r="7" spans="1:9" x14ac:dyDescent="0.2">
      <c r="A7" t="s">
        <v>66</v>
      </c>
      <c r="B7">
        <v>24.615384615384599</v>
      </c>
      <c r="C7">
        <v>26.088021365045879</v>
      </c>
      <c r="D7">
        <f>TableCHE[[#This Row],[ARIMAPP]]*$I$2+TableCHE[[#This Row],[LSTMPP]]*$I$3</f>
        <v>29.03658048246152</v>
      </c>
      <c r="E7">
        <v>33</v>
      </c>
      <c r="F7">
        <f>ABS(TableCHE[[#This Row],[PP]]-TableCHE[[#This Row],[AP]])</f>
        <v>3.9634195175384797</v>
      </c>
      <c r="H7" t="s">
        <v>3</v>
      </c>
      <c r="I7">
        <f>AVERAGE(TableCHE[DIFF])/10</f>
        <v>1.1325290140858812</v>
      </c>
    </row>
    <row r="8" spans="1:9" x14ac:dyDescent="0.2">
      <c r="A8" t="s">
        <v>67</v>
      </c>
      <c r="B8">
        <v>26.25</v>
      </c>
      <c r="C8">
        <v>24.758298661619449</v>
      </c>
      <c r="D8">
        <f>TableCHE[[#This Row],[ARIMAPP]]*$I$2+TableCHE[[#This Row],[LSTMPP]]*$I$3</f>
        <v>30.964790905125003</v>
      </c>
      <c r="E8">
        <v>29</v>
      </c>
      <c r="F8">
        <f>ABS(TableCHE[[#This Row],[PP]]-TableCHE[[#This Row],[AP]])</f>
        <v>1.9647909051250032</v>
      </c>
    </row>
    <row r="9" spans="1:9" x14ac:dyDescent="0.2">
      <c r="A9" t="s">
        <v>68</v>
      </c>
      <c r="B9">
        <v>36.250000000000007</v>
      </c>
      <c r="C9">
        <v>33.156727395814762</v>
      </c>
      <c r="D9">
        <f>TableCHE[[#This Row],[ARIMAPP]]*$I$2+TableCHE[[#This Row],[LSTMPP]]*$I$3</f>
        <v>42.760901726125013</v>
      </c>
      <c r="E9">
        <v>33</v>
      </c>
      <c r="F9">
        <f>ABS(TableCHE[[#This Row],[PP]]-TableCHE[[#This Row],[AP]])</f>
        <v>9.7609017261250131</v>
      </c>
    </row>
    <row r="10" spans="1:9" x14ac:dyDescent="0.2">
      <c r="A10" t="s">
        <v>69</v>
      </c>
      <c r="B10">
        <v>28.333333333333339</v>
      </c>
      <c r="C10">
        <v>28.441374122303841</v>
      </c>
      <c r="D10">
        <f>TableCHE[[#This Row],[ARIMAPP]]*$I$2+TableCHE[[#This Row],[LSTMPP]]*$I$3</f>
        <v>33.422313992833345</v>
      </c>
      <c r="E10">
        <v>20</v>
      </c>
      <c r="F10">
        <f>ABS(TableCHE[[#This Row],[PP]]-TableCHE[[#This Row],[AP]])</f>
        <v>13.422313992833345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7"/>
  <sheetViews>
    <sheetView workbookViewId="0">
      <selection activeCell="I2" sqref="I2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70</v>
      </c>
      <c r="B2">
        <v>24.434415672051578</v>
      </c>
      <c r="C2">
        <v>24.285728873008839</v>
      </c>
      <c r="D2">
        <f>TableCRY[[#This Row],[ARIMAPP]]*$I$2+TableCRY[[#This Row],[LSTMPP]]*$I$3</f>
        <v>27.185583334392433</v>
      </c>
      <c r="E2">
        <v>20</v>
      </c>
      <c r="F2">
        <f>ABS(TableCRY[[#This Row],[PP]]-TableCRY[[#This Row],[AP]])</f>
        <v>7.1855833343924331</v>
      </c>
      <c r="H2" t="s">
        <v>0</v>
      </c>
      <c r="I2">
        <v>1.1125939617</v>
      </c>
    </row>
    <row r="3" spans="1:9" x14ac:dyDescent="0.2">
      <c r="A3" t="s">
        <v>71</v>
      </c>
      <c r="B3">
        <v>27.616279069767469</v>
      </c>
      <c r="C3">
        <v>26.819784972189279</v>
      </c>
      <c r="D3">
        <f>TableCRY[[#This Row],[ARIMAPP]]*$I$2+TableCRY[[#This Row],[LSTMPP]]*$I$3</f>
        <v>30.72570533764538</v>
      </c>
      <c r="E3">
        <v>41</v>
      </c>
      <c r="F3">
        <f>ABS(TableCRY[[#This Row],[PP]]-TableCRY[[#This Row],[AP]])</f>
        <v>10.27429466235462</v>
      </c>
      <c r="H3" t="s">
        <v>1</v>
      </c>
      <c r="I3">
        <v>0</v>
      </c>
    </row>
    <row r="4" spans="1:9" x14ac:dyDescent="0.2">
      <c r="A4" t="s">
        <v>72</v>
      </c>
      <c r="B4">
        <v>36.666666666666657</v>
      </c>
      <c r="C4">
        <v>33.614709350379911</v>
      </c>
      <c r="D4">
        <f>TableCRY[[#This Row],[ARIMAPP]]*$I$2+TableCRY[[#This Row],[LSTMPP]]*$I$3</f>
        <v>40.795111928999994</v>
      </c>
      <c r="E4">
        <v>45</v>
      </c>
      <c r="F4">
        <f>ABS(TableCRY[[#This Row],[PP]]-TableCRY[[#This Row],[AP]])</f>
        <v>4.2048880710000063</v>
      </c>
    </row>
    <row r="5" spans="1:9" x14ac:dyDescent="0.2">
      <c r="A5" t="s">
        <v>73</v>
      </c>
      <c r="B5">
        <v>37.454545454545453</v>
      </c>
      <c r="C5">
        <v>41.043882633464428</v>
      </c>
      <c r="D5">
        <f>TableCRY[[#This Row],[ARIMAPP]]*$I$2+TableCRY[[#This Row],[LSTMPP]]*$I$3</f>
        <v>41.671701110945456</v>
      </c>
      <c r="E5">
        <v>28</v>
      </c>
      <c r="F5">
        <f>ABS(TableCRY[[#This Row],[PP]]-TableCRY[[#This Row],[AP]])</f>
        <v>13.671701110945456</v>
      </c>
      <c r="H5" t="s">
        <v>2</v>
      </c>
      <c r="I5">
        <f>SUM(ABS(TableCRY[[#This Row],[PP]]-TableCRY[[#This Row],[AP]]))</f>
        <v>13.671701110945456</v>
      </c>
    </row>
    <row r="6" spans="1:9" x14ac:dyDescent="0.2">
      <c r="A6" t="s">
        <v>74</v>
      </c>
      <c r="B6">
        <v>22.3611111111111</v>
      </c>
      <c r="C6">
        <v>20.644390220932539</v>
      </c>
      <c r="D6">
        <f>TableCRY[[#This Row],[ARIMAPP]]*$I$2+TableCRY[[#This Row],[LSTMPP]]*$I$3</f>
        <v>24.878837199124987</v>
      </c>
      <c r="E6">
        <v>44</v>
      </c>
      <c r="F6">
        <f>ABS(TableCRY[[#This Row],[PP]]-TableCRY[[#This Row],[AP]])</f>
        <v>19.121162800875013</v>
      </c>
    </row>
    <row r="7" spans="1:9" x14ac:dyDescent="0.2">
      <c r="A7" t="s">
        <v>75</v>
      </c>
      <c r="B7">
        <v>26.666666666666661</v>
      </c>
      <c r="C7">
        <v>27.99782459194126</v>
      </c>
      <c r="D7">
        <f>TableCRY[[#This Row],[ARIMAPP]]*$I$2+TableCRY[[#This Row],[LSTMPP]]*$I$3</f>
        <v>29.669172311999993</v>
      </c>
      <c r="E7">
        <v>23</v>
      </c>
      <c r="F7">
        <f>ABS(TableCRY[[#This Row],[PP]]-TableCRY[[#This Row],[AP]])</f>
        <v>6.6691723119999935</v>
      </c>
      <c r="H7" t="s">
        <v>3</v>
      </c>
      <c r="I7">
        <f>AVERAGE(TableCRY[DIFF])/10</f>
        <v>1.0187800381927921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1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76</v>
      </c>
      <c r="B2">
        <v>32.079137744930406</v>
      </c>
      <c r="C2">
        <v>27.793258102354368</v>
      </c>
      <c r="D2">
        <f>TableEVE[[#This Row],[ARIMAPP]]*$I$2+TableEVE[[#This Row],[LSTMPP]]*$I$3</f>
        <v>27.627459336180479</v>
      </c>
      <c r="E2">
        <v>34</v>
      </c>
      <c r="F2">
        <f>ABS(TableEVE[[#This Row],[PP]]-TableEVE[[#This Row],[AP]])</f>
        <v>6.372540663819521</v>
      </c>
      <c r="H2" t="s">
        <v>0</v>
      </c>
      <c r="I2">
        <v>4.0988904882999996E-6</v>
      </c>
    </row>
    <row r="3" spans="1:9" x14ac:dyDescent="0.2">
      <c r="A3" t="s">
        <v>77</v>
      </c>
      <c r="B3">
        <v>35.156249999999993</v>
      </c>
      <c r="C3">
        <v>37.090654789999739</v>
      </c>
      <c r="D3">
        <f>TableEVE[[#This Row],[ARIMAPP]]*$I$2+TableEVE[[#This Row],[LSTMPP]]*$I$3</f>
        <v>36.869361671610655</v>
      </c>
      <c r="E3">
        <v>37</v>
      </c>
      <c r="F3">
        <f>ABS(TableEVE[[#This Row],[PP]]-TableEVE[[#This Row],[AP]])</f>
        <v>0.1306383283893453</v>
      </c>
      <c r="H3" t="s">
        <v>1</v>
      </c>
      <c r="I3">
        <v>0.99402983793999999</v>
      </c>
    </row>
    <row r="4" spans="1:9" x14ac:dyDescent="0.2">
      <c r="A4" t="s">
        <v>78</v>
      </c>
      <c r="B4">
        <v>22.788461538461529</v>
      </c>
      <c r="C4">
        <v>22.800885444267909</v>
      </c>
      <c r="D4">
        <f>TableEVE[[#This Row],[ARIMAPP]]*$I$2+TableEVE[[#This Row],[LSTMPP]]*$I$3</f>
        <v>22.664853870462377</v>
      </c>
      <c r="E4">
        <v>32</v>
      </c>
      <c r="F4">
        <f>ABS(TableEVE[[#This Row],[PP]]-TableEVE[[#This Row],[AP]])</f>
        <v>9.3351461295376232</v>
      </c>
    </row>
    <row r="5" spans="1:9" x14ac:dyDescent="0.2">
      <c r="A5" t="s">
        <v>79</v>
      </c>
      <c r="B5">
        <v>34.026195069061792</v>
      </c>
      <c r="C5">
        <v>34.01037876783974</v>
      </c>
      <c r="D5">
        <f>TableEVE[[#This Row],[ARIMAPP]]*$I$2+TableEVE[[#This Row],[LSTMPP]]*$I$3</f>
        <v>33.807470764521078</v>
      </c>
      <c r="E5">
        <v>25</v>
      </c>
      <c r="F5">
        <f>ABS(TableEVE[[#This Row],[PP]]-TableEVE[[#This Row],[AP]])</f>
        <v>8.8074707645210779</v>
      </c>
      <c r="H5" t="s">
        <v>2</v>
      </c>
      <c r="I5">
        <f>SUM(ABS(TableEVE[[#This Row],[PP]]-TableEVE[[#This Row],[AP]]))</f>
        <v>8.8074707645210779</v>
      </c>
    </row>
    <row r="6" spans="1:9" x14ac:dyDescent="0.2">
      <c r="A6" t="s">
        <v>80</v>
      </c>
      <c r="B6">
        <v>31.761363636363669</v>
      </c>
      <c r="C6">
        <v>27.411561302200681</v>
      </c>
      <c r="D6">
        <f>TableEVE[[#This Row],[ARIMAPP]]*$I$2+TableEVE[[#This Row],[LSTMPP]]*$I$3</f>
        <v>27.24804002526022</v>
      </c>
      <c r="E6">
        <v>28</v>
      </c>
      <c r="F6">
        <f>ABS(TableEVE[[#This Row],[PP]]-TableEVE[[#This Row],[AP]])</f>
        <v>0.75195997473977982</v>
      </c>
    </row>
    <row r="7" spans="1:9" x14ac:dyDescent="0.2">
      <c r="A7" t="s">
        <v>81</v>
      </c>
      <c r="B7">
        <v>20.135042587899211</v>
      </c>
      <c r="C7">
        <v>20.918928208947651</v>
      </c>
      <c r="D7">
        <f>TableEVE[[#This Row],[ARIMAPP]]*$I$2+TableEVE[[#This Row],[LSTMPP]]*$I$3</f>
        <v>20.794121348753272</v>
      </c>
      <c r="E7">
        <v>23</v>
      </c>
      <c r="F7">
        <f>ABS(TableEVE[[#This Row],[PP]]-TableEVE[[#This Row],[AP]])</f>
        <v>2.2058786512467279</v>
      </c>
      <c r="H7" t="s">
        <v>3</v>
      </c>
      <c r="I7">
        <f>AVERAGE(TableEVE[DIFF])/10</f>
        <v>0.51768898867634161</v>
      </c>
    </row>
    <row r="8" spans="1:9" x14ac:dyDescent="0.2">
      <c r="A8" t="s">
        <v>82</v>
      </c>
      <c r="B8">
        <v>21.85389506766143</v>
      </c>
      <c r="C8">
        <v>24.935439363085411</v>
      </c>
      <c r="D8">
        <f>TableEVE[[#This Row],[ARIMAPP]]*$I$2+TableEVE[[#This Row],[LSTMPP]]*$I$3</f>
        <v>24.786660325773113</v>
      </c>
      <c r="E8">
        <v>36</v>
      </c>
      <c r="F8">
        <f>ABS(TableEVE[[#This Row],[PP]]-TableEVE[[#This Row],[AP]])</f>
        <v>11.213339674226887</v>
      </c>
    </row>
    <row r="9" spans="1:9" x14ac:dyDescent="0.2">
      <c r="A9" t="s">
        <v>83</v>
      </c>
      <c r="B9">
        <v>39.649122807017577</v>
      </c>
      <c r="C9">
        <v>39.80075367999563</v>
      </c>
      <c r="D9">
        <f>TableEVE[[#This Row],[ARIMAPP]]*$I$2+TableEVE[[#This Row],[LSTMPP]]*$I$3</f>
        <v>39.563299247828255</v>
      </c>
      <c r="E9">
        <v>28</v>
      </c>
      <c r="F9">
        <f>ABS(TableEVE[[#This Row],[PP]]-TableEVE[[#This Row],[AP]])</f>
        <v>11.563299247828255</v>
      </c>
    </row>
    <row r="10" spans="1:9" x14ac:dyDescent="0.2">
      <c r="A10" t="s">
        <v>84</v>
      </c>
      <c r="B10">
        <v>29.37805448936858</v>
      </c>
      <c r="C10">
        <v>23.376793886474189</v>
      </c>
      <c r="D10">
        <f>TableEVE[[#This Row],[ARIMAPP]]*$I$2+TableEVE[[#This Row],[LSTMPP]]*$I$3</f>
        <v>23.237351055956832</v>
      </c>
      <c r="E10">
        <v>23</v>
      </c>
      <c r="F10">
        <f>ABS(TableEVE[[#This Row],[PP]]-TableEVE[[#This Row],[AP]])</f>
        <v>0.23735105595683237</v>
      </c>
    </row>
    <row r="11" spans="1:9" x14ac:dyDescent="0.2">
      <c r="A11" t="s">
        <v>85</v>
      </c>
      <c r="B11">
        <v>22.5183503463475</v>
      </c>
      <c r="C11">
        <v>20.973850609541032</v>
      </c>
      <c r="D11">
        <f>TableEVE[[#This Row],[ARIMAPP]]*$I$2+TableEVE[[#This Row],[LSTMPP]]*$I$3</f>
        <v>20.848725622631889</v>
      </c>
      <c r="E11">
        <v>22</v>
      </c>
      <c r="F11">
        <f>ABS(TableEVE[[#This Row],[PP]]-TableEVE[[#This Row],[AP]])</f>
        <v>1.1512743773681109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ARS</vt:lpstr>
      <vt:lpstr>AVL</vt:lpstr>
      <vt:lpstr>BOU</vt:lpstr>
      <vt:lpstr>BRE</vt:lpstr>
      <vt:lpstr>BHA</vt:lpstr>
      <vt:lpstr>BUR</vt:lpstr>
      <vt:lpstr>CHE</vt:lpstr>
      <vt:lpstr>CRY</vt:lpstr>
      <vt:lpstr>EVE</vt:lpstr>
      <vt:lpstr>FUL</vt:lpstr>
      <vt:lpstr>LIV</vt:lpstr>
      <vt:lpstr>LUT</vt:lpstr>
      <vt:lpstr>MCI</vt:lpstr>
      <vt:lpstr>MUN</vt:lpstr>
      <vt:lpstr>NEW</vt:lpstr>
      <vt:lpstr>NFO</vt:lpstr>
      <vt:lpstr>SHU</vt:lpstr>
      <vt:lpstr>TOT</vt:lpstr>
      <vt:lpstr>WHU</vt:lpstr>
      <vt:lpstr>WOL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Corridore, Gabe</cp:lastModifiedBy>
  <dcterms:created xsi:type="dcterms:W3CDTF">2024-04-05T13:06:48Z</dcterms:created>
  <dcterms:modified xsi:type="dcterms:W3CDTF">2024-04-05T13:11:23Z</dcterms:modified>
</cp:coreProperties>
</file>