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ridog/Documents/GitHub/FPL-Predictor/Predictions/2023-24/"/>
    </mc:Choice>
  </mc:AlternateContent>
  <xr:revisionPtr revIDLastSave="0" documentId="13_ncr:1_{90DBC860-FAE8-CC42-8765-61BAA9DA4CE7}" xr6:coauthVersionLast="47" xr6:coauthVersionMax="47" xr10:uidLastSave="{00000000-0000-0000-0000-000000000000}"/>
  <bookViews>
    <workbookView xWindow="240" yWindow="760" windowWidth="23940" windowHeight="18540" xr2:uid="{00000000-000D-0000-FFFF-FFFF00000000}"/>
  </bookViews>
  <sheets>
    <sheet name="Sheet1" sheetId="1" r:id="rId1"/>
  </sheets>
  <definedNames>
    <definedName name="solver_adj" localSheetId="0" hidden="1">Sheet1!$AJ$2:$AJ$163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Sheet1!$AJ$2:$AJ$163</definedName>
    <definedName name="solver_lhs2" localSheetId="0" hidden="1">Sheet1!$AM$11:$AM$30</definedName>
    <definedName name="solver_lhs3" localSheetId="0" hidden="1">Sheet1!$AM$4</definedName>
    <definedName name="solver_lhs4" localSheetId="0" hidden="1">Sheet1!$AM$6:$AM$9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opt" localSheetId="0" hidden="1">Sheet1!$AM$2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1</definedName>
    <definedName name="solver_rel4" localSheetId="0" hidden="1">2</definedName>
    <definedName name="solver_rhs1" localSheetId="0" hidden="1">"binary"</definedName>
    <definedName name="solver_rhs2" localSheetId="0" hidden="1">Sheet1!$AN$11:$AN$30</definedName>
    <definedName name="solver_rhs3" localSheetId="0" hidden="1">Sheet1!$AN$4</definedName>
    <definedName name="solver_rhs4" localSheetId="0" hidden="1">Sheet1!$AN$6:$AN$9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21" i="1" l="1"/>
  <c r="AM2" i="1"/>
  <c r="AH158" i="1"/>
  <c r="AH120" i="1"/>
  <c r="AH119" i="1"/>
  <c r="AH118" i="1"/>
  <c r="AH116" i="1"/>
  <c r="AH115" i="1"/>
  <c r="AH114" i="1"/>
  <c r="AH99" i="1"/>
  <c r="AH94" i="1"/>
  <c r="AH93" i="1"/>
  <c r="AH92" i="1"/>
  <c r="AH91" i="1"/>
  <c r="AH90" i="1"/>
  <c r="AH89" i="1"/>
  <c r="AH88" i="1"/>
  <c r="AH87" i="1"/>
  <c r="AH43" i="1"/>
  <c r="AH8" i="1"/>
  <c r="AH162" i="1"/>
  <c r="AH161" i="1"/>
  <c r="AH96" i="1"/>
  <c r="AH159" i="1"/>
  <c r="AH110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13" i="1"/>
  <c r="AH112" i="1"/>
  <c r="AH111" i="1"/>
  <c r="AH11" i="1"/>
  <c r="AH109" i="1"/>
  <c r="AH108" i="1"/>
  <c r="AH107" i="1"/>
  <c r="AH106" i="1"/>
  <c r="AH105" i="1"/>
  <c r="AH104" i="1"/>
  <c r="AH103" i="1"/>
  <c r="AH102" i="1"/>
  <c r="AH101" i="1"/>
  <c r="AH59" i="1"/>
  <c r="AH160" i="1"/>
  <c r="AH98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6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100" i="1"/>
  <c r="AH42" i="1"/>
  <c r="AH41" i="1"/>
  <c r="AH40" i="1"/>
  <c r="AH39" i="1"/>
  <c r="AH38" i="1"/>
  <c r="AM30" i="1"/>
  <c r="AH37" i="1"/>
  <c r="AM29" i="1"/>
  <c r="AH36" i="1"/>
  <c r="AM28" i="1"/>
  <c r="AH35" i="1"/>
  <c r="AM27" i="1"/>
  <c r="AH34" i="1"/>
  <c r="AM26" i="1"/>
  <c r="AH33" i="1"/>
  <c r="AM25" i="1"/>
  <c r="AH32" i="1"/>
  <c r="AM24" i="1"/>
  <c r="AH31" i="1"/>
  <c r="AM23" i="1"/>
  <c r="AH30" i="1"/>
  <c r="AM22" i="1"/>
  <c r="AH29" i="1"/>
  <c r="AM21" i="1"/>
  <c r="AH28" i="1"/>
  <c r="AM20" i="1"/>
  <c r="AH27" i="1"/>
  <c r="AM19" i="1"/>
  <c r="AH26" i="1"/>
  <c r="AM18" i="1"/>
  <c r="AH25" i="1"/>
  <c r="AM17" i="1"/>
  <c r="AH24" i="1"/>
  <c r="AM16" i="1"/>
  <c r="AH23" i="1"/>
  <c r="AM15" i="1"/>
  <c r="AH22" i="1"/>
  <c r="AM14" i="1"/>
  <c r="AH21" i="1"/>
  <c r="AM13" i="1"/>
  <c r="AH20" i="1"/>
  <c r="AM12" i="1"/>
  <c r="AH19" i="1"/>
  <c r="AM11" i="1"/>
  <c r="AH163" i="1"/>
  <c r="AH17" i="1"/>
  <c r="AH16" i="1"/>
  <c r="AH15" i="1"/>
  <c r="AH14" i="1"/>
  <c r="AH13" i="1"/>
  <c r="AH12" i="1"/>
  <c r="AH95" i="1"/>
  <c r="AH10" i="1"/>
  <c r="AM9" i="1"/>
  <c r="AH9" i="1"/>
  <c r="AM8" i="1"/>
  <c r="AH97" i="1"/>
  <c r="AM7" i="1"/>
  <c r="AH7" i="1"/>
  <c r="AM6" i="1"/>
  <c r="AH18" i="1"/>
  <c r="AH5" i="1"/>
  <c r="AM4" i="1"/>
  <c r="AH4" i="1"/>
  <c r="AH3" i="1"/>
  <c r="AH2" i="1"/>
</calcChain>
</file>

<file path=xl/sharedStrings.xml><?xml version="1.0" encoding="utf-8"?>
<sst xmlns="http://schemas.openxmlformats.org/spreadsheetml/2006/main" count="873" uniqueCount="383">
  <si>
    <t>Total Points</t>
  </si>
  <si>
    <t>MAX</t>
  </si>
  <si>
    <t>Total Cost</t>
  </si>
  <si>
    <t>GKP</t>
  </si>
  <si>
    <t>DEF</t>
  </si>
  <si>
    <t>MID</t>
  </si>
  <si>
    <t>FWD</t>
  </si>
  <si>
    <t>Cost</t>
  </si>
  <si>
    <t>ARS</t>
  </si>
  <si>
    <t>AVL</t>
  </si>
  <si>
    <t>BOU</t>
  </si>
  <si>
    <t>BRE</t>
  </si>
  <si>
    <t>BHA</t>
  </si>
  <si>
    <t>BUR</t>
  </si>
  <si>
    <t>CHE</t>
  </si>
  <si>
    <t>CRY</t>
  </si>
  <si>
    <t>EVE</t>
  </si>
  <si>
    <t>FUL</t>
  </si>
  <si>
    <t>LIV</t>
  </si>
  <si>
    <t>LUT</t>
  </si>
  <si>
    <t>MCI</t>
  </si>
  <si>
    <t>MUN</t>
  </si>
  <si>
    <t>NEW</t>
  </si>
  <si>
    <t>NFO</t>
  </si>
  <si>
    <t>SHU</t>
  </si>
  <si>
    <t>TOT</t>
  </si>
  <si>
    <t>WHU</t>
  </si>
  <si>
    <t>WOL</t>
  </si>
  <si>
    <t>First Name</t>
  </si>
  <si>
    <t>Surname</t>
  </si>
  <si>
    <t>Web Name</t>
  </si>
  <si>
    <t>Position</t>
  </si>
  <si>
    <t>Team</t>
  </si>
  <si>
    <t>ID</t>
  </si>
  <si>
    <t>ARIMA</t>
  </si>
  <si>
    <t>LSTM</t>
  </si>
  <si>
    <t>NEXT</t>
  </si>
  <si>
    <t>Health</t>
  </si>
  <si>
    <t>Selected</t>
  </si>
  <si>
    <t>Gabriel</t>
  </si>
  <si>
    <t>dos Santos Magalhães</t>
  </si>
  <si>
    <t>Kai</t>
  </si>
  <si>
    <t>Havertz</t>
  </si>
  <si>
    <t>Fernando de Jesus</t>
  </si>
  <si>
    <t>G.Jesus</t>
  </si>
  <si>
    <t>Martinelli Silva</t>
  </si>
  <si>
    <t>Martinelli</t>
  </si>
  <si>
    <t>Martin</t>
  </si>
  <si>
    <t>Ødegaard</t>
  </si>
  <si>
    <t>Bukayo</t>
  </si>
  <si>
    <t>Saka</t>
  </si>
  <si>
    <t>William</t>
  </si>
  <si>
    <t>Saliba</t>
  </si>
  <si>
    <t>Benjamin</t>
  </si>
  <si>
    <t>White</t>
  </si>
  <si>
    <t>Oleksandr</t>
  </si>
  <si>
    <t>Zinchenko</t>
  </si>
  <si>
    <t>David</t>
  </si>
  <si>
    <t>Raya Martin</t>
  </si>
  <si>
    <t>Raya</t>
  </si>
  <si>
    <t>Declan</t>
  </si>
  <si>
    <t>Rice</t>
  </si>
  <si>
    <t>Leon</t>
  </si>
  <si>
    <t>Bailey</t>
  </si>
  <si>
    <t>Douglas Luiz</t>
  </si>
  <si>
    <t>Soares de Paulo</t>
  </si>
  <si>
    <t>Ezri</t>
  </si>
  <si>
    <t>Konsa Ngoyo</t>
  </si>
  <si>
    <t>Konsa</t>
  </si>
  <si>
    <t>Emiliano</t>
  </si>
  <si>
    <t>Martínez Romero</t>
  </si>
  <si>
    <t>Martinez</t>
  </si>
  <si>
    <t>John</t>
  </si>
  <si>
    <t>McGinn</t>
  </si>
  <si>
    <t>Ollie</t>
  </si>
  <si>
    <t>Watkins</t>
  </si>
  <si>
    <t>Pau</t>
  </si>
  <si>
    <t>Torres</t>
  </si>
  <si>
    <t>Moussa</t>
  </si>
  <si>
    <t>Diaby</t>
  </si>
  <si>
    <t>Ryan</t>
  </si>
  <si>
    <t>Christie</t>
  </si>
  <si>
    <t>Lewis</t>
  </si>
  <si>
    <t>Cook</t>
  </si>
  <si>
    <t>L.Cook</t>
  </si>
  <si>
    <t>Justin</t>
  </si>
  <si>
    <t>Kluivert</t>
  </si>
  <si>
    <t>Norberto</t>
  </si>
  <si>
    <t>Murara Neto</t>
  </si>
  <si>
    <t>Neto</t>
  </si>
  <si>
    <t>Antoine</t>
  </si>
  <si>
    <t>Semenyo</t>
  </si>
  <si>
    <t>Marcos</t>
  </si>
  <si>
    <t>Senesi</t>
  </si>
  <si>
    <t>Adam</t>
  </si>
  <si>
    <t>Smith</t>
  </si>
  <si>
    <t>Dominic</t>
  </si>
  <si>
    <t>Solanke</t>
  </si>
  <si>
    <t>Marcus</t>
  </si>
  <si>
    <t>Tavernier</t>
  </si>
  <si>
    <t>Illia</t>
  </si>
  <si>
    <t>Zabarnyi</t>
  </si>
  <si>
    <t>Milos</t>
  </si>
  <si>
    <t>Kerkez</t>
  </si>
  <si>
    <t>Kristoffer</t>
  </si>
  <si>
    <t>Ajer</t>
  </si>
  <si>
    <t>Nathan</t>
  </si>
  <si>
    <t>Collins</t>
  </si>
  <si>
    <t>Mark</t>
  </si>
  <si>
    <t>Flekken</t>
  </si>
  <si>
    <t>Mathias</t>
  </si>
  <si>
    <t>Jensen</t>
  </si>
  <si>
    <t>Keane</t>
  </si>
  <si>
    <t>Lewis-Potter</t>
  </si>
  <si>
    <t>Christian</t>
  </si>
  <si>
    <t>Nørgaard</t>
  </si>
  <si>
    <t>Ethan</t>
  </si>
  <si>
    <t>Pinnock</t>
  </si>
  <si>
    <t>Mads</t>
  </si>
  <si>
    <t>Roerslev Rasmussen</t>
  </si>
  <si>
    <t>Roerslev</t>
  </si>
  <si>
    <t>Yoane</t>
  </si>
  <si>
    <t>Wissa</t>
  </si>
  <si>
    <t>Simon</t>
  </si>
  <si>
    <t>Adingra</t>
  </si>
  <si>
    <t>Facundo</t>
  </si>
  <si>
    <t>Buonanotte</t>
  </si>
  <si>
    <t>Dunk</t>
  </si>
  <si>
    <t>Pascal</t>
  </si>
  <si>
    <t>Groß</t>
  </si>
  <si>
    <t>Gross</t>
  </si>
  <si>
    <t>João Pedro</t>
  </si>
  <si>
    <t>Junqueira de Jesus</t>
  </si>
  <si>
    <t>Kaoru</t>
  </si>
  <si>
    <t>Mitoma</t>
  </si>
  <si>
    <t>Jan Paul</t>
  </si>
  <si>
    <t>van Hecke</t>
  </si>
  <si>
    <t>Van Hecke</t>
  </si>
  <si>
    <t>Danny</t>
  </si>
  <si>
    <t>Welbeck</t>
  </si>
  <si>
    <t>Dara</t>
  </si>
  <si>
    <t>O'Shea</t>
  </si>
  <si>
    <t>Jacob</t>
  </si>
  <si>
    <t>Bruun Larsen</t>
  </si>
  <si>
    <t>Wilson</t>
  </si>
  <si>
    <t>Odobert</t>
  </si>
  <si>
    <t>Levi</t>
  </si>
  <si>
    <t>Colwill</t>
  </si>
  <si>
    <t>Enzo</t>
  </si>
  <si>
    <t>Fernández</t>
  </si>
  <si>
    <t>Conor</t>
  </si>
  <si>
    <t>Gallagher</t>
  </si>
  <si>
    <t>Mykhailo</t>
  </si>
  <si>
    <t>Mudryk</t>
  </si>
  <si>
    <t>Nicolas</t>
  </si>
  <si>
    <t>Jackson</t>
  </si>
  <si>
    <t>N.Jackson</t>
  </si>
  <si>
    <t>Raheem</t>
  </si>
  <si>
    <t>Sterling</t>
  </si>
  <si>
    <t>Thiago</t>
  </si>
  <si>
    <t>Emiliano da Silva</t>
  </si>
  <si>
    <t>T.Silva</t>
  </si>
  <si>
    <t>Cole</t>
  </si>
  <si>
    <t>Palmer</t>
  </si>
  <si>
    <t>Axel</t>
  </si>
  <si>
    <t>Disasi</t>
  </si>
  <si>
    <t>Joachim</t>
  </si>
  <si>
    <t>Andersen</t>
  </si>
  <si>
    <t>Jordan</t>
  </si>
  <si>
    <t>Ayew</t>
  </si>
  <si>
    <t>J.Ayew</t>
  </si>
  <si>
    <t>Eberechi</t>
  </si>
  <si>
    <t>Eze</t>
  </si>
  <si>
    <t>Sam</t>
  </si>
  <si>
    <t>Johnstone</t>
  </si>
  <si>
    <t>Jefferson</t>
  </si>
  <si>
    <t>Lerma Solís</t>
  </si>
  <si>
    <t>Lerma</t>
  </si>
  <si>
    <t>Jean-Philippe</t>
  </si>
  <si>
    <t>Mateta</t>
  </si>
  <si>
    <t>Tyrick</t>
  </si>
  <si>
    <t>Mitchell</t>
  </si>
  <si>
    <t>Joel</t>
  </si>
  <si>
    <t>Ward</t>
  </si>
  <si>
    <t>Jarrad</t>
  </si>
  <si>
    <t>Branthwaite</t>
  </si>
  <si>
    <t>Calvert-Lewin</t>
  </si>
  <si>
    <t>James</t>
  </si>
  <si>
    <t>Garner</t>
  </si>
  <si>
    <t>Dwight</t>
  </si>
  <si>
    <t>McNeil</t>
  </si>
  <si>
    <t>Pickford</t>
  </si>
  <si>
    <t>Ashley</t>
  </si>
  <si>
    <t>Young</t>
  </si>
  <si>
    <t>Alex</t>
  </si>
  <si>
    <t>Iwobi</t>
  </si>
  <si>
    <t>Andreas</t>
  </si>
  <si>
    <t>Hoelgebaum Pereira</t>
  </si>
  <si>
    <t>Bobby</t>
  </si>
  <si>
    <t>De Cordova-Reid</t>
  </si>
  <si>
    <t>Bernd</t>
  </si>
  <si>
    <t>Leno</t>
  </si>
  <si>
    <t>João</t>
  </si>
  <si>
    <t>Palhinha Gonçalves</t>
  </si>
  <si>
    <t>J.Palhinha</t>
  </si>
  <si>
    <t>Antonee</t>
  </si>
  <si>
    <t>Robinson</t>
  </si>
  <si>
    <t>Harry</t>
  </si>
  <si>
    <t>Raúl</t>
  </si>
  <si>
    <t>Jiménez</t>
  </si>
  <si>
    <t>Calvin</t>
  </si>
  <si>
    <t>Bassey</t>
  </si>
  <si>
    <t>Timothy</t>
  </si>
  <si>
    <t>Castagne</t>
  </si>
  <si>
    <t>Trent</t>
  </si>
  <si>
    <t>Alexander-Arnold</t>
  </si>
  <si>
    <t>Alisson</t>
  </si>
  <si>
    <t>Ramses Becker</t>
  </si>
  <si>
    <t>A.Becker</t>
  </si>
  <si>
    <t>Darwin</t>
  </si>
  <si>
    <t>Núñez Ribeiro</t>
  </si>
  <si>
    <t>Diogo</t>
  </si>
  <si>
    <t>Teixeira da Silva</t>
  </si>
  <si>
    <t>Diogo J.</t>
  </si>
  <si>
    <t>Harvey</t>
  </si>
  <si>
    <t>Elliott</t>
  </si>
  <si>
    <t>Cody</t>
  </si>
  <si>
    <t>Gakpo</t>
  </si>
  <si>
    <t>Joe</t>
  </si>
  <si>
    <t>Gomez</t>
  </si>
  <si>
    <t>Ibrahima</t>
  </si>
  <si>
    <t>Konaté</t>
  </si>
  <si>
    <t>Luis</t>
  </si>
  <si>
    <t>Díaz</t>
  </si>
  <si>
    <t>Luis Díaz</t>
  </si>
  <si>
    <t>Alexis</t>
  </si>
  <si>
    <t>Mac Allister</t>
  </si>
  <si>
    <t>Mohamed</t>
  </si>
  <si>
    <t>Salah</t>
  </si>
  <si>
    <t>Dominik</t>
  </si>
  <si>
    <t>Szoboszlai</t>
  </si>
  <si>
    <t>Virgil</t>
  </si>
  <si>
    <t>van Dijk</t>
  </si>
  <si>
    <t>Elijah</t>
  </si>
  <si>
    <t>Adebayo</t>
  </si>
  <si>
    <t>Alfie</t>
  </si>
  <si>
    <t>Doughty</t>
  </si>
  <si>
    <t>Carlton</t>
  </si>
  <si>
    <t>Morris</t>
  </si>
  <si>
    <t>Chiedozie</t>
  </si>
  <si>
    <t>Ogbene</t>
  </si>
  <si>
    <t>Tahith</t>
  </si>
  <si>
    <t>Chong</t>
  </si>
  <si>
    <t>Ross</t>
  </si>
  <si>
    <t>Barkley</t>
  </si>
  <si>
    <t>Manuel</t>
  </si>
  <si>
    <t>Akanji</t>
  </si>
  <si>
    <t>Aké</t>
  </si>
  <si>
    <t>Julián</t>
  </si>
  <si>
    <t>Álvarez</t>
  </si>
  <si>
    <t>J.Alvarez</t>
  </si>
  <si>
    <t>Bernardo</t>
  </si>
  <si>
    <t>Veiga de Carvalho e Silva</t>
  </si>
  <si>
    <t>Rúben</t>
  </si>
  <si>
    <t>Gato Alves Dias</t>
  </si>
  <si>
    <t>Ederson</t>
  </si>
  <si>
    <t>Santana de Moraes</t>
  </si>
  <si>
    <t>Ederson M.</t>
  </si>
  <si>
    <t>Phil</t>
  </si>
  <si>
    <t>Foden</t>
  </si>
  <si>
    <t>Erling</t>
  </si>
  <si>
    <t>Haaland</t>
  </si>
  <si>
    <t>Rodrigo</t>
  </si>
  <si>
    <t>Hernandez</t>
  </si>
  <si>
    <t>Kyle</t>
  </si>
  <si>
    <t>Walker</t>
  </si>
  <si>
    <t>Bruno</t>
  </si>
  <si>
    <t>Borges Fernandes</t>
  </si>
  <si>
    <t>B.Fernandes</t>
  </si>
  <si>
    <t>Dalot Teixeira</t>
  </si>
  <si>
    <t>Dalot</t>
  </si>
  <si>
    <t>Alejandro</t>
  </si>
  <si>
    <t>Garnacho</t>
  </si>
  <si>
    <t>Victor</t>
  </si>
  <si>
    <t>Lindelöf</t>
  </si>
  <si>
    <t>Lindelof</t>
  </si>
  <si>
    <t>Rashford</t>
  </si>
  <si>
    <t>André</t>
  </si>
  <si>
    <t>Onana</t>
  </si>
  <si>
    <t>Rasmus</t>
  </si>
  <si>
    <t>Højlund</t>
  </si>
  <si>
    <t>Jonny</t>
  </si>
  <si>
    <t>Evans</t>
  </si>
  <si>
    <t>Guimarães Rodriguez Moura</t>
  </si>
  <si>
    <t>Bruno G.</t>
  </si>
  <si>
    <t>Dan</t>
  </si>
  <si>
    <t>Burn</t>
  </si>
  <si>
    <t>Anthony</t>
  </si>
  <si>
    <t>Gordon</t>
  </si>
  <si>
    <t>Alexander</t>
  </si>
  <si>
    <t>Isak</t>
  </si>
  <si>
    <t>Sean</t>
  </si>
  <si>
    <t>Longstaff</t>
  </si>
  <si>
    <t>Fabian</t>
  </si>
  <si>
    <t>Schär</t>
  </si>
  <si>
    <t>Kieran</t>
  </si>
  <si>
    <t>Trippier</t>
  </si>
  <si>
    <t>Callum</t>
  </si>
  <si>
    <t>Hudson-Odoi</t>
  </si>
  <si>
    <t>Morgan</t>
  </si>
  <si>
    <t>Gibbs-White</t>
  </si>
  <si>
    <t>Chris</t>
  </si>
  <si>
    <t>Wood</t>
  </si>
  <si>
    <t>Murillo</t>
  </si>
  <si>
    <t>Santiago Costa dos Santos</t>
  </si>
  <si>
    <t>Cameron</t>
  </si>
  <si>
    <t>Archer</t>
  </si>
  <si>
    <t>Gustavo</t>
  </si>
  <si>
    <t>Hamer</t>
  </si>
  <si>
    <t>Brennan</t>
  </si>
  <si>
    <t>Johnson</t>
  </si>
  <si>
    <t>Dejan</t>
  </si>
  <si>
    <t>Kulusevski</t>
  </si>
  <si>
    <t>Maddison</t>
  </si>
  <si>
    <t>Pedro</t>
  </si>
  <si>
    <t>Porro</t>
  </si>
  <si>
    <t>Pedro Porro</t>
  </si>
  <si>
    <t>Cristian</t>
  </si>
  <si>
    <t>Romero</t>
  </si>
  <si>
    <t>Pape Matar</t>
  </si>
  <si>
    <t>Sarr</t>
  </si>
  <si>
    <t>Son</t>
  </si>
  <si>
    <t>Heung-min</t>
  </si>
  <si>
    <t>Destiny</t>
  </si>
  <si>
    <t>Udogie</t>
  </si>
  <si>
    <t>Guglielmo</t>
  </si>
  <si>
    <t>Vicario</t>
  </si>
  <si>
    <t>Alphonse</t>
  </si>
  <si>
    <t>Areola</t>
  </si>
  <si>
    <t>Jarrod</t>
  </si>
  <si>
    <t>Bowen</t>
  </si>
  <si>
    <t>Vladimír</t>
  </si>
  <si>
    <t>Coufal</t>
  </si>
  <si>
    <t>Emerson</t>
  </si>
  <si>
    <t>Palmieri dos Santos</t>
  </si>
  <si>
    <t>Lucas</t>
  </si>
  <si>
    <t>Tolentino Coelho de Lima</t>
  </si>
  <si>
    <t>L.Paquetá</t>
  </si>
  <si>
    <t>Tomáš</t>
  </si>
  <si>
    <t>Souček</t>
  </si>
  <si>
    <t>Kurt</t>
  </si>
  <si>
    <t>Zouma</t>
  </si>
  <si>
    <t>Edson</t>
  </si>
  <si>
    <t>Álvarez Velázquez</t>
  </si>
  <si>
    <t>Ward-Prowse</t>
  </si>
  <si>
    <t>Mohammed</t>
  </si>
  <si>
    <t>Kudus</t>
  </si>
  <si>
    <t>Rayan</t>
  </si>
  <si>
    <t>Aït-Nouri</t>
  </si>
  <si>
    <t>Craig</t>
  </si>
  <si>
    <t>Dawson</t>
  </si>
  <si>
    <t>Hwang</t>
  </si>
  <si>
    <t>Hee-chan</t>
  </si>
  <si>
    <t>Hee Chan</t>
  </si>
  <si>
    <t>João Victor</t>
  </si>
  <si>
    <t>Gomes da Silva</t>
  </si>
  <si>
    <t>João Gomes</t>
  </si>
  <si>
    <t>Max</t>
  </si>
  <si>
    <t>Kilman</t>
  </si>
  <si>
    <t>Mario</t>
  </si>
  <si>
    <t>Lemina</t>
  </si>
  <si>
    <t>Mario Jr.</t>
  </si>
  <si>
    <t>José</t>
  </si>
  <si>
    <t>Malheiro de Sá</t>
  </si>
  <si>
    <t>José Sá</t>
  </si>
  <si>
    <t>Pablo</t>
  </si>
  <si>
    <t>Sarabia</t>
  </si>
  <si>
    <t>Toti António</t>
  </si>
  <si>
    <t>Gomes</t>
  </si>
  <si>
    <t>Toti</t>
  </si>
  <si>
    <t>Matheus</t>
  </si>
  <si>
    <t>Santos Carneiro Da Cunha</t>
  </si>
  <si>
    <t>Cunha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</si>
</sst>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J163" totalsRowShown="0">
  <autoFilter ref="A1:AJ163" xr:uid="{00000000-0009-0000-0100-000001000000}">
    <filterColumn colId="35">
      <filters>
        <filter val="1"/>
      </filters>
    </filterColumn>
  </autoFilter>
  <sortState xmlns:xlrd2="http://schemas.microsoft.com/office/spreadsheetml/2017/richdata2" ref="A6:AJ163">
    <sortCondition descending="1" ref="AH1:AH163"/>
  </sortState>
  <tableColumns count="36">
    <tableColumn id="1" xr3:uid="{00000000-0010-0000-0000-000001000000}" name="First Name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OU"/>
    <tableColumn id="13" xr3:uid="{00000000-0010-0000-0000-00000D000000}" name="BRE"/>
    <tableColumn id="14" xr3:uid="{00000000-0010-0000-0000-00000E000000}" name="BHA"/>
    <tableColumn id="15" xr3:uid="{00000000-0010-0000-0000-00000F000000}" name="BUR"/>
    <tableColumn id="16" xr3:uid="{00000000-0010-0000-0000-000010000000}" name="CHE"/>
    <tableColumn id="17" xr3:uid="{00000000-0010-0000-0000-000011000000}" name="CRY"/>
    <tableColumn id="18" xr3:uid="{00000000-0010-0000-0000-000012000000}" name="EVE"/>
    <tableColumn id="19" xr3:uid="{00000000-0010-0000-0000-000013000000}" name="FUL"/>
    <tableColumn id="20" xr3:uid="{00000000-0010-0000-0000-000014000000}" name="LIV"/>
    <tableColumn id="21" xr3:uid="{00000000-0010-0000-0000-000015000000}" name="LUT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HU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0" xr3:uid="{00000000-0010-0000-0000-00001E000000}" name="Cost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5" xr3:uid="{00000000-0010-0000-0000-000023000000}" name="NEXT"/>
    <tableColumn id="36" xr3:uid="{00000000-0010-0000-0000-000024000000}" name="Health"/>
    <tableColumn id="38" xr3:uid="{00000000-0010-0000-0000-000026000000}" name="Select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63"/>
  <sheetViews>
    <sheetView tabSelected="1" workbookViewId="0">
      <selection activeCell="AL158" sqref="AL158"/>
    </sheetView>
  </sheetViews>
  <sheetFormatPr baseColWidth="10" defaultColWidth="8.83203125" defaultRowHeight="15" x14ac:dyDescent="0.2"/>
  <cols>
    <col min="5" max="8" width="0" hidden="1" customWidth="1"/>
    <col min="10" max="29" width="0" hidden="1" customWidth="1"/>
    <col min="31" max="33" width="0" hidden="1" customWidth="1"/>
  </cols>
  <sheetData>
    <row r="1" spans="1:40" x14ac:dyDescent="0.2">
      <c r="A1" t="s">
        <v>28</v>
      </c>
      <c r="B1" t="s">
        <v>29</v>
      </c>
      <c r="C1" t="s">
        <v>30</v>
      </c>
      <c r="D1" t="s">
        <v>31</v>
      </c>
      <c r="E1" t="s">
        <v>3</v>
      </c>
      <c r="F1" t="s">
        <v>4</v>
      </c>
      <c r="G1" t="s">
        <v>5</v>
      </c>
      <c r="H1" t="s">
        <v>6</v>
      </c>
      <c r="I1" t="s">
        <v>32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7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</row>
    <row r="2" spans="1:40" hidden="1" x14ac:dyDescent="0.2">
      <c r="A2" t="s">
        <v>39</v>
      </c>
      <c r="B2" t="s">
        <v>40</v>
      </c>
      <c r="C2" t="s">
        <v>39</v>
      </c>
      <c r="D2" t="s">
        <v>4</v>
      </c>
      <c r="E2">
        <v>0</v>
      </c>
      <c r="F2">
        <v>1</v>
      </c>
      <c r="G2">
        <v>0</v>
      </c>
      <c r="H2">
        <v>0</v>
      </c>
      <c r="I2" t="s">
        <v>8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5.3</v>
      </c>
      <c r="AE2">
        <v>4</v>
      </c>
      <c r="AF2">
        <v>22.752293062975561</v>
      </c>
      <c r="AG2">
        <v>20.536904725159118</v>
      </c>
      <c r="AH2">
        <f>4.04640404948324*1</f>
        <v>4.0464040494832396</v>
      </c>
      <c r="AI2">
        <v>1</v>
      </c>
      <c r="AJ2">
        <v>0</v>
      </c>
      <c r="AL2" t="s">
        <v>0</v>
      </c>
      <c r="AM2">
        <f>SUMPRODUCT(Table1[Selected], Table1[NEXT])</f>
        <v>131.76100115799159</v>
      </c>
      <c r="AN2" t="s">
        <v>1</v>
      </c>
    </row>
    <row r="3" spans="1:40" hidden="1" x14ac:dyDescent="0.2">
      <c r="A3" t="s">
        <v>41</v>
      </c>
      <c r="B3" t="s">
        <v>42</v>
      </c>
      <c r="C3" t="s">
        <v>42</v>
      </c>
      <c r="D3" t="s">
        <v>5</v>
      </c>
      <c r="E3">
        <v>0</v>
      </c>
      <c r="F3">
        <v>0</v>
      </c>
      <c r="G3">
        <v>1</v>
      </c>
      <c r="H3">
        <v>0</v>
      </c>
      <c r="I3" t="s">
        <v>8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7.2</v>
      </c>
      <c r="AE3">
        <v>5</v>
      </c>
      <c r="AF3">
        <v>21.08279133848891</v>
      </c>
      <c r="AG3">
        <v>17.172527383514261</v>
      </c>
      <c r="AH3">
        <f>4.39695212906702*1</f>
        <v>4.3969521290670199</v>
      </c>
      <c r="AI3">
        <v>1</v>
      </c>
      <c r="AJ3">
        <v>0</v>
      </c>
    </row>
    <row r="4" spans="1:40" hidden="1" x14ac:dyDescent="0.2">
      <c r="A4" t="s">
        <v>39</v>
      </c>
      <c r="B4" t="s">
        <v>43</v>
      </c>
      <c r="C4" t="s">
        <v>44</v>
      </c>
      <c r="D4" t="s">
        <v>6</v>
      </c>
      <c r="E4">
        <v>0</v>
      </c>
      <c r="F4">
        <v>0</v>
      </c>
      <c r="G4">
        <v>0</v>
      </c>
      <c r="H4">
        <v>1</v>
      </c>
      <c r="I4" t="s">
        <v>8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7.7</v>
      </c>
      <c r="AE4">
        <v>6</v>
      </c>
      <c r="AF4">
        <v>24.07500000000001</v>
      </c>
      <c r="AG4">
        <v>24.378227125249801</v>
      </c>
      <c r="AH4">
        <f>5.54817786809597*1</f>
        <v>5.5481778680959701</v>
      </c>
      <c r="AI4">
        <v>1</v>
      </c>
      <c r="AJ4">
        <v>0</v>
      </c>
      <c r="AL4" t="s">
        <v>2</v>
      </c>
      <c r="AM4">
        <f>SUMPRODUCT(Table1[Selected],Table1[Cost])</f>
        <v>97.100000000000009</v>
      </c>
      <c r="AN4">
        <v>100</v>
      </c>
    </row>
    <row r="5" spans="1:40" hidden="1" x14ac:dyDescent="0.2">
      <c r="A5" t="s">
        <v>39</v>
      </c>
      <c r="B5" t="s">
        <v>45</v>
      </c>
      <c r="C5" t="s">
        <v>46</v>
      </c>
      <c r="D5" t="s">
        <v>5</v>
      </c>
      <c r="E5">
        <v>0</v>
      </c>
      <c r="F5">
        <v>0</v>
      </c>
      <c r="G5">
        <v>1</v>
      </c>
      <c r="H5">
        <v>0</v>
      </c>
      <c r="I5" t="s">
        <v>8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7.6</v>
      </c>
      <c r="AE5">
        <v>10</v>
      </c>
      <c r="AF5">
        <v>28.918032786885249</v>
      </c>
      <c r="AG5">
        <v>24.475861150035751</v>
      </c>
      <c r="AH5">
        <f>6.16169543486935*1</f>
        <v>6.1616954348693502</v>
      </c>
      <c r="AI5">
        <v>1</v>
      </c>
      <c r="AJ5">
        <v>0</v>
      </c>
    </row>
    <row r="6" spans="1:40" x14ac:dyDescent="0.2">
      <c r="A6" t="s">
        <v>162</v>
      </c>
      <c r="B6" t="s">
        <v>163</v>
      </c>
      <c r="C6" t="s">
        <v>163</v>
      </c>
      <c r="D6" t="s">
        <v>5</v>
      </c>
      <c r="E6">
        <v>0</v>
      </c>
      <c r="F6">
        <v>0</v>
      </c>
      <c r="G6">
        <v>1</v>
      </c>
      <c r="H6">
        <v>0</v>
      </c>
      <c r="I6" t="s">
        <v>14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6</v>
      </c>
      <c r="AE6">
        <v>282</v>
      </c>
      <c r="AF6">
        <v>61.659500193247723</v>
      </c>
      <c r="AG6">
        <v>19.687825750428491</v>
      </c>
      <c r="AH6">
        <f>14.5468459489404*1</f>
        <v>14.546845948940399</v>
      </c>
      <c r="AI6">
        <v>1</v>
      </c>
      <c r="AJ6">
        <v>1</v>
      </c>
      <c r="AL6" t="s">
        <v>3</v>
      </c>
      <c r="AM6">
        <f>SUMPRODUCT(Table1[Selected],Table1[GKP])</f>
        <v>2</v>
      </c>
      <c r="AN6">
        <v>2</v>
      </c>
    </row>
    <row r="7" spans="1:40" hidden="1" x14ac:dyDescent="0.2">
      <c r="A7" t="s">
        <v>49</v>
      </c>
      <c r="B7" t="s">
        <v>50</v>
      </c>
      <c r="C7" t="s">
        <v>50</v>
      </c>
      <c r="D7" t="s">
        <v>5</v>
      </c>
      <c r="E7">
        <v>0</v>
      </c>
      <c r="F7">
        <v>0</v>
      </c>
      <c r="G7">
        <v>1</v>
      </c>
      <c r="H7">
        <v>0</v>
      </c>
      <c r="I7" t="s">
        <v>8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9</v>
      </c>
      <c r="AE7">
        <v>17</v>
      </c>
      <c r="AF7">
        <v>37.101977648359203</v>
      </c>
      <c r="AG7">
        <v>22.364791452802478</v>
      </c>
      <c r="AH7">
        <f>6.93479048325668*1</f>
        <v>6.9347904832566796</v>
      </c>
      <c r="AI7">
        <v>1</v>
      </c>
      <c r="AJ7">
        <v>0</v>
      </c>
      <c r="AL7" t="s">
        <v>4</v>
      </c>
      <c r="AM7">
        <f>SUMPRODUCT(Table1[Selected],Table1[DEF])</f>
        <v>5</v>
      </c>
      <c r="AN7">
        <v>5</v>
      </c>
    </row>
    <row r="8" spans="1:40" x14ac:dyDescent="0.2">
      <c r="A8" t="s">
        <v>380</v>
      </c>
      <c r="B8" t="s">
        <v>381</v>
      </c>
      <c r="C8" t="s">
        <v>382</v>
      </c>
      <c r="D8" t="s">
        <v>6</v>
      </c>
      <c r="E8">
        <v>0</v>
      </c>
      <c r="F8">
        <v>0</v>
      </c>
      <c r="G8">
        <v>0</v>
      </c>
      <c r="H8">
        <v>1</v>
      </c>
      <c r="I8" t="s">
        <v>27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D8">
        <v>5.5</v>
      </c>
      <c r="AE8">
        <v>827</v>
      </c>
      <c r="AF8">
        <v>40.707790050588628</v>
      </c>
      <c r="AG8">
        <v>17.606178942615809</v>
      </c>
      <c r="AH8">
        <f>10.2560688357113*1</f>
        <v>10.2560688357113</v>
      </c>
      <c r="AI8">
        <v>1</v>
      </c>
      <c r="AJ8">
        <v>1</v>
      </c>
      <c r="AL8" t="s">
        <v>5</v>
      </c>
      <c r="AM8">
        <f>SUMPRODUCT(Table1[Selected],Table1[MID])</f>
        <v>5</v>
      </c>
      <c r="AN8">
        <v>5</v>
      </c>
    </row>
    <row r="9" spans="1:40" x14ac:dyDescent="0.2">
      <c r="A9" t="s">
        <v>53</v>
      </c>
      <c r="B9" t="s">
        <v>54</v>
      </c>
      <c r="C9" t="s">
        <v>54</v>
      </c>
      <c r="D9" t="s">
        <v>4</v>
      </c>
      <c r="E9">
        <v>0</v>
      </c>
      <c r="F9">
        <v>1</v>
      </c>
      <c r="G9">
        <v>0</v>
      </c>
      <c r="H9">
        <v>0</v>
      </c>
      <c r="I9" t="s">
        <v>8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5.9</v>
      </c>
      <c r="AE9">
        <v>23</v>
      </c>
      <c r="AF9">
        <v>28.83460699690264</v>
      </c>
      <c r="AG9">
        <v>23.756077207720011</v>
      </c>
      <c r="AH9">
        <f>7.08934180512041*1</f>
        <v>7.0893418051204096</v>
      </c>
      <c r="AI9">
        <v>1</v>
      </c>
      <c r="AJ9">
        <v>1</v>
      </c>
      <c r="AL9" t="s">
        <v>6</v>
      </c>
      <c r="AM9">
        <f>SUMPRODUCT(Table1[Selected],Table1[FWD])</f>
        <v>3</v>
      </c>
      <c r="AN9">
        <v>3</v>
      </c>
    </row>
    <row r="10" spans="1:40" hidden="1" x14ac:dyDescent="0.2">
      <c r="A10" t="s">
        <v>55</v>
      </c>
      <c r="B10" t="s">
        <v>56</v>
      </c>
      <c r="C10" t="s">
        <v>56</v>
      </c>
      <c r="D10" t="s">
        <v>4</v>
      </c>
      <c r="E10">
        <v>0</v>
      </c>
      <c r="F10">
        <v>1</v>
      </c>
      <c r="G10">
        <v>0</v>
      </c>
      <c r="H10">
        <v>0</v>
      </c>
      <c r="I10" t="s">
        <v>8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5</v>
      </c>
      <c r="AE10">
        <v>25</v>
      </c>
      <c r="AF10">
        <v>20.648648648648649</v>
      </c>
      <c r="AG10">
        <v>19.07046124340863</v>
      </c>
      <c r="AH10">
        <f>4.53559008031125*1</f>
        <v>4.5355900803112501</v>
      </c>
      <c r="AI10">
        <v>1</v>
      </c>
      <c r="AJ10">
        <v>0</v>
      </c>
    </row>
    <row r="11" spans="1:40" hidden="1" x14ac:dyDescent="0.2">
      <c r="A11" t="s">
        <v>268</v>
      </c>
      <c r="B11" t="s">
        <v>269</v>
      </c>
      <c r="C11" t="s">
        <v>269</v>
      </c>
      <c r="D11" t="s">
        <v>5</v>
      </c>
      <c r="E11">
        <v>0</v>
      </c>
      <c r="F11">
        <v>0</v>
      </c>
      <c r="G11">
        <v>1</v>
      </c>
      <c r="H11">
        <v>0</v>
      </c>
      <c r="I11" t="s">
        <v>20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8.1999999999999993</v>
      </c>
      <c r="AE11">
        <v>516</v>
      </c>
      <c r="AF11">
        <v>36.570918590440108</v>
      </c>
      <c r="AG11">
        <v>19.950893759875761</v>
      </c>
      <c r="AH11">
        <f>8.3261468999453*1</f>
        <v>8.3261468999453001</v>
      </c>
      <c r="AI11">
        <v>1</v>
      </c>
      <c r="AJ11">
        <v>0</v>
      </c>
      <c r="AL11" t="s">
        <v>8</v>
      </c>
      <c r="AM11">
        <f>SUMPRODUCT(Table1[Selected],Table1[ARS])</f>
        <v>1</v>
      </c>
      <c r="AN11">
        <v>5</v>
      </c>
    </row>
    <row r="12" spans="1:40" hidden="1" x14ac:dyDescent="0.2">
      <c r="A12" t="s">
        <v>60</v>
      </c>
      <c r="B12" t="s">
        <v>61</v>
      </c>
      <c r="C12" t="s">
        <v>61</v>
      </c>
      <c r="D12" t="s">
        <v>5</v>
      </c>
      <c r="E12">
        <v>0</v>
      </c>
      <c r="F12">
        <v>0</v>
      </c>
      <c r="G12">
        <v>1</v>
      </c>
      <c r="H12">
        <v>0</v>
      </c>
      <c r="I12" t="s">
        <v>8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5.5</v>
      </c>
      <c r="AE12">
        <v>27</v>
      </c>
      <c r="AF12">
        <v>23.905289904943519</v>
      </c>
      <c r="AG12">
        <v>15.50530949217416</v>
      </c>
      <c r="AH12">
        <f>5.05081140727187*1</f>
        <v>5.0508114072718699</v>
      </c>
      <c r="AI12">
        <v>1</v>
      </c>
      <c r="AJ12">
        <v>0</v>
      </c>
      <c r="AL12" t="s">
        <v>9</v>
      </c>
      <c r="AM12">
        <f>SUMPRODUCT(Table1[Selected],Table1[AVL])</f>
        <v>0</v>
      </c>
      <c r="AN12">
        <v>5</v>
      </c>
    </row>
    <row r="13" spans="1:40" hidden="1" x14ac:dyDescent="0.2">
      <c r="A13" t="s">
        <v>62</v>
      </c>
      <c r="B13" t="s">
        <v>63</v>
      </c>
      <c r="C13" t="s">
        <v>63</v>
      </c>
      <c r="D13" t="s">
        <v>5</v>
      </c>
      <c r="E13">
        <v>0</v>
      </c>
      <c r="F13">
        <v>0</v>
      </c>
      <c r="G13">
        <v>1</v>
      </c>
      <c r="H13">
        <v>0</v>
      </c>
      <c r="I13" t="s">
        <v>9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5.6</v>
      </c>
      <c r="AE13">
        <v>39</v>
      </c>
      <c r="AF13">
        <v>16.13924050632912</v>
      </c>
      <c r="AG13">
        <v>14.12714045403874</v>
      </c>
      <c r="AH13">
        <f>3.3685155890622*1</f>
        <v>3.3685155890621998</v>
      </c>
      <c r="AI13">
        <v>1</v>
      </c>
      <c r="AJ13">
        <v>0</v>
      </c>
      <c r="AL13" t="s">
        <v>10</v>
      </c>
      <c r="AM13">
        <f>SUMPRODUCT(Table1[Selected],Table1[BOU])</f>
        <v>1</v>
      </c>
      <c r="AN13">
        <v>5</v>
      </c>
    </row>
    <row r="14" spans="1:40" hidden="1" x14ac:dyDescent="0.2">
      <c r="A14" t="s">
        <v>64</v>
      </c>
      <c r="B14" t="s">
        <v>65</v>
      </c>
      <c r="C14" t="s">
        <v>64</v>
      </c>
      <c r="D14" t="s">
        <v>5</v>
      </c>
      <c r="E14">
        <v>0</v>
      </c>
      <c r="F14">
        <v>0</v>
      </c>
      <c r="G14">
        <v>1</v>
      </c>
      <c r="H14">
        <v>0</v>
      </c>
      <c r="I14" t="s">
        <v>9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5.6</v>
      </c>
      <c r="AE14">
        <v>48</v>
      </c>
      <c r="AF14">
        <v>22.76232423749591</v>
      </c>
      <c r="AG14">
        <v>12.666453956336101</v>
      </c>
      <c r="AH14">
        <f>5.08933329703561*1</f>
        <v>5.0893332970356102</v>
      </c>
      <c r="AI14">
        <v>1</v>
      </c>
      <c r="AJ14">
        <v>0</v>
      </c>
      <c r="AL14" t="s">
        <v>11</v>
      </c>
      <c r="AM14">
        <f>SUMPRODUCT(Table1[Selected],Table1[BRE])</f>
        <v>0</v>
      </c>
      <c r="AN14">
        <v>5</v>
      </c>
    </row>
    <row r="15" spans="1:40" hidden="1" x14ac:dyDescent="0.2">
      <c r="A15" t="s">
        <v>66</v>
      </c>
      <c r="B15" t="s">
        <v>67</v>
      </c>
      <c r="C15" t="s">
        <v>68</v>
      </c>
      <c r="D15" t="s">
        <v>4</v>
      </c>
      <c r="E15">
        <v>0</v>
      </c>
      <c r="F15">
        <v>1</v>
      </c>
      <c r="G15">
        <v>0</v>
      </c>
      <c r="H15">
        <v>0</v>
      </c>
      <c r="I15" t="s">
        <v>9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4.5</v>
      </c>
      <c r="AE15">
        <v>53</v>
      </c>
      <c r="AF15">
        <v>14.23333333333334</v>
      </c>
      <c r="AG15">
        <v>15.37975266920064</v>
      </c>
      <c r="AH15">
        <f>3.0087154733441*1</f>
        <v>3.0087154733440999</v>
      </c>
      <c r="AI15">
        <v>1</v>
      </c>
      <c r="AJ15">
        <v>0</v>
      </c>
      <c r="AL15" t="s">
        <v>12</v>
      </c>
      <c r="AM15">
        <f>SUMPRODUCT(Table1[Selected],Table1[BHA])</f>
        <v>1</v>
      </c>
      <c r="AN15">
        <v>5</v>
      </c>
    </row>
    <row r="16" spans="1:40" hidden="1" x14ac:dyDescent="0.2">
      <c r="A16" t="s">
        <v>69</v>
      </c>
      <c r="B16" t="s">
        <v>70</v>
      </c>
      <c r="C16" t="s">
        <v>71</v>
      </c>
      <c r="D16" t="s">
        <v>3</v>
      </c>
      <c r="E16">
        <v>1</v>
      </c>
      <c r="F16">
        <v>0</v>
      </c>
      <c r="G16">
        <v>0</v>
      </c>
      <c r="H16">
        <v>0</v>
      </c>
      <c r="I16" t="s">
        <v>9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5.3</v>
      </c>
      <c r="AE16">
        <v>54</v>
      </c>
      <c r="AF16">
        <v>17.578125</v>
      </c>
      <c r="AG16">
        <v>18.323102900452739</v>
      </c>
      <c r="AH16">
        <f>3.69663895492311*1</f>
        <v>3.69663895492311</v>
      </c>
      <c r="AI16">
        <v>1</v>
      </c>
      <c r="AJ16">
        <v>0</v>
      </c>
      <c r="AL16" t="s">
        <v>13</v>
      </c>
      <c r="AM16">
        <f>SUMPRODUCT(Table1[Selected],Table1[BUR])</f>
        <v>0</v>
      </c>
      <c r="AN16">
        <v>5</v>
      </c>
    </row>
    <row r="17" spans="1:40" hidden="1" x14ac:dyDescent="0.2">
      <c r="A17" t="s">
        <v>72</v>
      </c>
      <c r="B17" t="s">
        <v>73</v>
      </c>
      <c r="C17" t="s">
        <v>73</v>
      </c>
      <c r="D17" t="s">
        <v>5</v>
      </c>
      <c r="E17">
        <v>0</v>
      </c>
      <c r="F17">
        <v>0</v>
      </c>
      <c r="G17">
        <v>1</v>
      </c>
      <c r="H17">
        <v>0</v>
      </c>
      <c r="I17" t="s">
        <v>9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5.3</v>
      </c>
      <c r="AE17">
        <v>55</v>
      </c>
      <c r="AF17">
        <v>15.22580645161289</v>
      </c>
      <c r="AG17">
        <v>12.93600611895204</v>
      </c>
      <c r="AH17">
        <f>3.17204204127185*1</f>
        <v>3.1720420412718502</v>
      </c>
      <c r="AI17">
        <v>1</v>
      </c>
      <c r="AJ17">
        <v>0</v>
      </c>
      <c r="AL17" t="s">
        <v>14</v>
      </c>
      <c r="AM17">
        <f>SUMPRODUCT(Table1[Selected],Table1[CHE])</f>
        <v>1</v>
      </c>
      <c r="AN17">
        <v>5</v>
      </c>
    </row>
    <row r="18" spans="1:40" hidden="1" x14ac:dyDescent="0.2">
      <c r="A18" t="s">
        <v>47</v>
      </c>
      <c r="B18" t="s">
        <v>48</v>
      </c>
      <c r="C18" t="s">
        <v>48</v>
      </c>
      <c r="D18" t="s">
        <v>5</v>
      </c>
      <c r="E18">
        <v>0</v>
      </c>
      <c r="F18">
        <v>0</v>
      </c>
      <c r="G18">
        <v>1</v>
      </c>
      <c r="H18">
        <v>0</v>
      </c>
      <c r="I18" t="s">
        <v>8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8.5</v>
      </c>
      <c r="AE18">
        <v>12</v>
      </c>
      <c r="AF18">
        <v>32.61260391658768</v>
      </c>
      <c r="AG18">
        <v>26.662827952870469</v>
      </c>
      <c r="AH18">
        <f>6.87056651550943*1</f>
        <v>6.87056651550943</v>
      </c>
      <c r="AI18">
        <v>1</v>
      </c>
      <c r="AJ18">
        <v>0</v>
      </c>
      <c r="AL18" t="s">
        <v>15</v>
      </c>
      <c r="AM18">
        <f>SUMPRODUCT(Table1[Selected],Table1[CRY])</f>
        <v>0</v>
      </c>
      <c r="AN18">
        <v>5</v>
      </c>
    </row>
    <row r="19" spans="1:40" hidden="1" x14ac:dyDescent="0.2">
      <c r="A19" t="s">
        <v>76</v>
      </c>
      <c r="B19" t="s">
        <v>77</v>
      </c>
      <c r="C19" t="s">
        <v>76</v>
      </c>
      <c r="D19" t="s">
        <v>4</v>
      </c>
      <c r="E19">
        <v>0</v>
      </c>
      <c r="F19">
        <v>1</v>
      </c>
      <c r="G19">
        <v>0</v>
      </c>
      <c r="H19">
        <v>0</v>
      </c>
      <c r="I19" t="s">
        <v>9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4.5999999999999996</v>
      </c>
      <c r="AE19">
        <v>66</v>
      </c>
      <c r="AF19">
        <v>15.65217391304348</v>
      </c>
      <c r="AG19">
        <v>11.760498245520919</v>
      </c>
      <c r="AH19">
        <f>3.27662042022661*1</f>
        <v>3.2766204202266098</v>
      </c>
      <c r="AI19">
        <v>1</v>
      </c>
      <c r="AJ19">
        <v>0</v>
      </c>
      <c r="AL19" t="s">
        <v>16</v>
      </c>
      <c r="AM19">
        <f>SUMPRODUCT(Table1[Selected],Table1[EVE])</f>
        <v>0</v>
      </c>
      <c r="AN19">
        <v>5</v>
      </c>
    </row>
    <row r="20" spans="1:40" hidden="1" x14ac:dyDescent="0.2">
      <c r="A20" t="s">
        <v>78</v>
      </c>
      <c r="B20" t="s">
        <v>79</v>
      </c>
      <c r="C20" t="s">
        <v>79</v>
      </c>
      <c r="D20" t="s">
        <v>5</v>
      </c>
      <c r="E20">
        <v>0</v>
      </c>
      <c r="F20">
        <v>0</v>
      </c>
      <c r="G20">
        <v>1</v>
      </c>
      <c r="H20">
        <v>0</v>
      </c>
      <c r="I20" t="s">
        <v>9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6.3</v>
      </c>
      <c r="AE20">
        <v>67</v>
      </c>
      <c r="AF20">
        <v>19.032258064516121</v>
      </c>
      <c r="AG20">
        <v>21.605571653727331</v>
      </c>
      <c r="AH20">
        <f>4.02796557450751*1</f>
        <v>4.02796557450751</v>
      </c>
      <c r="AI20">
        <v>1</v>
      </c>
      <c r="AJ20">
        <v>0</v>
      </c>
      <c r="AL20" t="s">
        <v>17</v>
      </c>
      <c r="AM20">
        <f>SUMPRODUCT(Table1[Selected],Table1[FUL])</f>
        <v>0</v>
      </c>
      <c r="AN20">
        <v>5</v>
      </c>
    </row>
    <row r="21" spans="1:40" hidden="1" x14ac:dyDescent="0.2">
      <c r="A21" t="s">
        <v>80</v>
      </c>
      <c r="B21" t="s">
        <v>81</v>
      </c>
      <c r="C21" t="s">
        <v>81</v>
      </c>
      <c r="D21" t="s">
        <v>5</v>
      </c>
      <c r="E21">
        <v>0</v>
      </c>
      <c r="F21">
        <v>0</v>
      </c>
      <c r="G21">
        <v>1</v>
      </c>
      <c r="H21">
        <v>0</v>
      </c>
      <c r="I21" t="s">
        <v>10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5</v>
      </c>
      <c r="AE21">
        <v>82</v>
      </c>
      <c r="AF21">
        <v>12.711864406779659</v>
      </c>
      <c r="AG21">
        <v>14.44490688070864</v>
      </c>
      <c r="AH21">
        <f>3.09977584454506*1</f>
        <v>3.0997758445450598</v>
      </c>
      <c r="AI21">
        <v>1</v>
      </c>
      <c r="AJ21">
        <v>0</v>
      </c>
      <c r="AL21" t="s">
        <v>18</v>
      </c>
      <c r="AM21">
        <f>SUMPRODUCT(Table1[Selected],Table1[LIV])</f>
        <v>5</v>
      </c>
      <c r="AN21">
        <v>5</v>
      </c>
    </row>
    <row r="22" spans="1:40" hidden="1" x14ac:dyDescent="0.2">
      <c r="A22" t="s">
        <v>82</v>
      </c>
      <c r="B22" t="s">
        <v>83</v>
      </c>
      <c r="C22" t="s">
        <v>84</v>
      </c>
      <c r="D22" t="s">
        <v>5</v>
      </c>
      <c r="E22">
        <v>0</v>
      </c>
      <c r="F22">
        <v>0</v>
      </c>
      <c r="G22">
        <v>1</v>
      </c>
      <c r="H22">
        <v>0</v>
      </c>
      <c r="I22" t="s">
        <v>10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5</v>
      </c>
      <c r="AE22">
        <v>83</v>
      </c>
      <c r="AF22">
        <v>11.15217391304348</v>
      </c>
      <c r="AG22">
        <v>8.7601381134279492</v>
      </c>
      <c r="AH22">
        <f>2.01824543438642*1</f>
        <v>2.01824543438642</v>
      </c>
      <c r="AI22">
        <v>1</v>
      </c>
      <c r="AJ22">
        <v>0</v>
      </c>
      <c r="AL22" t="s">
        <v>19</v>
      </c>
      <c r="AM22">
        <f>SUMPRODUCT(Table1[Selected],Table1[LUT])</f>
        <v>0</v>
      </c>
      <c r="AN22">
        <v>5</v>
      </c>
    </row>
    <row r="23" spans="1:40" hidden="1" x14ac:dyDescent="0.2">
      <c r="A23" t="s">
        <v>85</v>
      </c>
      <c r="B23" t="s">
        <v>86</v>
      </c>
      <c r="C23" t="s">
        <v>86</v>
      </c>
      <c r="D23" t="s">
        <v>5</v>
      </c>
      <c r="E23">
        <v>0</v>
      </c>
      <c r="F23">
        <v>0</v>
      </c>
      <c r="G23">
        <v>1</v>
      </c>
      <c r="H23">
        <v>0</v>
      </c>
      <c r="I23" t="s">
        <v>10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4.5999999999999996</v>
      </c>
      <c r="AE23">
        <v>89</v>
      </c>
      <c r="AF23">
        <v>17.25</v>
      </c>
      <c r="AG23">
        <v>18.16740074223366</v>
      </c>
      <c r="AH23">
        <f>4.58329805630458*1</f>
        <v>4.5832980563045798</v>
      </c>
      <c r="AI23">
        <v>1</v>
      </c>
      <c r="AJ23">
        <v>0</v>
      </c>
      <c r="AL23" t="s">
        <v>20</v>
      </c>
      <c r="AM23">
        <f>SUMPRODUCT(Table1[Selected],Table1[MCI])</f>
        <v>0</v>
      </c>
      <c r="AN23">
        <v>5</v>
      </c>
    </row>
    <row r="24" spans="1:40" x14ac:dyDescent="0.2">
      <c r="A24" t="s">
        <v>87</v>
      </c>
      <c r="B24" t="s">
        <v>88</v>
      </c>
      <c r="C24" t="s">
        <v>89</v>
      </c>
      <c r="D24" t="s">
        <v>3</v>
      </c>
      <c r="E24">
        <v>1</v>
      </c>
      <c r="F24">
        <v>0</v>
      </c>
      <c r="G24">
        <v>0</v>
      </c>
      <c r="H24">
        <v>0</v>
      </c>
      <c r="I24" t="s">
        <v>10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4.7</v>
      </c>
      <c r="AE24">
        <v>94</v>
      </c>
      <c r="AF24">
        <v>20.353203598357709</v>
      </c>
      <c r="AG24">
        <v>24.871198752557561</v>
      </c>
      <c r="AH24">
        <f>6.81500099906299*1</f>
        <v>6.8150009990629901</v>
      </c>
      <c r="AI24">
        <v>1</v>
      </c>
      <c r="AJ24">
        <v>1</v>
      </c>
      <c r="AL24" t="s">
        <v>21</v>
      </c>
      <c r="AM24">
        <f>SUMPRODUCT(Table1[Selected],Table1[MUN])</f>
        <v>5</v>
      </c>
      <c r="AN24">
        <v>5</v>
      </c>
    </row>
    <row r="25" spans="1:40" hidden="1" x14ac:dyDescent="0.2">
      <c r="A25" t="s">
        <v>90</v>
      </c>
      <c r="B25" t="s">
        <v>91</v>
      </c>
      <c r="C25" t="s">
        <v>91</v>
      </c>
      <c r="D25" t="s">
        <v>6</v>
      </c>
      <c r="E25">
        <v>0</v>
      </c>
      <c r="F25">
        <v>0</v>
      </c>
      <c r="G25">
        <v>0</v>
      </c>
      <c r="H25">
        <v>1</v>
      </c>
      <c r="I25" t="s">
        <v>10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4.5</v>
      </c>
      <c r="AE25">
        <v>99</v>
      </c>
      <c r="AF25">
        <v>17.657142857142851</v>
      </c>
      <c r="AG25">
        <v>15.03092645770943</v>
      </c>
      <c r="AH25">
        <f>4.02085344890851*1</f>
        <v>4.0208534489085102</v>
      </c>
      <c r="AI25">
        <v>1</v>
      </c>
      <c r="AJ25">
        <v>0</v>
      </c>
      <c r="AL25" t="s">
        <v>22</v>
      </c>
      <c r="AM25">
        <f>SUMPRODUCT(Table1[Selected],Table1[NEW])</f>
        <v>0</v>
      </c>
      <c r="AN25">
        <v>5</v>
      </c>
    </row>
    <row r="26" spans="1:40" hidden="1" x14ac:dyDescent="0.2">
      <c r="A26" t="s">
        <v>92</v>
      </c>
      <c r="B26" t="s">
        <v>93</v>
      </c>
      <c r="C26" t="s">
        <v>93</v>
      </c>
      <c r="D26" t="s">
        <v>4</v>
      </c>
      <c r="E26">
        <v>0</v>
      </c>
      <c r="F26">
        <v>1</v>
      </c>
      <c r="G26">
        <v>0</v>
      </c>
      <c r="H26">
        <v>0</v>
      </c>
      <c r="I26" t="s">
        <v>10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4.4000000000000004</v>
      </c>
      <c r="AE26">
        <v>100</v>
      </c>
      <c r="AF26">
        <v>14.756950684106149</v>
      </c>
      <c r="AG26">
        <v>11.28632577717346</v>
      </c>
      <c r="AH26">
        <f>2.45730660813026*1</f>
        <v>2.4573066081302599</v>
      </c>
      <c r="AI26">
        <v>1</v>
      </c>
      <c r="AJ26">
        <v>0</v>
      </c>
      <c r="AL26" t="s">
        <v>23</v>
      </c>
      <c r="AM26">
        <f>SUMPRODUCT(Table1[Selected],Table1[NFO])</f>
        <v>0</v>
      </c>
      <c r="AN26">
        <v>5</v>
      </c>
    </row>
    <row r="27" spans="1:40" hidden="1" x14ac:dyDescent="0.2">
      <c r="A27" t="s">
        <v>94</v>
      </c>
      <c r="B27" t="s">
        <v>95</v>
      </c>
      <c r="C27" t="s">
        <v>95</v>
      </c>
      <c r="D27" t="s">
        <v>4</v>
      </c>
      <c r="E27">
        <v>0</v>
      </c>
      <c r="F27">
        <v>1</v>
      </c>
      <c r="G27">
        <v>0</v>
      </c>
      <c r="H27">
        <v>0</v>
      </c>
      <c r="I27" t="s">
        <v>10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4.4000000000000004</v>
      </c>
      <c r="AE27">
        <v>101</v>
      </c>
      <c r="AF27">
        <v>14.28571428571429</v>
      </c>
      <c r="AG27">
        <v>12.84800763621333</v>
      </c>
      <c r="AH27">
        <f>3.17385518593399*1</f>
        <v>3.1738551859339901</v>
      </c>
      <c r="AI27">
        <v>1</v>
      </c>
      <c r="AJ27">
        <v>0</v>
      </c>
      <c r="AL27" t="s">
        <v>24</v>
      </c>
      <c r="AM27">
        <f>SUMPRODUCT(Table1[Selected],Table1[SHU])</f>
        <v>0</v>
      </c>
      <c r="AN27">
        <v>5</v>
      </c>
    </row>
    <row r="28" spans="1:40" hidden="1" x14ac:dyDescent="0.2">
      <c r="A28" t="s">
        <v>96</v>
      </c>
      <c r="B28" t="s">
        <v>97</v>
      </c>
      <c r="C28" t="s">
        <v>97</v>
      </c>
      <c r="D28" t="s">
        <v>6</v>
      </c>
      <c r="E28">
        <v>0</v>
      </c>
      <c r="F28">
        <v>0</v>
      </c>
      <c r="G28">
        <v>0</v>
      </c>
      <c r="H28">
        <v>1</v>
      </c>
      <c r="I28" t="s">
        <v>10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7.2</v>
      </c>
      <c r="AE28">
        <v>102</v>
      </c>
      <c r="AF28">
        <v>31.554359769726641</v>
      </c>
      <c r="AG28">
        <v>17.0925884984186</v>
      </c>
      <c r="AH28">
        <f>4.77974472968597*1</f>
        <v>4.7797447296859703</v>
      </c>
      <c r="AI28">
        <v>1</v>
      </c>
      <c r="AJ28">
        <v>0</v>
      </c>
      <c r="AL28" t="s">
        <v>25</v>
      </c>
      <c r="AM28">
        <f>SUMPRODUCT(Table1[Selected],Table1[TOT])</f>
        <v>0</v>
      </c>
      <c r="AN28">
        <v>5</v>
      </c>
    </row>
    <row r="29" spans="1:40" hidden="1" x14ac:dyDescent="0.2">
      <c r="A29" t="s">
        <v>98</v>
      </c>
      <c r="B29" t="s">
        <v>99</v>
      </c>
      <c r="C29" t="s">
        <v>99</v>
      </c>
      <c r="D29" t="s">
        <v>5</v>
      </c>
      <c r="E29">
        <v>0</v>
      </c>
      <c r="F29">
        <v>0</v>
      </c>
      <c r="G29">
        <v>1</v>
      </c>
      <c r="H29">
        <v>0</v>
      </c>
      <c r="I29" t="s">
        <v>10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5.3</v>
      </c>
      <c r="AE29">
        <v>103</v>
      </c>
      <c r="AF29">
        <v>20.53482880568172</v>
      </c>
      <c r="AG29">
        <v>21.087218221846079</v>
      </c>
      <c r="AH29">
        <f>4.55342306232829*1</f>
        <v>4.5534230623282896</v>
      </c>
      <c r="AI29">
        <v>1</v>
      </c>
      <c r="AJ29">
        <v>0</v>
      </c>
      <c r="AL29" t="s">
        <v>26</v>
      </c>
      <c r="AM29">
        <f>SUMPRODUCT(Table1[Selected],Table1[WHU])</f>
        <v>0</v>
      </c>
      <c r="AN29">
        <v>5</v>
      </c>
    </row>
    <row r="30" spans="1:40" hidden="1" x14ac:dyDescent="0.2">
      <c r="A30" t="s">
        <v>100</v>
      </c>
      <c r="B30" t="s">
        <v>101</v>
      </c>
      <c r="C30" t="s">
        <v>101</v>
      </c>
      <c r="D30" t="s">
        <v>4</v>
      </c>
      <c r="E30">
        <v>0</v>
      </c>
      <c r="F30">
        <v>1</v>
      </c>
      <c r="G30">
        <v>0</v>
      </c>
      <c r="H30">
        <v>0</v>
      </c>
      <c r="I30" t="s">
        <v>10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4.5</v>
      </c>
      <c r="AE30">
        <v>106</v>
      </c>
      <c r="AF30">
        <v>13.76470588235294</v>
      </c>
      <c r="AG30">
        <v>11.35937307899289</v>
      </c>
      <c r="AH30">
        <f>3.61016547310553*1</f>
        <v>3.6101654731055302</v>
      </c>
      <c r="AI30">
        <v>1</v>
      </c>
      <c r="AJ30">
        <v>0</v>
      </c>
      <c r="AL30" t="s">
        <v>27</v>
      </c>
      <c r="AM30">
        <f>SUMPRODUCT(Table1[Selected],Table1[WOL])</f>
        <v>1</v>
      </c>
      <c r="AN30">
        <v>5</v>
      </c>
    </row>
    <row r="31" spans="1:40" hidden="1" x14ac:dyDescent="0.2">
      <c r="A31" t="s">
        <v>102</v>
      </c>
      <c r="B31" t="s">
        <v>103</v>
      </c>
      <c r="C31" t="s">
        <v>103</v>
      </c>
      <c r="D31" t="s">
        <v>4</v>
      </c>
      <c r="E31">
        <v>0</v>
      </c>
      <c r="F31">
        <v>1</v>
      </c>
      <c r="G31">
        <v>0</v>
      </c>
      <c r="H31">
        <v>0</v>
      </c>
      <c r="I31" t="s">
        <v>10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4.4000000000000004</v>
      </c>
      <c r="AE31">
        <v>107</v>
      </c>
      <c r="AF31">
        <v>12.78260869565217</v>
      </c>
      <c r="AG31">
        <v>10.359171425877991</v>
      </c>
      <c r="AH31">
        <f>2.20700935598809*1</f>
        <v>2.2070093559880899</v>
      </c>
      <c r="AI31">
        <v>1</v>
      </c>
      <c r="AJ31">
        <v>0</v>
      </c>
    </row>
    <row r="32" spans="1:40" hidden="1" x14ac:dyDescent="0.2">
      <c r="A32" t="s">
        <v>104</v>
      </c>
      <c r="B32" t="s">
        <v>105</v>
      </c>
      <c r="C32" t="s">
        <v>105</v>
      </c>
      <c r="D32" t="s">
        <v>4</v>
      </c>
      <c r="E32">
        <v>0</v>
      </c>
      <c r="F32">
        <v>1</v>
      </c>
      <c r="G32">
        <v>0</v>
      </c>
      <c r="H32">
        <v>0</v>
      </c>
      <c r="I32" t="s">
        <v>11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4.4000000000000004</v>
      </c>
      <c r="AE32">
        <v>118</v>
      </c>
      <c r="AF32">
        <v>14.72727272727272</v>
      </c>
      <c r="AG32">
        <v>18.038285305269071</v>
      </c>
      <c r="AH32">
        <f>3.31451211236727*1</f>
        <v>3.3145121123672698</v>
      </c>
      <c r="AI32">
        <v>1</v>
      </c>
      <c r="AJ32">
        <v>0</v>
      </c>
    </row>
    <row r="33" spans="1:36" hidden="1" x14ac:dyDescent="0.2">
      <c r="A33" t="s">
        <v>106</v>
      </c>
      <c r="B33" t="s">
        <v>107</v>
      </c>
      <c r="C33" t="s">
        <v>107</v>
      </c>
      <c r="D33" t="s">
        <v>4</v>
      </c>
      <c r="E33">
        <v>0</v>
      </c>
      <c r="F33">
        <v>1</v>
      </c>
      <c r="G33">
        <v>0</v>
      </c>
      <c r="H33">
        <v>0</v>
      </c>
      <c r="I33" t="s">
        <v>11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4.5</v>
      </c>
      <c r="AE33">
        <v>124</v>
      </c>
      <c r="AF33">
        <v>11.88405797101449</v>
      </c>
      <c r="AG33">
        <v>12.919516815980771</v>
      </c>
      <c r="AH33">
        <f>2.67461972209275*1</f>
        <v>2.6746197220927499</v>
      </c>
      <c r="AI33">
        <v>1</v>
      </c>
      <c r="AJ33">
        <v>0</v>
      </c>
    </row>
    <row r="34" spans="1:36" hidden="1" x14ac:dyDescent="0.2">
      <c r="A34" t="s">
        <v>108</v>
      </c>
      <c r="B34" t="s">
        <v>109</v>
      </c>
      <c r="C34" t="s">
        <v>109</v>
      </c>
      <c r="D34" t="s">
        <v>3</v>
      </c>
      <c r="E34">
        <v>1</v>
      </c>
      <c r="F34">
        <v>0</v>
      </c>
      <c r="G34">
        <v>0</v>
      </c>
      <c r="H34">
        <v>0</v>
      </c>
      <c r="I34" t="s">
        <v>11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4.5999999999999996</v>
      </c>
      <c r="AE34">
        <v>129</v>
      </c>
      <c r="AF34">
        <v>15.86206896551723</v>
      </c>
      <c r="AG34">
        <v>12.83742179672233</v>
      </c>
      <c r="AH34">
        <f>3.56990874597241*1</f>
        <v>3.5699087459724099</v>
      </c>
      <c r="AI34">
        <v>1</v>
      </c>
      <c r="AJ34">
        <v>0</v>
      </c>
    </row>
    <row r="35" spans="1:36" hidden="1" x14ac:dyDescent="0.2">
      <c r="A35" t="s">
        <v>110</v>
      </c>
      <c r="B35" t="s">
        <v>111</v>
      </c>
      <c r="C35" t="s">
        <v>111</v>
      </c>
      <c r="D35" t="s">
        <v>5</v>
      </c>
      <c r="E35">
        <v>0</v>
      </c>
      <c r="F35">
        <v>0</v>
      </c>
      <c r="G35">
        <v>1</v>
      </c>
      <c r="H35">
        <v>0</v>
      </c>
      <c r="I35" t="s">
        <v>11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5.3</v>
      </c>
      <c r="AE35">
        <v>134</v>
      </c>
      <c r="AF35">
        <v>15.015727493577179</v>
      </c>
      <c r="AG35">
        <v>15.470646129437849</v>
      </c>
      <c r="AH35">
        <f>3.59552531620556*1</f>
        <v>3.5955253162055598</v>
      </c>
      <c r="AI35">
        <v>1</v>
      </c>
      <c r="AJ35">
        <v>0</v>
      </c>
    </row>
    <row r="36" spans="1:36" hidden="1" x14ac:dyDescent="0.2">
      <c r="A36" t="s">
        <v>112</v>
      </c>
      <c r="B36" t="s">
        <v>113</v>
      </c>
      <c r="C36" t="s">
        <v>113</v>
      </c>
      <c r="D36" t="s">
        <v>5</v>
      </c>
      <c r="E36">
        <v>0</v>
      </c>
      <c r="F36">
        <v>0</v>
      </c>
      <c r="G36">
        <v>1</v>
      </c>
      <c r="H36">
        <v>0</v>
      </c>
      <c r="I36" t="s">
        <v>11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4.7</v>
      </c>
      <c r="AE36">
        <v>135</v>
      </c>
      <c r="AF36">
        <v>10.45454545454545</v>
      </c>
      <c r="AG36">
        <v>12.3619850880005</v>
      </c>
      <c r="AH36">
        <f>2.35289440075454*1</f>
        <v>2.3528944007545398</v>
      </c>
      <c r="AI36">
        <v>1</v>
      </c>
      <c r="AJ36">
        <v>0</v>
      </c>
    </row>
    <row r="37" spans="1:36" hidden="1" x14ac:dyDescent="0.2">
      <c r="A37" t="s">
        <v>114</v>
      </c>
      <c r="B37" t="s">
        <v>115</v>
      </c>
      <c r="C37" t="s">
        <v>115</v>
      </c>
      <c r="D37" t="s">
        <v>5</v>
      </c>
      <c r="E37">
        <v>0</v>
      </c>
      <c r="F37">
        <v>0</v>
      </c>
      <c r="G37">
        <v>1</v>
      </c>
      <c r="H37">
        <v>0</v>
      </c>
      <c r="I37" t="s">
        <v>11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5.2</v>
      </c>
      <c r="AE37">
        <v>138</v>
      </c>
      <c r="AF37">
        <v>14.48717948717948</v>
      </c>
      <c r="AG37">
        <v>17.89753145868459</v>
      </c>
      <c r="AH37">
        <f>3.26047685634102*1</f>
        <v>3.26047685634102</v>
      </c>
      <c r="AI37">
        <v>1</v>
      </c>
      <c r="AJ37">
        <v>0</v>
      </c>
    </row>
    <row r="38" spans="1:36" hidden="1" x14ac:dyDescent="0.2">
      <c r="A38" t="s">
        <v>116</v>
      </c>
      <c r="B38" t="s">
        <v>117</v>
      </c>
      <c r="C38" t="s">
        <v>117</v>
      </c>
      <c r="D38" t="s">
        <v>4</v>
      </c>
      <c r="E38">
        <v>0</v>
      </c>
      <c r="F38">
        <v>1</v>
      </c>
      <c r="G38">
        <v>0</v>
      </c>
      <c r="H38">
        <v>0</v>
      </c>
      <c r="I38" t="s">
        <v>11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4.5</v>
      </c>
      <c r="AE38">
        <v>140</v>
      </c>
      <c r="AF38">
        <v>15.370370370370379</v>
      </c>
      <c r="AG38">
        <v>15.59344893482468</v>
      </c>
      <c r="AH38">
        <f>3.45924732349259*1</f>
        <v>3.45924732349259</v>
      </c>
      <c r="AI38">
        <v>1</v>
      </c>
      <c r="AJ38">
        <v>0</v>
      </c>
    </row>
    <row r="39" spans="1:36" hidden="1" x14ac:dyDescent="0.2">
      <c r="A39" t="s">
        <v>118</v>
      </c>
      <c r="B39" t="s">
        <v>119</v>
      </c>
      <c r="C39" t="s">
        <v>120</v>
      </c>
      <c r="D39" t="s">
        <v>4</v>
      </c>
      <c r="E39">
        <v>0</v>
      </c>
      <c r="F39">
        <v>1</v>
      </c>
      <c r="G39">
        <v>0</v>
      </c>
      <c r="H39">
        <v>0</v>
      </c>
      <c r="I39" t="s">
        <v>11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4.4000000000000004</v>
      </c>
      <c r="AE39">
        <v>141</v>
      </c>
      <c r="AF39">
        <v>8.8902039445582233</v>
      </c>
      <c r="AG39">
        <v>8.5059721904683023</v>
      </c>
      <c r="AH39">
        <f>0.676037800448135*1</f>
        <v>0.676037800448135</v>
      </c>
      <c r="AI39">
        <v>1</v>
      </c>
      <c r="AJ39">
        <v>0</v>
      </c>
    </row>
    <row r="40" spans="1:36" hidden="1" x14ac:dyDescent="0.2">
      <c r="A40" t="s">
        <v>121</v>
      </c>
      <c r="B40" t="s">
        <v>122</v>
      </c>
      <c r="C40" t="s">
        <v>122</v>
      </c>
      <c r="D40" t="s">
        <v>6</v>
      </c>
      <c r="E40">
        <v>0</v>
      </c>
      <c r="F40">
        <v>0</v>
      </c>
      <c r="G40">
        <v>0</v>
      </c>
      <c r="H40">
        <v>1</v>
      </c>
      <c r="I40" t="s">
        <v>11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5.7</v>
      </c>
      <c r="AE40">
        <v>146</v>
      </c>
      <c r="AF40">
        <v>15.869645389669291</v>
      </c>
      <c r="AG40">
        <v>16.79517551145879</v>
      </c>
      <c r="AH40">
        <f>3.62967851751101*1</f>
        <v>3.6296785175110098</v>
      </c>
      <c r="AI40">
        <v>1</v>
      </c>
      <c r="AJ40">
        <v>0</v>
      </c>
    </row>
    <row r="41" spans="1:36" hidden="1" x14ac:dyDescent="0.2">
      <c r="A41" t="s">
        <v>123</v>
      </c>
      <c r="B41" t="s">
        <v>124</v>
      </c>
      <c r="C41" t="s">
        <v>124</v>
      </c>
      <c r="D41" t="s">
        <v>5</v>
      </c>
      <c r="E41">
        <v>0</v>
      </c>
      <c r="F41">
        <v>0</v>
      </c>
      <c r="G41">
        <v>1</v>
      </c>
      <c r="H41">
        <v>0</v>
      </c>
      <c r="I41" t="s">
        <v>12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5</v>
      </c>
      <c r="AE41">
        <v>161</v>
      </c>
      <c r="AF41">
        <v>18.697831219646051</v>
      </c>
      <c r="AG41">
        <v>17.34461851503006</v>
      </c>
      <c r="AH41">
        <f>6.45603574814005*1</f>
        <v>6.4560357481400503</v>
      </c>
      <c r="AI41">
        <v>1</v>
      </c>
      <c r="AJ41">
        <v>0</v>
      </c>
    </row>
    <row r="42" spans="1:36" hidden="1" x14ac:dyDescent="0.2">
      <c r="A42" t="s">
        <v>125</v>
      </c>
      <c r="B42" t="s">
        <v>126</v>
      </c>
      <c r="C42" t="s">
        <v>126</v>
      </c>
      <c r="D42" t="s">
        <v>5</v>
      </c>
      <c r="E42">
        <v>0</v>
      </c>
      <c r="F42">
        <v>0</v>
      </c>
      <c r="G42">
        <v>1</v>
      </c>
      <c r="H42">
        <v>0</v>
      </c>
      <c r="I42" t="s">
        <v>12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4.7</v>
      </c>
      <c r="AE42">
        <v>164</v>
      </c>
      <c r="AF42">
        <v>11.29032258064516</v>
      </c>
      <c r="AG42">
        <v>11.361978670713309</v>
      </c>
      <c r="AH42">
        <f>3.42173334225202*1</f>
        <v>3.4217333422520202</v>
      </c>
      <c r="AI42">
        <v>1</v>
      </c>
      <c r="AJ42">
        <v>0</v>
      </c>
    </row>
    <row r="43" spans="1:36" x14ac:dyDescent="0.2">
      <c r="A43" t="s">
        <v>237</v>
      </c>
      <c r="B43" t="s">
        <v>238</v>
      </c>
      <c r="C43" t="s">
        <v>238</v>
      </c>
      <c r="D43" t="s">
        <v>5</v>
      </c>
      <c r="E43">
        <v>0</v>
      </c>
      <c r="F43">
        <v>0</v>
      </c>
      <c r="G43">
        <v>1</v>
      </c>
      <c r="H43">
        <v>0</v>
      </c>
      <c r="I43" t="s">
        <v>18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13.4</v>
      </c>
      <c r="AE43">
        <v>434</v>
      </c>
      <c r="AF43">
        <v>41.387755102040828</v>
      </c>
      <c r="AG43">
        <v>39.103750532070158</v>
      </c>
      <c r="AH43">
        <f>6.4385940663743*2</f>
        <v>12.8771881327486</v>
      </c>
      <c r="AI43">
        <v>1</v>
      </c>
      <c r="AJ43">
        <v>1</v>
      </c>
    </row>
    <row r="44" spans="1:36" hidden="1" x14ac:dyDescent="0.2">
      <c r="A44" t="s">
        <v>128</v>
      </c>
      <c r="B44" t="s">
        <v>129</v>
      </c>
      <c r="C44" t="s">
        <v>130</v>
      </c>
      <c r="D44" t="s">
        <v>5</v>
      </c>
      <c r="E44">
        <v>0</v>
      </c>
      <c r="F44">
        <v>0</v>
      </c>
      <c r="G44">
        <v>1</v>
      </c>
      <c r="H44">
        <v>0</v>
      </c>
      <c r="I44" t="s">
        <v>12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6.4</v>
      </c>
      <c r="AE44">
        <v>172</v>
      </c>
      <c r="AF44">
        <v>22.41889525911721</v>
      </c>
      <c r="AG44">
        <v>16.231683131788269</v>
      </c>
      <c r="AH44">
        <f>5.96874739977263*1</f>
        <v>5.9687473997726297</v>
      </c>
      <c r="AI44">
        <v>1</v>
      </c>
      <c r="AJ44">
        <v>0</v>
      </c>
    </row>
    <row r="45" spans="1:36" x14ac:dyDescent="0.2">
      <c r="A45" t="s">
        <v>131</v>
      </c>
      <c r="B45" t="s">
        <v>132</v>
      </c>
      <c r="C45" t="s">
        <v>131</v>
      </c>
      <c r="D45" t="s">
        <v>6</v>
      </c>
      <c r="E45">
        <v>0</v>
      </c>
      <c r="F45">
        <v>0</v>
      </c>
      <c r="G45">
        <v>0</v>
      </c>
      <c r="H45">
        <v>1</v>
      </c>
      <c r="I45" t="s">
        <v>12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5.2</v>
      </c>
      <c r="AE45">
        <v>173</v>
      </c>
      <c r="AF45">
        <v>23.885852024437611</v>
      </c>
      <c r="AG45">
        <v>12.10902131011416</v>
      </c>
      <c r="AH45">
        <f>7.48164566381529*1</f>
        <v>7.4816456638152902</v>
      </c>
      <c r="AI45">
        <v>1</v>
      </c>
      <c r="AJ45">
        <v>1</v>
      </c>
    </row>
    <row r="46" spans="1:36" hidden="1" x14ac:dyDescent="0.2">
      <c r="A46" t="s">
        <v>133</v>
      </c>
      <c r="B46" t="s">
        <v>134</v>
      </c>
      <c r="C46" t="s">
        <v>134</v>
      </c>
      <c r="D46" t="s">
        <v>5</v>
      </c>
      <c r="E46">
        <v>0</v>
      </c>
      <c r="F46">
        <v>0</v>
      </c>
      <c r="G46">
        <v>1</v>
      </c>
      <c r="H46">
        <v>0</v>
      </c>
      <c r="I46" t="s">
        <v>12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6.4</v>
      </c>
      <c r="AE46">
        <v>181</v>
      </c>
      <c r="AF46">
        <v>13.204751290438651</v>
      </c>
      <c r="AG46">
        <v>23.249860284834529</v>
      </c>
      <c r="AH46">
        <f>2.09598675026496*1</f>
        <v>2.0959867502649598</v>
      </c>
      <c r="AI46">
        <v>1</v>
      </c>
      <c r="AJ46">
        <v>0</v>
      </c>
    </row>
    <row r="47" spans="1:36" hidden="1" x14ac:dyDescent="0.2">
      <c r="A47" t="s">
        <v>135</v>
      </c>
      <c r="B47" t="s">
        <v>136</v>
      </c>
      <c r="C47" t="s">
        <v>137</v>
      </c>
      <c r="D47" t="s">
        <v>4</v>
      </c>
      <c r="E47">
        <v>0</v>
      </c>
      <c r="F47">
        <v>1</v>
      </c>
      <c r="G47">
        <v>0</v>
      </c>
      <c r="H47">
        <v>0</v>
      </c>
      <c r="I47" t="s">
        <v>12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4.0999999999999996</v>
      </c>
      <c r="AE47">
        <v>187</v>
      </c>
      <c r="AF47">
        <v>14.42775400749756</v>
      </c>
      <c r="AG47">
        <v>7.7869988604960714</v>
      </c>
      <c r="AH47">
        <f>3.64976974886889*1</f>
        <v>3.6497697488688901</v>
      </c>
      <c r="AI47">
        <v>1</v>
      </c>
      <c r="AJ47">
        <v>0</v>
      </c>
    </row>
    <row r="48" spans="1:36" hidden="1" x14ac:dyDescent="0.2">
      <c r="A48" t="s">
        <v>138</v>
      </c>
      <c r="B48" t="s">
        <v>139</v>
      </c>
      <c r="C48" t="s">
        <v>139</v>
      </c>
      <c r="D48" t="s">
        <v>6</v>
      </c>
      <c r="E48">
        <v>0</v>
      </c>
      <c r="F48">
        <v>0</v>
      </c>
      <c r="G48">
        <v>0</v>
      </c>
      <c r="H48">
        <v>1</v>
      </c>
      <c r="I48" t="s">
        <v>12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5.7</v>
      </c>
      <c r="AE48">
        <v>191</v>
      </c>
      <c r="AF48">
        <v>15.127118644067799</v>
      </c>
      <c r="AG48">
        <v>16.14822910791862</v>
      </c>
      <c r="AH48">
        <f>4.29673660802026*1</f>
        <v>4.29673660802026</v>
      </c>
      <c r="AI48">
        <v>1</v>
      </c>
      <c r="AJ48">
        <v>0</v>
      </c>
    </row>
    <row r="49" spans="1:36" hidden="1" x14ac:dyDescent="0.2">
      <c r="A49" t="s">
        <v>140</v>
      </c>
      <c r="B49" t="s">
        <v>141</v>
      </c>
      <c r="C49" t="s">
        <v>141</v>
      </c>
      <c r="D49" t="s">
        <v>4</v>
      </c>
      <c r="E49">
        <v>0</v>
      </c>
      <c r="F49">
        <v>1</v>
      </c>
      <c r="G49">
        <v>0</v>
      </c>
      <c r="H49">
        <v>0</v>
      </c>
      <c r="I49" t="s">
        <v>13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4.4000000000000004</v>
      </c>
      <c r="AE49">
        <v>224</v>
      </c>
      <c r="AF49">
        <v>12.23425224404142</v>
      </c>
      <c r="AG49">
        <v>7.6935604534085549</v>
      </c>
      <c r="AH49">
        <f>2.47657670223151*1</f>
        <v>2.4765767022315099</v>
      </c>
      <c r="AI49">
        <v>1</v>
      </c>
      <c r="AJ49">
        <v>0</v>
      </c>
    </row>
    <row r="50" spans="1:36" hidden="1" x14ac:dyDescent="0.2">
      <c r="A50" t="s">
        <v>142</v>
      </c>
      <c r="B50" t="s">
        <v>143</v>
      </c>
      <c r="C50" t="s">
        <v>143</v>
      </c>
      <c r="D50" t="s">
        <v>5</v>
      </c>
      <c r="E50">
        <v>0</v>
      </c>
      <c r="F50">
        <v>0</v>
      </c>
      <c r="G50">
        <v>1</v>
      </c>
      <c r="H50">
        <v>0</v>
      </c>
      <c r="I50" t="s">
        <v>13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4.8</v>
      </c>
      <c r="AE50">
        <v>242</v>
      </c>
      <c r="AF50">
        <v>13.9967777130332</v>
      </c>
      <c r="AG50">
        <v>10.160861316839989</v>
      </c>
      <c r="AH50">
        <f>2.90100327755541*1</f>
        <v>2.90100327755541</v>
      </c>
      <c r="AI50">
        <v>1</v>
      </c>
      <c r="AJ50">
        <v>0</v>
      </c>
    </row>
    <row r="51" spans="1:36" hidden="1" x14ac:dyDescent="0.2">
      <c r="A51" t="s">
        <v>144</v>
      </c>
      <c r="B51" t="s">
        <v>145</v>
      </c>
      <c r="C51" t="s">
        <v>145</v>
      </c>
      <c r="D51" t="s">
        <v>5</v>
      </c>
      <c r="E51">
        <v>0</v>
      </c>
      <c r="F51">
        <v>0</v>
      </c>
      <c r="G51">
        <v>1</v>
      </c>
      <c r="H51">
        <v>0</v>
      </c>
      <c r="I51" t="s">
        <v>13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5</v>
      </c>
      <c r="AE51">
        <v>244</v>
      </c>
      <c r="AF51">
        <v>15</v>
      </c>
      <c r="AG51">
        <v>18.57861510440879</v>
      </c>
      <c r="AH51">
        <f>3.03644634689999*1</f>
        <v>3.0364463468999898</v>
      </c>
      <c r="AI51">
        <v>1</v>
      </c>
      <c r="AJ51">
        <v>0</v>
      </c>
    </row>
    <row r="52" spans="1:36" hidden="1" x14ac:dyDescent="0.2">
      <c r="A52" t="s">
        <v>146</v>
      </c>
      <c r="B52" t="s">
        <v>147</v>
      </c>
      <c r="C52" t="s">
        <v>147</v>
      </c>
      <c r="D52" t="s">
        <v>4</v>
      </c>
      <c r="E52">
        <v>0</v>
      </c>
      <c r="F52">
        <v>1</v>
      </c>
      <c r="G52">
        <v>0</v>
      </c>
      <c r="H52">
        <v>0</v>
      </c>
      <c r="I52" t="s">
        <v>14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4.5999999999999996</v>
      </c>
      <c r="AE52">
        <v>264</v>
      </c>
      <c r="AF52">
        <v>13.46153846153846</v>
      </c>
      <c r="AG52">
        <v>13.410411831684719</v>
      </c>
      <c r="AH52">
        <f>3.17587599026923*1</f>
        <v>3.1758759902692302</v>
      </c>
      <c r="AI52">
        <v>1</v>
      </c>
      <c r="AJ52">
        <v>0</v>
      </c>
    </row>
    <row r="53" spans="1:36" hidden="1" x14ac:dyDescent="0.2">
      <c r="A53" t="s">
        <v>148</v>
      </c>
      <c r="B53" t="s">
        <v>149</v>
      </c>
      <c r="C53" t="s">
        <v>148</v>
      </c>
      <c r="D53" t="s">
        <v>5</v>
      </c>
      <c r="E53">
        <v>0</v>
      </c>
      <c r="F53">
        <v>0</v>
      </c>
      <c r="G53">
        <v>1</v>
      </c>
      <c r="H53">
        <v>0</v>
      </c>
      <c r="I53" t="s">
        <v>14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4.8</v>
      </c>
      <c r="AE53">
        <v>266</v>
      </c>
      <c r="AF53">
        <v>13.452380952380951</v>
      </c>
      <c r="AG53">
        <v>13.55400063929056</v>
      </c>
      <c r="AH53">
        <f>3.1737155304119*1</f>
        <v>3.1737155304118998</v>
      </c>
      <c r="AI53">
        <v>1</v>
      </c>
      <c r="AJ53">
        <v>0</v>
      </c>
    </row>
    <row r="54" spans="1:36" hidden="1" x14ac:dyDescent="0.2">
      <c r="A54" t="s">
        <v>150</v>
      </c>
      <c r="B54" t="s">
        <v>151</v>
      </c>
      <c r="C54" t="s">
        <v>151</v>
      </c>
      <c r="D54" t="s">
        <v>5</v>
      </c>
      <c r="E54">
        <v>0</v>
      </c>
      <c r="F54">
        <v>0</v>
      </c>
      <c r="G54">
        <v>1</v>
      </c>
      <c r="H54">
        <v>0</v>
      </c>
      <c r="I54" t="s">
        <v>14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5.4</v>
      </c>
      <c r="AE54">
        <v>268</v>
      </c>
      <c r="AF54">
        <v>15.175146116672099</v>
      </c>
      <c r="AG54">
        <v>12.394506646502171</v>
      </c>
      <c r="AH54">
        <f>3.25855112520866*1</f>
        <v>3.2585511252086601</v>
      </c>
      <c r="AI54">
        <v>1</v>
      </c>
      <c r="AJ54">
        <v>0</v>
      </c>
    </row>
    <row r="55" spans="1:36" hidden="1" x14ac:dyDescent="0.2">
      <c r="A55" t="s">
        <v>152</v>
      </c>
      <c r="B55" t="s">
        <v>153</v>
      </c>
      <c r="C55" t="s">
        <v>153</v>
      </c>
      <c r="D55" t="s">
        <v>5</v>
      </c>
      <c r="E55">
        <v>0</v>
      </c>
      <c r="F55">
        <v>0</v>
      </c>
      <c r="G55">
        <v>1</v>
      </c>
      <c r="H55">
        <v>0</v>
      </c>
      <c r="I55" t="s">
        <v>14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6.3</v>
      </c>
      <c r="AE55">
        <v>273</v>
      </c>
      <c r="AF55">
        <v>13.47222222222222</v>
      </c>
      <c r="AG55">
        <v>14.006129384128149</v>
      </c>
      <c r="AH55">
        <f>3.17839652676944*1</f>
        <v>3.1783965267694398</v>
      </c>
      <c r="AI55">
        <v>1</v>
      </c>
      <c r="AJ55">
        <v>0</v>
      </c>
    </row>
    <row r="56" spans="1:36" hidden="1" x14ac:dyDescent="0.2">
      <c r="A56" t="s">
        <v>154</v>
      </c>
      <c r="B56" t="s">
        <v>155</v>
      </c>
      <c r="C56" t="s">
        <v>156</v>
      </c>
      <c r="D56" t="s">
        <v>6</v>
      </c>
      <c r="E56">
        <v>0</v>
      </c>
      <c r="F56">
        <v>0</v>
      </c>
      <c r="G56">
        <v>0</v>
      </c>
      <c r="H56">
        <v>1</v>
      </c>
      <c r="I56" t="s">
        <v>14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6.8</v>
      </c>
      <c r="AE56">
        <v>274</v>
      </c>
      <c r="AF56">
        <v>17.5</v>
      </c>
      <c r="AG56">
        <v>18.380373740005741</v>
      </c>
      <c r="AH56">
        <f>4.12863878735*1</f>
        <v>4.1286387873499999</v>
      </c>
      <c r="AI56">
        <v>1</v>
      </c>
      <c r="AJ56">
        <v>0</v>
      </c>
    </row>
    <row r="57" spans="1:36" hidden="1" x14ac:dyDescent="0.2">
      <c r="A57" t="s">
        <v>157</v>
      </c>
      <c r="B57" t="s">
        <v>158</v>
      </c>
      <c r="C57" t="s">
        <v>158</v>
      </c>
      <c r="D57" t="s">
        <v>5</v>
      </c>
      <c r="E57">
        <v>0</v>
      </c>
      <c r="F57">
        <v>0</v>
      </c>
      <c r="G57">
        <v>1</v>
      </c>
      <c r="H57">
        <v>0</v>
      </c>
      <c r="I57" t="s">
        <v>14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6.9</v>
      </c>
      <c r="AE57">
        <v>279</v>
      </c>
      <c r="AF57">
        <v>19.27134038668941</v>
      </c>
      <c r="AG57">
        <v>28.086763673733849</v>
      </c>
      <c r="AH57">
        <f>4.98720197461112*1</f>
        <v>4.9872019746111196</v>
      </c>
      <c r="AI57">
        <v>1</v>
      </c>
      <c r="AJ57">
        <v>0</v>
      </c>
    </row>
    <row r="58" spans="1:36" hidden="1" x14ac:dyDescent="0.2">
      <c r="A58" t="s">
        <v>159</v>
      </c>
      <c r="B58" t="s">
        <v>160</v>
      </c>
      <c r="C58" t="s">
        <v>161</v>
      </c>
      <c r="D58" t="s">
        <v>4</v>
      </c>
      <c r="E58">
        <v>0</v>
      </c>
      <c r="F58">
        <v>1</v>
      </c>
      <c r="G58">
        <v>0</v>
      </c>
      <c r="H58">
        <v>0</v>
      </c>
      <c r="I58" t="s">
        <v>14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5</v>
      </c>
      <c r="AE58">
        <v>280</v>
      </c>
      <c r="AF58">
        <v>16.602564102564092</v>
      </c>
      <c r="AG58">
        <v>14.3242188923698</v>
      </c>
      <c r="AH58">
        <f>3.91691372133204*1</f>
        <v>3.91691372133204</v>
      </c>
      <c r="AI58">
        <v>1</v>
      </c>
      <c r="AJ58">
        <v>0</v>
      </c>
    </row>
    <row r="59" spans="1:36" hidden="1" x14ac:dyDescent="0.2">
      <c r="A59" t="s">
        <v>247</v>
      </c>
      <c r="B59" t="s">
        <v>248</v>
      </c>
      <c r="C59" t="s">
        <v>248</v>
      </c>
      <c r="D59" t="s">
        <v>6</v>
      </c>
      <c r="E59">
        <v>0</v>
      </c>
      <c r="F59">
        <v>0</v>
      </c>
      <c r="G59">
        <v>0</v>
      </c>
      <c r="H59">
        <v>1</v>
      </c>
      <c r="I59" t="s">
        <v>19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5</v>
      </c>
      <c r="AE59">
        <v>471</v>
      </c>
      <c r="AF59">
        <v>18.035714285714281</v>
      </c>
      <c r="AG59">
        <v>19.786519672243621</v>
      </c>
      <c r="AH59">
        <f>5.93828389577142*1</f>
        <v>5.9382838957714199</v>
      </c>
      <c r="AI59">
        <v>1</v>
      </c>
      <c r="AJ59">
        <v>0</v>
      </c>
    </row>
    <row r="60" spans="1:36" hidden="1" x14ac:dyDescent="0.2">
      <c r="A60" t="s">
        <v>164</v>
      </c>
      <c r="B60" t="s">
        <v>165</v>
      </c>
      <c r="C60" t="s">
        <v>165</v>
      </c>
      <c r="D60" t="s">
        <v>4</v>
      </c>
      <c r="E60">
        <v>0</v>
      </c>
      <c r="F60">
        <v>1</v>
      </c>
      <c r="G60">
        <v>0</v>
      </c>
      <c r="H60">
        <v>0</v>
      </c>
      <c r="I60" t="s">
        <v>14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4.9000000000000004</v>
      </c>
      <c r="AE60">
        <v>285</v>
      </c>
      <c r="AF60">
        <v>12.592592592592601</v>
      </c>
      <c r="AG60">
        <v>10.00852964817415</v>
      </c>
      <c r="AH60">
        <f>2.97087235491852*1</f>
        <v>2.9708723549185199</v>
      </c>
      <c r="AI60">
        <v>1</v>
      </c>
      <c r="AJ60">
        <v>0</v>
      </c>
    </row>
    <row r="61" spans="1:36" hidden="1" x14ac:dyDescent="0.2">
      <c r="A61" t="s">
        <v>166</v>
      </c>
      <c r="B61" t="s">
        <v>167</v>
      </c>
      <c r="C61" t="s">
        <v>167</v>
      </c>
      <c r="D61" t="s">
        <v>4</v>
      </c>
      <c r="E61">
        <v>0</v>
      </c>
      <c r="F61">
        <v>1</v>
      </c>
      <c r="G61">
        <v>0</v>
      </c>
      <c r="H61">
        <v>0</v>
      </c>
      <c r="I61" t="s">
        <v>15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4.7</v>
      </c>
      <c r="AE61">
        <v>307</v>
      </c>
      <c r="AF61">
        <v>16.970429132343941</v>
      </c>
      <c r="AG61">
        <v>17.380660137128139</v>
      </c>
      <c r="AH61">
        <f>3.65570504181992*1</f>
        <v>3.6557050418199202</v>
      </c>
      <c r="AI61">
        <v>1</v>
      </c>
      <c r="AJ61">
        <v>0</v>
      </c>
    </row>
    <row r="62" spans="1:36" hidden="1" x14ac:dyDescent="0.2">
      <c r="A62" t="s">
        <v>168</v>
      </c>
      <c r="B62" t="s">
        <v>169</v>
      </c>
      <c r="C62" t="s">
        <v>170</v>
      </c>
      <c r="D62" t="s">
        <v>5</v>
      </c>
      <c r="E62">
        <v>0</v>
      </c>
      <c r="F62">
        <v>0</v>
      </c>
      <c r="G62">
        <v>1</v>
      </c>
      <c r="H62">
        <v>0</v>
      </c>
      <c r="I62" t="s">
        <v>15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5.4</v>
      </c>
      <c r="AE62">
        <v>308</v>
      </c>
      <c r="AF62">
        <v>17.01098901098899</v>
      </c>
      <c r="AG62">
        <v>15.455922188786801</v>
      </c>
      <c r="AH62">
        <f>3.15438727602856*1</f>
        <v>3.1543872760285598</v>
      </c>
      <c r="AI62">
        <v>1</v>
      </c>
      <c r="AJ62">
        <v>0</v>
      </c>
    </row>
    <row r="63" spans="1:36" hidden="1" x14ac:dyDescent="0.2">
      <c r="A63" t="s">
        <v>171</v>
      </c>
      <c r="B63" t="s">
        <v>172</v>
      </c>
      <c r="C63" t="s">
        <v>172</v>
      </c>
      <c r="D63" t="s">
        <v>5</v>
      </c>
      <c r="E63">
        <v>0</v>
      </c>
      <c r="F63">
        <v>0</v>
      </c>
      <c r="G63">
        <v>1</v>
      </c>
      <c r="H63">
        <v>0</v>
      </c>
      <c r="I63" t="s">
        <v>15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6</v>
      </c>
      <c r="AE63">
        <v>313</v>
      </c>
      <c r="AF63">
        <v>22.500000000000011</v>
      </c>
      <c r="AG63">
        <v>19.29008593384734</v>
      </c>
      <c r="AH63">
        <f>4.172227356375*1</f>
        <v>4.1722273563750001</v>
      </c>
      <c r="AI63">
        <v>1</v>
      </c>
      <c r="AJ63">
        <v>0</v>
      </c>
    </row>
    <row r="64" spans="1:36" hidden="1" x14ac:dyDescent="0.2">
      <c r="A64" t="s">
        <v>173</v>
      </c>
      <c r="B64" t="s">
        <v>174</v>
      </c>
      <c r="C64" t="s">
        <v>174</v>
      </c>
      <c r="D64" t="s">
        <v>3</v>
      </c>
      <c r="E64">
        <v>1</v>
      </c>
      <c r="F64">
        <v>0</v>
      </c>
      <c r="G64">
        <v>0</v>
      </c>
      <c r="H64">
        <v>0</v>
      </c>
      <c r="I64" t="s">
        <v>15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4.4000000000000004</v>
      </c>
      <c r="AE64">
        <v>317</v>
      </c>
      <c r="AF64">
        <v>21.858764105170088</v>
      </c>
      <c r="AG64">
        <v>21.32523181062291</v>
      </c>
      <c r="AH64">
        <f>4.53772286411581*1</f>
        <v>4.5377228641158096</v>
      </c>
      <c r="AI64">
        <v>1</v>
      </c>
      <c r="AJ64">
        <v>0</v>
      </c>
    </row>
    <row r="65" spans="1:36" hidden="1" x14ac:dyDescent="0.2">
      <c r="A65" t="s">
        <v>175</v>
      </c>
      <c r="B65" t="s">
        <v>176</v>
      </c>
      <c r="C65" t="s">
        <v>177</v>
      </c>
      <c r="D65" t="s">
        <v>5</v>
      </c>
      <c r="E65">
        <v>0</v>
      </c>
      <c r="F65">
        <v>0</v>
      </c>
      <c r="G65">
        <v>1</v>
      </c>
      <c r="H65">
        <v>0</v>
      </c>
      <c r="I65" t="s">
        <v>15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4.7</v>
      </c>
      <c r="AE65">
        <v>318</v>
      </c>
      <c r="AF65">
        <v>15.68091117598302</v>
      </c>
      <c r="AG65">
        <v>16.62872560298662</v>
      </c>
      <c r="AH65">
        <f>3.09287784910297*1</f>
        <v>3.0928778491029698</v>
      </c>
      <c r="AI65">
        <v>1</v>
      </c>
      <c r="AJ65">
        <v>0</v>
      </c>
    </row>
    <row r="66" spans="1:36" hidden="1" x14ac:dyDescent="0.2">
      <c r="A66" t="s">
        <v>178</v>
      </c>
      <c r="B66" t="s">
        <v>179</v>
      </c>
      <c r="C66" t="s">
        <v>179</v>
      </c>
      <c r="D66" t="s">
        <v>6</v>
      </c>
      <c r="E66">
        <v>0</v>
      </c>
      <c r="F66">
        <v>0</v>
      </c>
      <c r="G66">
        <v>0</v>
      </c>
      <c r="H66">
        <v>1</v>
      </c>
      <c r="I66" t="s">
        <v>15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4.9000000000000004</v>
      </c>
      <c r="AE66">
        <v>319</v>
      </c>
      <c r="AF66">
        <v>15</v>
      </c>
      <c r="AG66">
        <v>13.05555817664847</v>
      </c>
      <c r="AH66">
        <f>2.78148490425*1</f>
        <v>2.7814849042500001</v>
      </c>
      <c r="AI66">
        <v>1</v>
      </c>
      <c r="AJ66">
        <v>0</v>
      </c>
    </row>
    <row r="67" spans="1:36" hidden="1" x14ac:dyDescent="0.2">
      <c r="A67" t="s">
        <v>180</v>
      </c>
      <c r="B67" t="s">
        <v>181</v>
      </c>
      <c r="C67" t="s">
        <v>181</v>
      </c>
      <c r="D67" t="s">
        <v>4</v>
      </c>
      <c r="E67">
        <v>0</v>
      </c>
      <c r="F67">
        <v>1</v>
      </c>
      <c r="G67">
        <v>0</v>
      </c>
      <c r="H67">
        <v>0</v>
      </c>
      <c r="I67" t="s">
        <v>15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4.5</v>
      </c>
      <c r="AE67">
        <v>321</v>
      </c>
      <c r="AF67">
        <v>17.318029629484531</v>
      </c>
      <c r="AG67">
        <v>15.89771886419622</v>
      </c>
      <c r="AH67">
        <f>3.46652545202896*1</f>
        <v>3.4665254520289599</v>
      </c>
      <c r="AI67">
        <v>1</v>
      </c>
      <c r="AJ67">
        <v>0</v>
      </c>
    </row>
    <row r="68" spans="1:36" hidden="1" x14ac:dyDescent="0.2">
      <c r="A68" t="s">
        <v>182</v>
      </c>
      <c r="B68" t="s">
        <v>183</v>
      </c>
      <c r="C68" t="s">
        <v>183</v>
      </c>
      <c r="D68" t="s">
        <v>4</v>
      </c>
      <c r="E68">
        <v>0</v>
      </c>
      <c r="F68">
        <v>1</v>
      </c>
      <c r="G68">
        <v>0</v>
      </c>
      <c r="H68">
        <v>0</v>
      </c>
      <c r="I68" t="s">
        <v>15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4.5</v>
      </c>
      <c r="AE68">
        <v>329</v>
      </c>
      <c r="AF68">
        <v>16.089237966794681</v>
      </c>
      <c r="AG68">
        <v>13.336012323473209</v>
      </c>
      <c r="AH68">
        <f>3.10207324813575*1</f>
        <v>3.10207324813575</v>
      </c>
      <c r="AI68">
        <v>1</v>
      </c>
      <c r="AJ68">
        <v>0</v>
      </c>
    </row>
    <row r="69" spans="1:36" hidden="1" x14ac:dyDescent="0.2">
      <c r="A69" t="s">
        <v>184</v>
      </c>
      <c r="B69" t="s">
        <v>185</v>
      </c>
      <c r="C69" t="s">
        <v>185</v>
      </c>
      <c r="D69" t="s">
        <v>4</v>
      </c>
      <c r="E69">
        <v>0</v>
      </c>
      <c r="F69">
        <v>1</v>
      </c>
      <c r="G69">
        <v>0</v>
      </c>
      <c r="H69">
        <v>0</v>
      </c>
      <c r="I69" t="s">
        <v>16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4.3</v>
      </c>
      <c r="AE69">
        <v>345</v>
      </c>
      <c r="AF69">
        <v>16.05405405405406</v>
      </c>
      <c r="AG69">
        <v>15.13258152728433</v>
      </c>
      <c r="AH69">
        <f>2.38459230405682*1</f>
        <v>2.3845923040568202</v>
      </c>
      <c r="AI69">
        <v>1</v>
      </c>
      <c r="AJ69">
        <v>0</v>
      </c>
    </row>
    <row r="70" spans="1:36" hidden="1" x14ac:dyDescent="0.2">
      <c r="A70" t="s">
        <v>96</v>
      </c>
      <c r="B70" t="s">
        <v>186</v>
      </c>
      <c r="C70" t="s">
        <v>186</v>
      </c>
      <c r="D70" t="s">
        <v>6</v>
      </c>
      <c r="E70">
        <v>0</v>
      </c>
      <c r="F70">
        <v>0</v>
      </c>
      <c r="G70">
        <v>0</v>
      </c>
      <c r="H70">
        <v>1</v>
      </c>
      <c r="I70" t="s">
        <v>16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5.8</v>
      </c>
      <c r="AE70">
        <v>346</v>
      </c>
      <c r="AF70">
        <v>20.655710743613209</v>
      </c>
      <c r="AG70">
        <v>21.164029112586562</v>
      </c>
      <c r="AH70">
        <f>3.05698539552108*1</f>
        <v>3.05698539552108</v>
      </c>
      <c r="AI70">
        <v>1</v>
      </c>
      <c r="AJ70">
        <v>0</v>
      </c>
    </row>
    <row r="71" spans="1:36" hidden="1" x14ac:dyDescent="0.2">
      <c r="A71" t="s">
        <v>187</v>
      </c>
      <c r="B71" t="s">
        <v>188</v>
      </c>
      <c r="C71" t="s">
        <v>188</v>
      </c>
      <c r="D71" t="s">
        <v>5</v>
      </c>
      <c r="E71">
        <v>0</v>
      </c>
      <c r="F71">
        <v>0</v>
      </c>
      <c r="G71">
        <v>1</v>
      </c>
      <c r="H71">
        <v>0</v>
      </c>
      <c r="I71" t="s">
        <v>16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4.9000000000000004</v>
      </c>
      <c r="AE71">
        <v>350</v>
      </c>
      <c r="AF71">
        <v>11.78475505700704</v>
      </c>
      <c r="AG71">
        <v>11.773929143417821</v>
      </c>
      <c r="AH71">
        <f>1.96096778064775*1</f>
        <v>1.9609677806477499</v>
      </c>
      <c r="AI71">
        <v>1</v>
      </c>
      <c r="AJ71">
        <v>0</v>
      </c>
    </row>
    <row r="72" spans="1:36" hidden="1" x14ac:dyDescent="0.2">
      <c r="A72" t="s">
        <v>189</v>
      </c>
      <c r="B72" t="s">
        <v>190</v>
      </c>
      <c r="C72" t="s">
        <v>190</v>
      </c>
      <c r="D72" t="s">
        <v>5</v>
      </c>
      <c r="E72">
        <v>0</v>
      </c>
      <c r="F72">
        <v>0</v>
      </c>
      <c r="G72">
        <v>1</v>
      </c>
      <c r="H72">
        <v>0</v>
      </c>
      <c r="I72" t="s">
        <v>16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5.4</v>
      </c>
      <c r="AE72">
        <v>356</v>
      </c>
      <c r="AF72">
        <v>18.93548387096773</v>
      </c>
      <c r="AG72">
        <v>18.2448487730727</v>
      </c>
      <c r="AH72">
        <f>3.0365329859607*1</f>
        <v>3.0365329859607</v>
      </c>
      <c r="AI72">
        <v>1</v>
      </c>
      <c r="AJ72">
        <v>0</v>
      </c>
    </row>
    <row r="73" spans="1:36" hidden="1" x14ac:dyDescent="0.2">
      <c r="A73" t="s">
        <v>168</v>
      </c>
      <c r="B73" t="s">
        <v>191</v>
      </c>
      <c r="C73" t="s">
        <v>191</v>
      </c>
      <c r="D73" t="s">
        <v>3</v>
      </c>
      <c r="E73">
        <v>1</v>
      </c>
      <c r="F73">
        <v>0</v>
      </c>
      <c r="G73">
        <v>0</v>
      </c>
      <c r="H73">
        <v>0</v>
      </c>
      <c r="I73" t="s">
        <v>16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4.5999999999999996</v>
      </c>
      <c r="AE73">
        <v>360</v>
      </c>
      <c r="AF73">
        <v>21.14851485148516</v>
      </c>
      <c r="AG73">
        <v>21.36235784413271</v>
      </c>
      <c r="AH73">
        <f>4.0523328124991*1</f>
        <v>4.0523328124990998</v>
      </c>
      <c r="AI73">
        <v>1</v>
      </c>
      <c r="AJ73">
        <v>0</v>
      </c>
    </row>
    <row r="74" spans="1:36" hidden="1" x14ac:dyDescent="0.2">
      <c r="A74" t="s">
        <v>192</v>
      </c>
      <c r="B74" t="s">
        <v>193</v>
      </c>
      <c r="C74" t="s">
        <v>193</v>
      </c>
      <c r="D74" t="s">
        <v>4</v>
      </c>
      <c r="E74">
        <v>0</v>
      </c>
      <c r="F74">
        <v>1</v>
      </c>
      <c r="G74">
        <v>0</v>
      </c>
      <c r="H74">
        <v>0</v>
      </c>
      <c r="I74" t="s">
        <v>16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4.4000000000000004</v>
      </c>
      <c r="AE74">
        <v>365</v>
      </c>
      <c r="AF74">
        <v>14.15789473684211</v>
      </c>
      <c r="AG74">
        <v>15.3095474658946</v>
      </c>
      <c r="AH74">
        <f>2.90044051483311*1</f>
        <v>2.9004405148331101</v>
      </c>
      <c r="AI74">
        <v>1</v>
      </c>
      <c r="AJ74">
        <v>0</v>
      </c>
    </row>
    <row r="75" spans="1:36" hidden="1" x14ac:dyDescent="0.2">
      <c r="A75" t="s">
        <v>194</v>
      </c>
      <c r="B75" t="s">
        <v>195</v>
      </c>
      <c r="C75" t="s">
        <v>195</v>
      </c>
      <c r="D75" t="s">
        <v>5</v>
      </c>
      <c r="E75">
        <v>0</v>
      </c>
      <c r="F75">
        <v>0</v>
      </c>
      <c r="G75">
        <v>1</v>
      </c>
      <c r="H75">
        <v>0</v>
      </c>
      <c r="I75" t="s">
        <v>17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5.3</v>
      </c>
      <c r="AE75">
        <v>378</v>
      </c>
      <c r="AF75">
        <v>14.704234517698289</v>
      </c>
      <c r="AG75">
        <v>12.104033118711079</v>
      </c>
      <c r="AH75">
        <f>2.577225521605*1</f>
        <v>2.577225521605</v>
      </c>
      <c r="AI75">
        <v>1</v>
      </c>
      <c r="AJ75">
        <v>0</v>
      </c>
    </row>
    <row r="76" spans="1:36" hidden="1" x14ac:dyDescent="0.2">
      <c r="A76" t="s">
        <v>196</v>
      </c>
      <c r="B76" t="s">
        <v>197</v>
      </c>
      <c r="C76" t="s">
        <v>196</v>
      </c>
      <c r="D76" t="s">
        <v>5</v>
      </c>
      <c r="E76">
        <v>0</v>
      </c>
      <c r="F76">
        <v>0</v>
      </c>
      <c r="G76">
        <v>1</v>
      </c>
      <c r="H76">
        <v>0</v>
      </c>
      <c r="I76" t="s">
        <v>17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5.3</v>
      </c>
      <c r="AE76">
        <v>379</v>
      </c>
      <c r="AF76">
        <v>17.539682539682531</v>
      </c>
      <c r="AG76">
        <v>23.56634174161243</v>
      </c>
      <c r="AH76">
        <f>4.71742901935316*1</f>
        <v>4.7174290193531601</v>
      </c>
      <c r="AI76">
        <v>1</v>
      </c>
      <c r="AJ76">
        <v>0</v>
      </c>
    </row>
    <row r="77" spans="1:36" hidden="1" x14ac:dyDescent="0.2">
      <c r="A77" t="s">
        <v>198</v>
      </c>
      <c r="B77" t="s">
        <v>199</v>
      </c>
      <c r="C77" t="s">
        <v>199</v>
      </c>
      <c r="D77" t="s">
        <v>5</v>
      </c>
      <c r="E77">
        <v>0</v>
      </c>
      <c r="F77">
        <v>0</v>
      </c>
      <c r="G77">
        <v>1</v>
      </c>
      <c r="H77">
        <v>0</v>
      </c>
      <c r="I77" t="s">
        <v>17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5.3</v>
      </c>
      <c r="AE77">
        <v>382</v>
      </c>
      <c r="AF77">
        <v>13.88869888553462</v>
      </c>
      <c r="AG77">
        <v>12.48570679945467</v>
      </c>
      <c r="AH77">
        <f>2.63959010479324*1</f>
        <v>2.63959010479324</v>
      </c>
      <c r="AI77">
        <v>1</v>
      </c>
      <c r="AJ77">
        <v>0</v>
      </c>
    </row>
    <row r="78" spans="1:36" hidden="1" x14ac:dyDescent="0.2">
      <c r="A78" t="s">
        <v>200</v>
      </c>
      <c r="B78" t="s">
        <v>201</v>
      </c>
      <c r="C78" t="s">
        <v>201</v>
      </c>
      <c r="D78" t="s">
        <v>3</v>
      </c>
      <c r="E78">
        <v>1</v>
      </c>
      <c r="F78">
        <v>0</v>
      </c>
      <c r="G78">
        <v>0</v>
      </c>
      <c r="H78">
        <v>0</v>
      </c>
      <c r="I78" t="s">
        <v>17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4.8</v>
      </c>
      <c r="AE78">
        <v>387</v>
      </c>
      <c r="AF78">
        <v>18.358443348988551</v>
      </c>
      <c r="AG78">
        <v>16.090530181519259</v>
      </c>
      <c r="AH78">
        <f>3.45374555440366*1</f>
        <v>3.4537455544036599</v>
      </c>
      <c r="AI78">
        <v>1</v>
      </c>
      <c r="AJ78">
        <v>0</v>
      </c>
    </row>
    <row r="79" spans="1:36" hidden="1" x14ac:dyDescent="0.2">
      <c r="A79" t="s">
        <v>202</v>
      </c>
      <c r="B79" t="s">
        <v>203</v>
      </c>
      <c r="C79" t="s">
        <v>204</v>
      </c>
      <c r="D79" t="s">
        <v>5</v>
      </c>
      <c r="E79">
        <v>0</v>
      </c>
      <c r="F79">
        <v>0</v>
      </c>
      <c r="G79">
        <v>1</v>
      </c>
      <c r="H79">
        <v>0</v>
      </c>
      <c r="I79" t="s">
        <v>17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5</v>
      </c>
      <c r="AE79">
        <v>392</v>
      </c>
      <c r="AF79">
        <v>11.873946811090709</v>
      </c>
      <c r="AG79">
        <v>14.602037663014711</v>
      </c>
      <c r="AH79">
        <f>2.61444504929906*1</f>
        <v>2.6144450492990599</v>
      </c>
      <c r="AI79">
        <v>1</v>
      </c>
      <c r="AJ79">
        <v>0</v>
      </c>
    </row>
    <row r="80" spans="1:36" hidden="1" x14ac:dyDescent="0.2">
      <c r="A80" t="s">
        <v>205</v>
      </c>
      <c r="B80" t="s">
        <v>206</v>
      </c>
      <c r="C80" t="s">
        <v>206</v>
      </c>
      <c r="D80" t="s">
        <v>4</v>
      </c>
      <c r="E80">
        <v>0</v>
      </c>
      <c r="F80">
        <v>1</v>
      </c>
      <c r="G80">
        <v>0</v>
      </c>
      <c r="H80">
        <v>0</v>
      </c>
      <c r="I80" t="s">
        <v>17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4.5999999999999996</v>
      </c>
      <c r="AE80">
        <v>395</v>
      </c>
      <c r="AF80">
        <v>12.72222222222222</v>
      </c>
      <c r="AG80">
        <v>11.64715367296332</v>
      </c>
      <c r="AH80">
        <f>2.61053238734825*1</f>
        <v>2.61053238734825</v>
      </c>
      <c r="AI80">
        <v>1</v>
      </c>
      <c r="AJ80">
        <v>0</v>
      </c>
    </row>
    <row r="81" spans="1:36" hidden="1" x14ac:dyDescent="0.2">
      <c r="A81" t="s">
        <v>207</v>
      </c>
      <c r="B81" t="s">
        <v>144</v>
      </c>
      <c r="C81" t="s">
        <v>144</v>
      </c>
      <c r="D81" t="s">
        <v>5</v>
      </c>
      <c r="E81">
        <v>0</v>
      </c>
      <c r="F81">
        <v>0</v>
      </c>
      <c r="G81">
        <v>1</v>
      </c>
      <c r="H81">
        <v>0</v>
      </c>
      <c r="I81" t="s">
        <v>17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5.3</v>
      </c>
      <c r="AE81">
        <v>400</v>
      </c>
      <c r="AF81">
        <v>13.139534883720939</v>
      </c>
      <c r="AG81">
        <v>11.66773289890369</v>
      </c>
      <c r="AH81">
        <f>2.34947326969165*1</f>
        <v>2.34947326969165</v>
      </c>
      <c r="AI81">
        <v>1</v>
      </c>
      <c r="AJ81">
        <v>0</v>
      </c>
    </row>
    <row r="82" spans="1:36" hidden="1" x14ac:dyDescent="0.2">
      <c r="A82" t="s">
        <v>208</v>
      </c>
      <c r="B82" t="s">
        <v>209</v>
      </c>
      <c r="C82" t="s">
        <v>208</v>
      </c>
      <c r="D82" t="s">
        <v>6</v>
      </c>
      <c r="E82">
        <v>0</v>
      </c>
      <c r="F82">
        <v>0</v>
      </c>
      <c r="G82">
        <v>0</v>
      </c>
      <c r="H82">
        <v>1</v>
      </c>
      <c r="I82" t="s">
        <v>17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5</v>
      </c>
      <c r="AE82">
        <v>401</v>
      </c>
      <c r="AF82">
        <v>14.48014755367724</v>
      </c>
      <c r="AG82">
        <v>19.094813280732989</v>
      </c>
      <c r="AH82">
        <f>3.05696967364746*1</f>
        <v>3.0569696736474601</v>
      </c>
      <c r="AI82">
        <v>1</v>
      </c>
      <c r="AJ82">
        <v>0</v>
      </c>
    </row>
    <row r="83" spans="1:36" hidden="1" x14ac:dyDescent="0.2">
      <c r="A83" t="s">
        <v>210</v>
      </c>
      <c r="B83" t="s">
        <v>211</v>
      </c>
      <c r="C83" t="s">
        <v>211</v>
      </c>
      <c r="D83" t="s">
        <v>4</v>
      </c>
      <c r="E83">
        <v>0</v>
      </c>
      <c r="F83">
        <v>1</v>
      </c>
      <c r="G83">
        <v>0</v>
      </c>
      <c r="H83">
        <v>0</v>
      </c>
      <c r="I83" t="s">
        <v>17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4.4000000000000004</v>
      </c>
      <c r="AE83">
        <v>403</v>
      </c>
      <c r="AF83">
        <v>11.63795266865135</v>
      </c>
      <c r="AG83">
        <v>10.00705017106284</v>
      </c>
      <c r="AH83">
        <f>2.20975845494261*1</f>
        <v>2.2097584549426101</v>
      </c>
      <c r="AI83">
        <v>1</v>
      </c>
      <c r="AJ83">
        <v>0</v>
      </c>
    </row>
    <row r="84" spans="1:36" hidden="1" x14ac:dyDescent="0.2">
      <c r="A84" t="s">
        <v>212</v>
      </c>
      <c r="B84" t="s">
        <v>213</v>
      </c>
      <c r="C84" t="s">
        <v>213</v>
      </c>
      <c r="D84" t="s">
        <v>4</v>
      </c>
      <c r="E84">
        <v>0</v>
      </c>
      <c r="F84">
        <v>1</v>
      </c>
      <c r="G84">
        <v>0</v>
      </c>
      <c r="H84">
        <v>0</v>
      </c>
      <c r="I84" t="s">
        <v>17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4.5999999999999996</v>
      </c>
      <c r="AE84">
        <v>409</v>
      </c>
      <c r="AF84">
        <v>14.733096280645279</v>
      </c>
      <c r="AG84">
        <v>14.527765728503081</v>
      </c>
      <c r="AH84">
        <f>2.45710456813705*1</f>
        <v>2.45710456813705</v>
      </c>
      <c r="AI84">
        <v>1</v>
      </c>
      <c r="AJ84">
        <v>0</v>
      </c>
    </row>
    <row r="85" spans="1:36" hidden="1" x14ac:dyDescent="0.2">
      <c r="A85" t="s">
        <v>214</v>
      </c>
      <c r="B85" t="s">
        <v>215</v>
      </c>
      <c r="C85" t="s">
        <v>215</v>
      </c>
      <c r="D85" t="s">
        <v>4</v>
      </c>
      <c r="E85">
        <v>0</v>
      </c>
      <c r="F85">
        <v>1</v>
      </c>
      <c r="G85">
        <v>0</v>
      </c>
      <c r="H85">
        <v>0</v>
      </c>
      <c r="I85" t="s">
        <v>18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8.4</v>
      </c>
      <c r="AE85">
        <v>416</v>
      </c>
      <c r="AF85">
        <v>31.575274272963458</v>
      </c>
      <c r="AG85">
        <v>29.07482329262395</v>
      </c>
      <c r="AH85">
        <f>3.65812778875507*0</f>
        <v>0</v>
      </c>
      <c r="AI85">
        <v>0</v>
      </c>
      <c r="AJ85">
        <v>0</v>
      </c>
    </row>
    <row r="86" spans="1:36" hidden="1" x14ac:dyDescent="0.2">
      <c r="A86" t="s">
        <v>216</v>
      </c>
      <c r="B86" t="s">
        <v>217</v>
      </c>
      <c r="C86" t="s">
        <v>218</v>
      </c>
      <c r="D86" t="s">
        <v>3</v>
      </c>
      <c r="E86">
        <v>1</v>
      </c>
      <c r="F86">
        <v>0</v>
      </c>
      <c r="G86">
        <v>0</v>
      </c>
      <c r="H86">
        <v>0</v>
      </c>
      <c r="I86" t="s">
        <v>18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5.7</v>
      </c>
      <c r="AE86">
        <v>417</v>
      </c>
      <c r="AF86">
        <v>26.133890929998479</v>
      </c>
      <c r="AG86">
        <v>25.78870985524939</v>
      </c>
      <c r="AH86">
        <f>3.53199003485384*0</f>
        <v>0</v>
      </c>
      <c r="AI86">
        <v>0</v>
      </c>
      <c r="AJ86">
        <v>0</v>
      </c>
    </row>
    <row r="87" spans="1:36" hidden="1" x14ac:dyDescent="0.2">
      <c r="A87" t="s">
        <v>219</v>
      </c>
      <c r="B87" t="s">
        <v>220</v>
      </c>
      <c r="C87" t="s">
        <v>219</v>
      </c>
      <c r="D87" t="s">
        <v>6</v>
      </c>
      <c r="E87">
        <v>0</v>
      </c>
      <c r="F87">
        <v>0</v>
      </c>
      <c r="G87">
        <v>0</v>
      </c>
      <c r="H87">
        <v>1</v>
      </c>
      <c r="I87" t="s">
        <v>18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7.6</v>
      </c>
      <c r="AE87">
        <v>419</v>
      </c>
      <c r="AF87">
        <v>23.672727272727261</v>
      </c>
      <c r="AG87">
        <v>21.80602547391268</v>
      </c>
      <c r="AH87">
        <f>3.83625199329335*2</f>
        <v>7.6725039865867002</v>
      </c>
      <c r="AI87">
        <v>1</v>
      </c>
      <c r="AJ87">
        <v>0</v>
      </c>
    </row>
    <row r="88" spans="1:36" hidden="1" x14ac:dyDescent="0.2">
      <c r="A88" t="s">
        <v>221</v>
      </c>
      <c r="B88" t="s">
        <v>222</v>
      </c>
      <c r="C88" t="s">
        <v>223</v>
      </c>
      <c r="D88" t="s">
        <v>5</v>
      </c>
      <c r="E88">
        <v>0</v>
      </c>
      <c r="F88">
        <v>0</v>
      </c>
      <c r="G88">
        <v>1</v>
      </c>
      <c r="H88">
        <v>0</v>
      </c>
      <c r="I88" t="s">
        <v>18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8</v>
      </c>
      <c r="AE88">
        <v>420</v>
      </c>
      <c r="AF88">
        <v>26.21052631578948</v>
      </c>
      <c r="AG88">
        <v>25.49422857417299</v>
      </c>
      <c r="AH88">
        <f>3.69644558749884*2</f>
        <v>7.39289117499768</v>
      </c>
      <c r="AI88">
        <v>1</v>
      </c>
      <c r="AJ88">
        <v>0</v>
      </c>
    </row>
    <row r="89" spans="1:36" hidden="1" x14ac:dyDescent="0.2">
      <c r="A89" t="s">
        <v>224</v>
      </c>
      <c r="B89" t="s">
        <v>225</v>
      </c>
      <c r="C89" t="s">
        <v>225</v>
      </c>
      <c r="D89" t="s">
        <v>5</v>
      </c>
      <c r="E89">
        <v>0</v>
      </c>
      <c r="F89">
        <v>0</v>
      </c>
      <c r="G89">
        <v>1</v>
      </c>
      <c r="H89">
        <v>0</v>
      </c>
      <c r="I89" t="s">
        <v>18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4.8</v>
      </c>
      <c r="AE89">
        <v>421</v>
      </c>
      <c r="AF89">
        <v>12.22469654889621</v>
      </c>
      <c r="AG89">
        <v>9.9146377110513146</v>
      </c>
      <c r="AH89">
        <f>1.82260275824748*1*2</f>
        <v>3.6452055164949599</v>
      </c>
      <c r="AI89">
        <v>1</v>
      </c>
      <c r="AJ89">
        <v>0</v>
      </c>
    </row>
    <row r="90" spans="1:36" x14ac:dyDescent="0.2">
      <c r="A90" t="s">
        <v>226</v>
      </c>
      <c r="B90" t="s">
        <v>227</v>
      </c>
      <c r="C90" t="s">
        <v>227</v>
      </c>
      <c r="D90" t="s">
        <v>6</v>
      </c>
      <c r="E90">
        <v>0</v>
      </c>
      <c r="F90">
        <v>0</v>
      </c>
      <c r="G90">
        <v>0</v>
      </c>
      <c r="H90">
        <v>1</v>
      </c>
      <c r="I90" t="s">
        <v>18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7.1</v>
      </c>
      <c r="AE90">
        <v>423</v>
      </c>
      <c r="AF90">
        <v>13.92274300331041</v>
      </c>
      <c r="AG90">
        <v>21.01063708959412</v>
      </c>
      <c r="AH90">
        <f>4.03808633715931*1*2</f>
        <v>8.0761726743186202</v>
      </c>
      <c r="AI90">
        <v>1</v>
      </c>
      <c r="AJ90">
        <v>1</v>
      </c>
    </row>
    <row r="91" spans="1:36" hidden="1" x14ac:dyDescent="0.2">
      <c r="A91" t="s">
        <v>228</v>
      </c>
      <c r="B91" t="s">
        <v>229</v>
      </c>
      <c r="C91" t="s">
        <v>229</v>
      </c>
      <c r="D91" t="s">
        <v>4</v>
      </c>
      <c r="E91">
        <v>0</v>
      </c>
      <c r="F91">
        <v>1</v>
      </c>
      <c r="G91">
        <v>0</v>
      </c>
      <c r="H91">
        <v>0</v>
      </c>
      <c r="I91" t="s">
        <v>18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4.5999999999999996</v>
      </c>
      <c r="AE91">
        <v>424</v>
      </c>
      <c r="AF91">
        <v>16.079999999999998</v>
      </c>
      <c r="AG91">
        <v>12.78714820828087</v>
      </c>
      <c r="AH91">
        <f>2.00709665397221*1*2</f>
        <v>4.0141933079444199</v>
      </c>
      <c r="AI91">
        <v>1</v>
      </c>
      <c r="AJ91">
        <v>0</v>
      </c>
    </row>
    <row r="92" spans="1:36" x14ac:dyDescent="0.2">
      <c r="A92" t="s">
        <v>230</v>
      </c>
      <c r="B92" t="s">
        <v>231</v>
      </c>
      <c r="C92" t="s">
        <v>231</v>
      </c>
      <c r="D92" t="s">
        <v>4</v>
      </c>
      <c r="E92">
        <v>0</v>
      </c>
      <c r="F92">
        <v>1</v>
      </c>
      <c r="G92">
        <v>0</v>
      </c>
      <c r="H92">
        <v>0</v>
      </c>
      <c r="I92" t="s">
        <v>18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4.9000000000000004</v>
      </c>
      <c r="AE92">
        <v>428</v>
      </c>
      <c r="AF92">
        <v>17.234042553191479</v>
      </c>
      <c r="AG92">
        <v>17.777979275761108</v>
      </c>
      <c r="AH92">
        <f>3.01544650622061*1*2</f>
        <v>6.0308930124412203</v>
      </c>
      <c r="AI92">
        <v>1</v>
      </c>
      <c r="AJ92">
        <v>1</v>
      </c>
    </row>
    <row r="93" spans="1:36" hidden="1" x14ac:dyDescent="0.2">
      <c r="A93" t="s">
        <v>232</v>
      </c>
      <c r="B93" t="s">
        <v>233</v>
      </c>
      <c r="C93" t="s">
        <v>234</v>
      </c>
      <c r="D93" t="s">
        <v>5</v>
      </c>
      <c r="E93">
        <v>0</v>
      </c>
      <c r="F93">
        <v>0</v>
      </c>
      <c r="G93">
        <v>1</v>
      </c>
      <c r="H93">
        <v>0</v>
      </c>
      <c r="I93" t="s">
        <v>18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7.6</v>
      </c>
      <c r="AE93">
        <v>429</v>
      </c>
      <c r="AF93">
        <v>22.44444444444445</v>
      </c>
      <c r="AG93">
        <v>19.560805396787309</v>
      </c>
      <c r="AH93">
        <f>3.37746249500329*1*2</f>
        <v>6.7549249900065798</v>
      </c>
      <c r="AI93">
        <v>1</v>
      </c>
      <c r="AJ93">
        <v>0</v>
      </c>
    </row>
    <row r="94" spans="1:36" hidden="1" x14ac:dyDescent="0.2">
      <c r="A94" t="s">
        <v>235</v>
      </c>
      <c r="B94" t="s">
        <v>236</v>
      </c>
      <c r="C94" t="s">
        <v>236</v>
      </c>
      <c r="D94" t="s">
        <v>5</v>
      </c>
      <c r="E94">
        <v>0</v>
      </c>
      <c r="F94">
        <v>0</v>
      </c>
      <c r="G94">
        <v>1</v>
      </c>
      <c r="H94">
        <v>0</v>
      </c>
      <c r="I94" t="s">
        <v>18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5.9</v>
      </c>
      <c r="AE94">
        <v>430</v>
      </c>
      <c r="AF94">
        <v>19.411579633956691</v>
      </c>
      <c r="AG94">
        <v>15.716068717629801</v>
      </c>
      <c r="AH94">
        <f>2.28113231371197*1*2</f>
        <v>4.5622646274239402</v>
      </c>
      <c r="AI94">
        <v>1</v>
      </c>
      <c r="AJ94">
        <v>0</v>
      </c>
    </row>
    <row r="95" spans="1:36" hidden="1" x14ac:dyDescent="0.2">
      <c r="A95" t="s">
        <v>57</v>
      </c>
      <c r="B95" t="s">
        <v>58</v>
      </c>
      <c r="C95" t="s">
        <v>59</v>
      </c>
      <c r="D95" t="s">
        <v>3</v>
      </c>
      <c r="E95">
        <v>1</v>
      </c>
      <c r="F95">
        <v>0</v>
      </c>
      <c r="G95">
        <v>0</v>
      </c>
      <c r="H95">
        <v>0</v>
      </c>
      <c r="I95" t="s">
        <v>8</v>
      </c>
      <c r="J95">
        <v>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5.0999999999999996</v>
      </c>
      <c r="AE95">
        <v>26</v>
      </c>
      <c r="AF95">
        <v>24.999999999999989</v>
      </c>
      <c r="AG95">
        <v>25.973776822105439</v>
      </c>
      <c r="AH95">
        <f>5.92432528744055*1</f>
        <v>5.9243252874405501</v>
      </c>
      <c r="AI95">
        <v>1</v>
      </c>
      <c r="AJ95">
        <v>0</v>
      </c>
    </row>
    <row r="96" spans="1:36" hidden="1" x14ac:dyDescent="0.2">
      <c r="A96" t="s">
        <v>372</v>
      </c>
      <c r="B96" t="s">
        <v>373</v>
      </c>
      <c r="C96" t="s">
        <v>374</v>
      </c>
      <c r="D96" t="s">
        <v>3</v>
      </c>
      <c r="E96">
        <v>1</v>
      </c>
      <c r="F96">
        <v>0</v>
      </c>
      <c r="G96">
        <v>0</v>
      </c>
      <c r="H96">
        <v>0</v>
      </c>
      <c r="I96" t="s">
        <v>27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1</v>
      </c>
      <c r="AD96">
        <v>5</v>
      </c>
      <c r="AE96">
        <v>821</v>
      </c>
      <c r="AF96">
        <v>22.628815581821581</v>
      </c>
      <c r="AG96">
        <v>23.70227763463722</v>
      </c>
      <c r="AH96">
        <f>5.09285190326023*1</f>
        <v>5.0928519032602297</v>
      </c>
      <c r="AI96">
        <v>1</v>
      </c>
      <c r="AJ96">
        <v>0</v>
      </c>
    </row>
    <row r="97" spans="1:36" hidden="1" x14ac:dyDescent="0.2">
      <c r="A97" t="s">
        <v>51</v>
      </c>
      <c r="B97" t="s">
        <v>52</v>
      </c>
      <c r="C97" t="s">
        <v>52</v>
      </c>
      <c r="D97" t="s">
        <v>4</v>
      </c>
      <c r="E97">
        <v>0</v>
      </c>
      <c r="F97">
        <v>1</v>
      </c>
      <c r="G97">
        <v>0</v>
      </c>
      <c r="H97">
        <v>0</v>
      </c>
      <c r="I97" t="s">
        <v>8</v>
      </c>
      <c r="J97">
        <v>1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5.8</v>
      </c>
      <c r="AE97">
        <v>18</v>
      </c>
      <c r="AF97">
        <v>24.075756504726851</v>
      </c>
      <c r="AG97">
        <v>25.08638395000435</v>
      </c>
      <c r="AH97">
        <f>5.06753213426442*1</f>
        <v>5.06753213426442</v>
      </c>
      <c r="AI97">
        <v>1</v>
      </c>
      <c r="AJ97">
        <v>0</v>
      </c>
    </row>
    <row r="98" spans="1:36" hidden="1" x14ac:dyDescent="0.2">
      <c r="A98" t="s">
        <v>243</v>
      </c>
      <c r="B98" t="s">
        <v>244</v>
      </c>
      <c r="C98" t="s">
        <v>244</v>
      </c>
      <c r="D98" t="s">
        <v>6</v>
      </c>
      <c r="E98">
        <v>0</v>
      </c>
      <c r="F98">
        <v>0</v>
      </c>
      <c r="G98">
        <v>0</v>
      </c>
      <c r="H98">
        <v>1</v>
      </c>
      <c r="I98" t="s">
        <v>19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4.8</v>
      </c>
      <c r="AE98">
        <v>459</v>
      </c>
      <c r="AF98">
        <v>17.95454545454545</v>
      </c>
      <c r="AG98">
        <v>13.464649423499059</v>
      </c>
      <c r="AH98">
        <f>5.91155894574545*0</f>
        <v>0</v>
      </c>
      <c r="AI98">
        <v>0</v>
      </c>
      <c r="AJ98">
        <v>0</v>
      </c>
    </row>
    <row r="99" spans="1:36" x14ac:dyDescent="0.2">
      <c r="A99" t="s">
        <v>239</v>
      </c>
      <c r="B99" t="s">
        <v>240</v>
      </c>
      <c r="C99" t="s">
        <v>240</v>
      </c>
      <c r="D99" t="s">
        <v>5</v>
      </c>
      <c r="E99">
        <v>0</v>
      </c>
      <c r="F99">
        <v>0</v>
      </c>
      <c r="G99">
        <v>1</v>
      </c>
      <c r="H99">
        <v>0</v>
      </c>
      <c r="I99" t="s">
        <v>18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7.1</v>
      </c>
      <c r="AE99">
        <v>435</v>
      </c>
      <c r="AF99">
        <v>24.110590184219369</v>
      </c>
      <c r="AG99">
        <v>27.448429894135199</v>
      </c>
      <c r="AH99">
        <f>4.9285103134855*1*2</f>
        <v>9.8570206269709999</v>
      </c>
      <c r="AI99">
        <v>1</v>
      </c>
      <c r="AJ99">
        <v>1</v>
      </c>
    </row>
    <row r="100" spans="1:36" hidden="1" x14ac:dyDescent="0.2">
      <c r="A100" t="s">
        <v>82</v>
      </c>
      <c r="B100" t="s">
        <v>127</v>
      </c>
      <c r="C100" t="s">
        <v>127</v>
      </c>
      <c r="D100" t="s">
        <v>4</v>
      </c>
      <c r="E100">
        <v>0</v>
      </c>
      <c r="F100">
        <v>1</v>
      </c>
      <c r="G100">
        <v>0</v>
      </c>
      <c r="H100">
        <v>0</v>
      </c>
      <c r="I100" t="s">
        <v>12</v>
      </c>
      <c r="J100">
        <v>0</v>
      </c>
      <c r="K100">
        <v>0</v>
      </c>
      <c r="L100">
        <v>0</v>
      </c>
      <c r="M100">
        <v>0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5.2</v>
      </c>
      <c r="AE100">
        <v>167</v>
      </c>
      <c r="AF100">
        <v>15.994623655913969</v>
      </c>
      <c r="AG100">
        <v>14.22647792566471</v>
      </c>
      <c r="AH100">
        <f>4.19856288668546*1</f>
        <v>4.1985628866854601</v>
      </c>
      <c r="AI100">
        <v>1</v>
      </c>
      <c r="AJ100">
        <v>0</v>
      </c>
    </row>
    <row r="101" spans="1:36" hidden="1" x14ac:dyDescent="0.2">
      <c r="A101" t="s">
        <v>249</v>
      </c>
      <c r="B101" t="s">
        <v>250</v>
      </c>
      <c r="C101" t="s">
        <v>250</v>
      </c>
      <c r="D101" t="s">
        <v>6</v>
      </c>
      <c r="E101">
        <v>0</v>
      </c>
      <c r="F101">
        <v>0</v>
      </c>
      <c r="G101">
        <v>0</v>
      </c>
      <c r="H101">
        <v>1</v>
      </c>
      <c r="I101" t="s">
        <v>19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4.9000000000000004</v>
      </c>
      <c r="AE101">
        <v>473</v>
      </c>
      <c r="AF101">
        <v>13.8</v>
      </c>
      <c r="AG101">
        <v>14.45656507146508</v>
      </c>
      <c r="AH101">
        <f>4.543669103616*1</f>
        <v>4.5436691036159997</v>
      </c>
      <c r="AI101">
        <v>1</v>
      </c>
      <c r="AJ101">
        <v>0</v>
      </c>
    </row>
    <row r="102" spans="1:36" hidden="1" x14ac:dyDescent="0.2">
      <c r="A102" t="s">
        <v>251</v>
      </c>
      <c r="B102" t="s">
        <v>252</v>
      </c>
      <c r="C102" t="s">
        <v>252</v>
      </c>
      <c r="D102" t="s">
        <v>5</v>
      </c>
      <c r="E102">
        <v>0</v>
      </c>
      <c r="F102">
        <v>0</v>
      </c>
      <c r="G102">
        <v>1</v>
      </c>
      <c r="H102">
        <v>0</v>
      </c>
      <c r="I102" t="s">
        <v>19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4.7</v>
      </c>
      <c r="AE102">
        <v>490</v>
      </c>
      <c r="AF102">
        <v>16.2646882133274</v>
      </c>
      <c r="AG102">
        <v>7.5460346569255812</v>
      </c>
      <c r="AH102">
        <f>8.76964095949156*1</f>
        <v>8.7696409594915607</v>
      </c>
      <c r="AI102">
        <v>1</v>
      </c>
      <c r="AJ102">
        <v>0</v>
      </c>
    </row>
    <row r="103" spans="1:36" hidden="1" x14ac:dyDescent="0.2">
      <c r="A103" t="s">
        <v>253</v>
      </c>
      <c r="B103" t="s">
        <v>254</v>
      </c>
      <c r="C103" t="s">
        <v>254</v>
      </c>
      <c r="D103" t="s">
        <v>5</v>
      </c>
      <c r="E103">
        <v>0</v>
      </c>
      <c r="F103">
        <v>0</v>
      </c>
      <c r="G103">
        <v>1</v>
      </c>
      <c r="H103">
        <v>0</v>
      </c>
      <c r="I103" t="s">
        <v>19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1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4.9000000000000004</v>
      </c>
      <c r="AE103">
        <v>493</v>
      </c>
      <c r="AF103">
        <v>14.99757115483278</v>
      </c>
      <c r="AG103">
        <v>12.72387489001528</v>
      </c>
      <c r="AH103">
        <f>5.14515161824489*1</f>
        <v>5.1451516182448902</v>
      </c>
      <c r="AI103">
        <v>1</v>
      </c>
      <c r="AJ103">
        <v>0</v>
      </c>
    </row>
    <row r="104" spans="1:36" hidden="1" x14ac:dyDescent="0.2">
      <c r="A104" t="s">
        <v>255</v>
      </c>
      <c r="B104" t="s">
        <v>256</v>
      </c>
      <c r="C104" t="s">
        <v>256</v>
      </c>
      <c r="D104" t="s">
        <v>4</v>
      </c>
      <c r="E104">
        <v>0</v>
      </c>
      <c r="F104">
        <v>1</v>
      </c>
      <c r="G104">
        <v>0</v>
      </c>
      <c r="H104">
        <v>0</v>
      </c>
      <c r="I104" t="s">
        <v>20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4.9000000000000004</v>
      </c>
      <c r="AE104">
        <v>505</v>
      </c>
      <c r="AF104">
        <v>16.489361702127649</v>
      </c>
      <c r="AG104">
        <v>18.511147768360502</v>
      </c>
      <c r="AH104">
        <f>3.2042071623117*1</f>
        <v>3.2042071623116999</v>
      </c>
      <c r="AI104">
        <v>1</v>
      </c>
      <c r="AJ104">
        <v>0</v>
      </c>
    </row>
    <row r="105" spans="1:36" hidden="1" x14ac:dyDescent="0.2">
      <c r="A105" t="s">
        <v>106</v>
      </c>
      <c r="B105" t="s">
        <v>257</v>
      </c>
      <c r="C105" t="s">
        <v>257</v>
      </c>
      <c r="D105" t="s">
        <v>4</v>
      </c>
      <c r="E105">
        <v>0</v>
      </c>
      <c r="F105">
        <v>1</v>
      </c>
      <c r="G105">
        <v>0</v>
      </c>
      <c r="H105">
        <v>0</v>
      </c>
      <c r="I105" t="s">
        <v>20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5</v>
      </c>
      <c r="AE105">
        <v>506</v>
      </c>
      <c r="AF105">
        <v>16.36690647482013</v>
      </c>
      <c r="AG105">
        <v>16.347029877449462</v>
      </c>
      <c r="AH105">
        <f>3.18041170415575*1</f>
        <v>3.18041170415575</v>
      </c>
      <c r="AI105">
        <v>1</v>
      </c>
      <c r="AJ105">
        <v>0</v>
      </c>
    </row>
    <row r="106" spans="1:36" hidden="1" x14ac:dyDescent="0.2">
      <c r="A106" t="s">
        <v>258</v>
      </c>
      <c r="B106" t="s">
        <v>259</v>
      </c>
      <c r="C106" t="s">
        <v>260</v>
      </c>
      <c r="D106" t="s">
        <v>6</v>
      </c>
      <c r="E106">
        <v>0</v>
      </c>
      <c r="F106">
        <v>0</v>
      </c>
      <c r="G106">
        <v>0</v>
      </c>
      <c r="H106">
        <v>1</v>
      </c>
      <c r="I106" t="s">
        <v>20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6.4</v>
      </c>
      <c r="AE106">
        <v>507</v>
      </c>
      <c r="AF106">
        <v>18.684210526315798</v>
      </c>
      <c r="AG106">
        <v>19.48147231881785</v>
      </c>
      <c r="AH106">
        <f>3.63070943994368*1</f>
        <v>3.6307094399436801</v>
      </c>
      <c r="AI106">
        <v>1</v>
      </c>
      <c r="AJ106">
        <v>0</v>
      </c>
    </row>
    <row r="107" spans="1:36" hidden="1" x14ac:dyDescent="0.2">
      <c r="A107" t="s">
        <v>261</v>
      </c>
      <c r="B107" t="s">
        <v>262</v>
      </c>
      <c r="C107" t="s">
        <v>261</v>
      </c>
      <c r="D107" t="s">
        <v>5</v>
      </c>
      <c r="E107">
        <v>0</v>
      </c>
      <c r="F107">
        <v>0</v>
      </c>
      <c r="G107">
        <v>1</v>
      </c>
      <c r="H107">
        <v>0</v>
      </c>
      <c r="I107" t="s">
        <v>20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6.2</v>
      </c>
      <c r="AE107">
        <v>508</v>
      </c>
      <c r="AF107">
        <v>18.482142857142861</v>
      </c>
      <c r="AG107">
        <v>22.99260408852561</v>
      </c>
      <c r="AH107">
        <f>3.59144371913946*1</f>
        <v>3.5914437191394599</v>
      </c>
      <c r="AI107">
        <v>1</v>
      </c>
      <c r="AJ107">
        <v>0</v>
      </c>
    </row>
    <row r="108" spans="1:36" hidden="1" x14ac:dyDescent="0.2">
      <c r="A108" t="s">
        <v>263</v>
      </c>
      <c r="B108" t="s">
        <v>264</v>
      </c>
      <c r="C108" t="s">
        <v>263</v>
      </c>
      <c r="D108" t="s">
        <v>4</v>
      </c>
      <c r="E108">
        <v>0</v>
      </c>
      <c r="F108">
        <v>1</v>
      </c>
      <c r="G108">
        <v>0</v>
      </c>
      <c r="H108">
        <v>0</v>
      </c>
      <c r="I108" t="s">
        <v>20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1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5.5</v>
      </c>
      <c r="AE108">
        <v>514</v>
      </c>
      <c r="AF108">
        <v>15.10416666666667</v>
      </c>
      <c r="AG108">
        <v>15.397195720782131</v>
      </c>
      <c r="AH108">
        <f>2.93503653375729*1</f>
        <v>2.9350365337572901</v>
      </c>
      <c r="AI108">
        <v>1</v>
      </c>
      <c r="AJ108">
        <v>0</v>
      </c>
    </row>
    <row r="109" spans="1:36" hidden="1" x14ac:dyDescent="0.2">
      <c r="A109" t="s">
        <v>265</v>
      </c>
      <c r="B109" t="s">
        <v>266</v>
      </c>
      <c r="C109" t="s">
        <v>267</v>
      </c>
      <c r="D109" t="s">
        <v>3</v>
      </c>
      <c r="E109">
        <v>1</v>
      </c>
      <c r="F109">
        <v>0</v>
      </c>
      <c r="G109">
        <v>0</v>
      </c>
      <c r="H109">
        <v>0</v>
      </c>
      <c r="I109" t="s">
        <v>20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5.5</v>
      </c>
      <c r="AE109">
        <v>515</v>
      </c>
      <c r="AF109">
        <v>19.515306122448951</v>
      </c>
      <c r="AG109">
        <v>22.31622648704959</v>
      </c>
      <c r="AH109">
        <f>3.79220765374974*1</f>
        <v>3.79220765374974</v>
      </c>
      <c r="AI109">
        <v>1</v>
      </c>
      <c r="AJ109">
        <v>0</v>
      </c>
    </row>
    <row r="110" spans="1:36" hidden="1" x14ac:dyDescent="0.2">
      <c r="A110" t="s">
        <v>367</v>
      </c>
      <c r="B110" t="s">
        <v>368</v>
      </c>
      <c r="C110" t="s">
        <v>368</v>
      </c>
      <c r="D110" t="s">
        <v>4</v>
      </c>
      <c r="E110">
        <v>0</v>
      </c>
      <c r="F110">
        <v>1</v>
      </c>
      <c r="G110">
        <v>0</v>
      </c>
      <c r="H110">
        <v>0</v>
      </c>
      <c r="I110" t="s">
        <v>27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1</v>
      </c>
      <c r="AD110">
        <v>4.5</v>
      </c>
      <c r="AE110">
        <v>816</v>
      </c>
      <c r="AF110">
        <v>17.897435897435901</v>
      </c>
      <c r="AG110">
        <v>18.97834195644759</v>
      </c>
      <c r="AH110">
        <f>4.09014320192133*1</f>
        <v>4.0901432019213297</v>
      </c>
      <c r="AI110">
        <v>1</v>
      </c>
      <c r="AJ110">
        <v>0</v>
      </c>
    </row>
    <row r="111" spans="1:36" hidden="1" x14ac:dyDescent="0.2">
      <c r="A111" t="s">
        <v>270</v>
      </c>
      <c r="B111" t="s">
        <v>271</v>
      </c>
      <c r="C111" t="s">
        <v>271</v>
      </c>
      <c r="D111" t="s">
        <v>6</v>
      </c>
      <c r="E111">
        <v>0</v>
      </c>
      <c r="F111">
        <v>0</v>
      </c>
      <c r="G111">
        <v>0</v>
      </c>
      <c r="H111">
        <v>1</v>
      </c>
      <c r="I111" t="s">
        <v>20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1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14.3</v>
      </c>
      <c r="AE111">
        <v>518</v>
      </c>
      <c r="AF111">
        <v>38.055555555555557</v>
      </c>
      <c r="AG111">
        <v>39.741172214076911</v>
      </c>
      <c r="AH111">
        <f>7.39494262298389*1</f>
        <v>7.3949426229838897</v>
      </c>
      <c r="AI111">
        <v>1</v>
      </c>
      <c r="AJ111">
        <v>0</v>
      </c>
    </row>
    <row r="112" spans="1:36" hidden="1" x14ac:dyDescent="0.2">
      <c r="A112" t="s">
        <v>272</v>
      </c>
      <c r="B112" t="s">
        <v>273</v>
      </c>
      <c r="C112" t="s">
        <v>272</v>
      </c>
      <c r="D112" t="s">
        <v>5</v>
      </c>
      <c r="E112">
        <v>0</v>
      </c>
      <c r="F112">
        <v>0</v>
      </c>
      <c r="G112">
        <v>1</v>
      </c>
      <c r="H112">
        <v>0</v>
      </c>
      <c r="I112" t="s">
        <v>20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5.6</v>
      </c>
      <c r="AE112">
        <v>525</v>
      </c>
      <c r="AF112">
        <v>17.481812171982671</v>
      </c>
      <c r="AG112">
        <v>15.26155791724938</v>
      </c>
      <c r="AH112">
        <f>3.23554694276529*1</f>
        <v>3.2355469427652901</v>
      </c>
      <c r="AI112">
        <v>1</v>
      </c>
      <c r="AJ112">
        <v>0</v>
      </c>
    </row>
    <row r="113" spans="1:36" hidden="1" x14ac:dyDescent="0.2">
      <c r="A113" t="s">
        <v>274</v>
      </c>
      <c r="B113" t="s">
        <v>275</v>
      </c>
      <c r="C113" t="s">
        <v>275</v>
      </c>
      <c r="D113" t="s">
        <v>4</v>
      </c>
      <c r="E113">
        <v>0</v>
      </c>
      <c r="F113">
        <v>1</v>
      </c>
      <c r="G113">
        <v>0</v>
      </c>
      <c r="H113">
        <v>0</v>
      </c>
      <c r="I113" t="s">
        <v>20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5.3</v>
      </c>
      <c r="AE113">
        <v>529</v>
      </c>
      <c r="AF113">
        <v>15.882771829703779</v>
      </c>
      <c r="AG113">
        <v>22.463908949116728</v>
      </c>
      <c r="AH113">
        <f>3.08633482444215*0</f>
        <v>0</v>
      </c>
      <c r="AI113">
        <v>0</v>
      </c>
      <c r="AJ113">
        <v>0</v>
      </c>
    </row>
    <row r="114" spans="1:36" x14ac:dyDescent="0.2">
      <c r="A114" t="s">
        <v>276</v>
      </c>
      <c r="B114" t="s">
        <v>277</v>
      </c>
      <c r="C114" t="s">
        <v>278</v>
      </c>
      <c r="D114" t="s">
        <v>5</v>
      </c>
      <c r="E114">
        <v>0</v>
      </c>
      <c r="F114">
        <v>0</v>
      </c>
      <c r="G114">
        <v>1</v>
      </c>
      <c r="H114">
        <v>0</v>
      </c>
      <c r="I114" t="s">
        <v>21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8.1999999999999993</v>
      </c>
      <c r="AE114">
        <v>540</v>
      </c>
      <c r="AF114">
        <v>20.983606557377051</v>
      </c>
      <c r="AG114">
        <v>24.10855196163849</v>
      </c>
      <c r="AH114">
        <f>4.99491453682869*1*2</f>
        <v>9.9898290736573792</v>
      </c>
      <c r="AI114">
        <v>1</v>
      </c>
      <c r="AJ114">
        <v>1</v>
      </c>
    </row>
    <row r="115" spans="1:36" x14ac:dyDescent="0.2">
      <c r="A115" t="s">
        <v>221</v>
      </c>
      <c r="B115" t="s">
        <v>279</v>
      </c>
      <c r="C115" t="s">
        <v>280</v>
      </c>
      <c r="D115" t="s">
        <v>4</v>
      </c>
      <c r="E115">
        <v>0</v>
      </c>
      <c r="F115">
        <v>1</v>
      </c>
      <c r="G115">
        <v>0</v>
      </c>
      <c r="H115">
        <v>0</v>
      </c>
      <c r="I115" t="s">
        <v>21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5.2</v>
      </c>
      <c r="AE115">
        <v>544</v>
      </c>
      <c r="AF115">
        <v>17.307692307692299</v>
      </c>
      <c r="AG115">
        <v>18.153631421705722</v>
      </c>
      <c r="AH115">
        <f>3.71143223946494*1*2</f>
        <v>7.4228644789298803</v>
      </c>
      <c r="AI115">
        <v>1</v>
      </c>
      <c r="AJ115">
        <v>1</v>
      </c>
    </row>
    <row r="116" spans="1:36" hidden="1" x14ac:dyDescent="0.2">
      <c r="A116" t="s">
        <v>281</v>
      </c>
      <c r="B116" t="s">
        <v>282</v>
      </c>
      <c r="C116" t="s">
        <v>282</v>
      </c>
      <c r="D116" t="s">
        <v>5</v>
      </c>
      <c r="E116">
        <v>0</v>
      </c>
      <c r="F116">
        <v>0</v>
      </c>
      <c r="G116">
        <v>1</v>
      </c>
      <c r="H116">
        <v>0</v>
      </c>
      <c r="I116" t="s">
        <v>21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1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4.9000000000000004</v>
      </c>
      <c r="AE116">
        <v>548</v>
      </c>
      <c r="AF116">
        <v>23.52847314348816</v>
      </c>
      <c r="AG116">
        <v>12.368460040311261</v>
      </c>
      <c r="AH116">
        <f>1.56437308149378*1*2</f>
        <v>3.1287461629875599</v>
      </c>
      <c r="AI116">
        <v>1</v>
      </c>
      <c r="AJ116">
        <v>0</v>
      </c>
    </row>
    <row r="117" spans="1:36" hidden="1" x14ac:dyDescent="0.2">
      <c r="A117" t="s">
        <v>283</v>
      </c>
      <c r="B117" t="s">
        <v>284</v>
      </c>
      <c r="C117" t="s">
        <v>285</v>
      </c>
      <c r="D117" t="s">
        <v>4</v>
      </c>
      <c r="E117">
        <v>0</v>
      </c>
      <c r="F117">
        <v>1</v>
      </c>
      <c r="G117">
        <v>0</v>
      </c>
      <c r="H117">
        <v>0</v>
      </c>
      <c r="I117" t="s">
        <v>21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4.5</v>
      </c>
      <c r="AE117">
        <v>551</v>
      </c>
      <c r="AF117">
        <v>15.8467607670113</v>
      </c>
      <c r="AG117">
        <v>15.133074339713669</v>
      </c>
      <c r="AH117">
        <v>0</v>
      </c>
      <c r="AI117">
        <v>1</v>
      </c>
      <c r="AJ117">
        <v>0</v>
      </c>
    </row>
    <row r="118" spans="1:36" x14ac:dyDescent="0.2">
      <c r="A118" t="s">
        <v>98</v>
      </c>
      <c r="B118" t="s">
        <v>286</v>
      </c>
      <c r="C118" t="s">
        <v>286</v>
      </c>
      <c r="D118" t="s">
        <v>5</v>
      </c>
      <c r="E118">
        <v>0</v>
      </c>
      <c r="F118">
        <v>0</v>
      </c>
      <c r="G118">
        <v>1</v>
      </c>
      <c r="H118">
        <v>0</v>
      </c>
      <c r="I118" t="s">
        <v>21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1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8.4</v>
      </c>
      <c r="AE118">
        <v>560</v>
      </c>
      <c r="AF118">
        <v>21.907980497913481</v>
      </c>
      <c r="AG118">
        <v>23.139848802210889</v>
      </c>
      <c r="AH118">
        <f>5.27552397430106*1*2</f>
        <v>10.55104794860212</v>
      </c>
      <c r="AI118">
        <v>1</v>
      </c>
      <c r="AJ118">
        <v>1</v>
      </c>
    </row>
    <row r="119" spans="1:36" x14ac:dyDescent="0.2">
      <c r="A119" t="s">
        <v>287</v>
      </c>
      <c r="B119" t="s">
        <v>288</v>
      </c>
      <c r="C119" t="s">
        <v>288</v>
      </c>
      <c r="D119" t="s">
        <v>3</v>
      </c>
      <c r="E119">
        <v>1</v>
      </c>
      <c r="F119">
        <v>0</v>
      </c>
      <c r="G119">
        <v>0</v>
      </c>
      <c r="H119">
        <v>0</v>
      </c>
      <c r="I119" t="s">
        <v>21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1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4.9000000000000004</v>
      </c>
      <c r="AE119">
        <v>566</v>
      </c>
      <c r="AF119">
        <v>18.333333333333329</v>
      </c>
      <c r="AG119">
        <v>15.79827657425486</v>
      </c>
      <c r="AH119">
        <f>4.10824887043101*1*2</f>
        <v>8.2164977408620192</v>
      </c>
      <c r="AI119">
        <v>1</v>
      </c>
      <c r="AJ119">
        <v>1</v>
      </c>
    </row>
    <row r="120" spans="1:36" hidden="1" x14ac:dyDescent="0.2">
      <c r="A120" t="s">
        <v>289</v>
      </c>
      <c r="B120" t="s">
        <v>290</v>
      </c>
      <c r="C120" t="s">
        <v>290</v>
      </c>
      <c r="D120" t="s">
        <v>6</v>
      </c>
      <c r="E120">
        <v>0</v>
      </c>
      <c r="F120">
        <v>0</v>
      </c>
      <c r="G120">
        <v>0</v>
      </c>
      <c r="H120">
        <v>1</v>
      </c>
      <c r="I120" t="s">
        <v>21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1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7</v>
      </c>
      <c r="AE120">
        <v>567</v>
      </c>
      <c r="AF120">
        <v>15.76231551586449</v>
      </c>
      <c r="AG120">
        <v>23.066331212969018</v>
      </c>
      <c r="AH120">
        <f>3.81823195225807*1*2</f>
        <v>7.6364639045161402</v>
      </c>
      <c r="AI120">
        <v>1</v>
      </c>
      <c r="AJ120">
        <v>0</v>
      </c>
    </row>
    <row r="121" spans="1:36" x14ac:dyDescent="0.2">
      <c r="A121" t="s">
        <v>291</v>
      </c>
      <c r="B121" t="s">
        <v>292</v>
      </c>
      <c r="C121" t="s">
        <v>292</v>
      </c>
      <c r="D121" t="s">
        <v>4</v>
      </c>
      <c r="E121">
        <v>0</v>
      </c>
      <c r="F121">
        <v>1</v>
      </c>
      <c r="G121">
        <v>0</v>
      </c>
      <c r="H121">
        <v>0</v>
      </c>
      <c r="I121" t="s">
        <v>21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1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4</v>
      </c>
      <c r="AE121">
        <v>572</v>
      </c>
      <c r="AF121">
        <v>14.92700729927008</v>
      </c>
      <c r="AG121">
        <v>19.173172565646819</v>
      </c>
      <c r="AH121">
        <f>3.64722842488361*0.75*2</f>
        <v>5.4708426373254149</v>
      </c>
      <c r="AI121">
        <v>0.75</v>
      </c>
      <c r="AJ121">
        <v>1</v>
      </c>
    </row>
    <row r="122" spans="1:36" hidden="1" x14ac:dyDescent="0.2">
      <c r="A122" t="s">
        <v>276</v>
      </c>
      <c r="B122" t="s">
        <v>293</v>
      </c>
      <c r="C122" t="s">
        <v>294</v>
      </c>
      <c r="D122" t="s">
        <v>5</v>
      </c>
      <c r="E122">
        <v>0</v>
      </c>
      <c r="F122">
        <v>0</v>
      </c>
      <c r="G122">
        <v>1</v>
      </c>
      <c r="H122">
        <v>0</v>
      </c>
      <c r="I122" t="s">
        <v>22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5.8</v>
      </c>
      <c r="AE122">
        <v>585</v>
      </c>
      <c r="AF122">
        <v>17.191780821917821</v>
      </c>
      <c r="AG122">
        <v>16.505123004121518</v>
      </c>
      <c r="AH122">
        <f>3.73390648938948*1</f>
        <v>3.7339064893894802</v>
      </c>
      <c r="AI122">
        <v>1</v>
      </c>
      <c r="AJ122">
        <v>0</v>
      </c>
    </row>
    <row r="123" spans="1:36" hidden="1" x14ac:dyDescent="0.2">
      <c r="A123" t="s">
        <v>295</v>
      </c>
      <c r="B123" t="s">
        <v>296</v>
      </c>
      <c r="C123" t="s">
        <v>296</v>
      </c>
      <c r="D123" t="s">
        <v>4</v>
      </c>
      <c r="E123">
        <v>0</v>
      </c>
      <c r="F123">
        <v>1</v>
      </c>
      <c r="G123">
        <v>0</v>
      </c>
      <c r="H123">
        <v>0</v>
      </c>
      <c r="I123" t="s">
        <v>22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4.5</v>
      </c>
      <c r="AE123">
        <v>586</v>
      </c>
      <c r="AF123">
        <v>15.1817984721873</v>
      </c>
      <c r="AG123">
        <v>15.45138789814604</v>
      </c>
      <c r="AH123">
        <f>3.31363949679316*1</f>
        <v>3.3136394967931602</v>
      </c>
      <c r="AI123">
        <v>1</v>
      </c>
      <c r="AJ123">
        <v>0</v>
      </c>
    </row>
    <row r="124" spans="1:36" hidden="1" x14ac:dyDescent="0.2">
      <c r="A124" t="s">
        <v>297</v>
      </c>
      <c r="B124" t="s">
        <v>298</v>
      </c>
      <c r="C124" t="s">
        <v>298</v>
      </c>
      <c r="D124" t="s">
        <v>5</v>
      </c>
      <c r="E124">
        <v>0</v>
      </c>
      <c r="F124">
        <v>0</v>
      </c>
      <c r="G124">
        <v>1</v>
      </c>
      <c r="H124">
        <v>0</v>
      </c>
      <c r="I124" t="s">
        <v>22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1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6</v>
      </c>
      <c r="AE124">
        <v>591</v>
      </c>
      <c r="AF124">
        <v>23.413701015828739</v>
      </c>
      <c r="AG124">
        <v>12.246243522525511</v>
      </c>
      <c r="AH124">
        <f>3.83519955884399*1</f>
        <v>3.83519955884399</v>
      </c>
      <c r="AI124">
        <v>1</v>
      </c>
      <c r="AJ124">
        <v>0</v>
      </c>
    </row>
    <row r="125" spans="1:36" hidden="1" x14ac:dyDescent="0.2">
      <c r="A125" t="s">
        <v>299</v>
      </c>
      <c r="B125" t="s">
        <v>300</v>
      </c>
      <c r="C125" t="s">
        <v>300</v>
      </c>
      <c r="D125" t="s">
        <v>6</v>
      </c>
      <c r="E125">
        <v>0</v>
      </c>
      <c r="F125">
        <v>0</v>
      </c>
      <c r="G125">
        <v>0</v>
      </c>
      <c r="H125">
        <v>1</v>
      </c>
      <c r="I125" t="s">
        <v>22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1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7.8</v>
      </c>
      <c r="AE125">
        <v>594</v>
      </c>
      <c r="AF125">
        <v>25.11904761904761</v>
      </c>
      <c r="AG125">
        <v>25.606324059650511</v>
      </c>
      <c r="AH125">
        <f>5.3583803913539*1</f>
        <v>5.3583803913538999</v>
      </c>
      <c r="AI125">
        <v>1</v>
      </c>
      <c r="AJ125">
        <v>0</v>
      </c>
    </row>
    <row r="126" spans="1:36" hidden="1" x14ac:dyDescent="0.2">
      <c r="A126" t="s">
        <v>301</v>
      </c>
      <c r="B126" t="s">
        <v>302</v>
      </c>
      <c r="C126" t="s">
        <v>302</v>
      </c>
      <c r="D126" t="s">
        <v>5</v>
      </c>
      <c r="E126">
        <v>0</v>
      </c>
      <c r="F126">
        <v>0</v>
      </c>
      <c r="G126">
        <v>1</v>
      </c>
      <c r="H126">
        <v>0</v>
      </c>
      <c r="I126" t="s">
        <v>22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4.8</v>
      </c>
      <c r="AE126">
        <v>600</v>
      </c>
      <c r="AF126">
        <v>14.1715627211927</v>
      </c>
      <c r="AG126">
        <v>10.773216456208241</v>
      </c>
      <c r="AH126">
        <f>2.68546603405934*1</f>
        <v>2.6854660340593401</v>
      </c>
      <c r="AI126">
        <v>1</v>
      </c>
      <c r="AJ126">
        <v>0</v>
      </c>
    </row>
    <row r="127" spans="1:36" hidden="1" x14ac:dyDescent="0.2">
      <c r="A127" t="s">
        <v>303</v>
      </c>
      <c r="B127" t="s">
        <v>304</v>
      </c>
      <c r="C127" t="s">
        <v>304</v>
      </c>
      <c r="D127" t="s">
        <v>4</v>
      </c>
      <c r="E127">
        <v>0</v>
      </c>
      <c r="F127">
        <v>1</v>
      </c>
      <c r="G127">
        <v>0</v>
      </c>
      <c r="H127">
        <v>0</v>
      </c>
      <c r="I127" t="s">
        <v>22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1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5.5</v>
      </c>
      <c r="AE127">
        <v>606</v>
      </c>
      <c r="AF127">
        <v>16.758329923481</v>
      </c>
      <c r="AG127">
        <v>18.053105356491859</v>
      </c>
      <c r="AH127">
        <f>4.21581760751259*1</f>
        <v>4.2158176075125899</v>
      </c>
      <c r="AI127">
        <v>1</v>
      </c>
      <c r="AJ127">
        <v>0</v>
      </c>
    </row>
    <row r="128" spans="1:36" hidden="1" x14ac:dyDescent="0.2">
      <c r="A128" t="s">
        <v>305</v>
      </c>
      <c r="B128" t="s">
        <v>306</v>
      </c>
      <c r="C128" t="s">
        <v>306</v>
      </c>
      <c r="D128" t="s">
        <v>4</v>
      </c>
      <c r="E128">
        <v>0</v>
      </c>
      <c r="F128">
        <v>1</v>
      </c>
      <c r="G128">
        <v>0</v>
      </c>
      <c r="H128">
        <v>0</v>
      </c>
      <c r="I128" t="s">
        <v>22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1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6.7</v>
      </c>
      <c r="AE128">
        <v>609</v>
      </c>
      <c r="AF128">
        <v>22.69339674670011</v>
      </c>
      <c r="AG128">
        <v>16.04919015801288</v>
      </c>
      <c r="AH128">
        <f>3.20153010706227*1</f>
        <v>3.2015301070622701</v>
      </c>
      <c r="AI128">
        <v>1</v>
      </c>
      <c r="AJ128">
        <v>0</v>
      </c>
    </row>
    <row r="129" spans="1:36" hidden="1" x14ac:dyDescent="0.2">
      <c r="A129" t="s">
        <v>307</v>
      </c>
      <c r="B129" t="s">
        <v>308</v>
      </c>
      <c r="C129" t="s">
        <v>308</v>
      </c>
      <c r="D129" t="s">
        <v>5</v>
      </c>
      <c r="E129">
        <v>0</v>
      </c>
      <c r="F129">
        <v>0</v>
      </c>
      <c r="G129">
        <v>1</v>
      </c>
      <c r="H129">
        <v>0</v>
      </c>
      <c r="I129" t="s">
        <v>23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1</v>
      </c>
      <c r="Z129">
        <v>0</v>
      </c>
      <c r="AA129">
        <v>0</v>
      </c>
      <c r="AB129">
        <v>0</v>
      </c>
      <c r="AC129">
        <v>0</v>
      </c>
      <c r="AD129">
        <v>4.7</v>
      </c>
      <c r="AE129">
        <v>626</v>
      </c>
      <c r="AF129">
        <v>14.213483146067411</v>
      </c>
      <c r="AG129">
        <v>12.97735517538638</v>
      </c>
      <c r="AH129">
        <f>4.1797947215784*1</f>
        <v>4.1797947215783999</v>
      </c>
      <c r="AI129">
        <v>1</v>
      </c>
      <c r="AJ129">
        <v>0</v>
      </c>
    </row>
    <row r="130" spans="1:36" hidden="1" x14ac:dyDescent="0.2">
      <c r="A130" t="s">
        <v>309</v>
      </c>
      <c r="B130" t="s">
        <v>310</v>
      </c>
      <c r="C130" t="s">
        <v>310</v>
      </c>
      <c r="D130" t="s">
        <v>5</v>
      </c>
      <c r="E130">
        <v>0</v>
      </c>
      <c r="F130">
        <v>0</v>
      </c>
      <c r="G130">
        <v>1</v>
      </c>
      <c r="H130">
        <v>0</v>
      </c>
      <c r="I130" t="s">
        <v>23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1</v>
      </c>
      <c r="Z130">
        <v>0</v>
      </c>
      <c r="AA130">
        <v>0</v>
      </c>
      <c r="AB130">
        <v>0</v>
      </c>
      <c r="AC130">
        <v>0</v>
      </c>
      <c r="AD130">
        <v>5.7</v>
      </c>
      <c r="AE130">
        <v>641</v>
      </c>
      <c r="AF130">
        <v>24.284232602577461</v>
      </c>
      <c r="AG130">
        <v>11.36509710671659</v>
      </c>
      <c r="AH130">
        <f>3.09634536165034*1</f>
        <v>3.0963453616503398</v>
      </c>
      <c r="AI130">
        <v>1</v>
      </c>
      <c r="AJ130">
        <v>0</v>
      </c>
    </row>
    <row r="131" spans="1:36" hidden="1" x14ac:dyDescent="0.2">
      <c r="A131" t="s">
        <v>311</v>
      </c>
      <c r="B131" t="s">
        <v>312</v>
      </c>
      <c r="C131" t="s">
        <v>312</v>
      </c>
      <c r="D131" t="s">
        <v>6</v>
      </c>
      <c r="E131">
        <v>0</v>
      </c>
      <c r="F131">
        <v>0</v>
      </c>
      <c r="G131">
        <v>0</v>
      </c>
      <c r="H131">
        <v>1</v>
      </c>
      <c r="I131" t="s">
        <v>23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1</v>
      </c>
      <c r="Z131">
        <v>0</v>
      </c>
      <c r="AA131">
        <v>0</v>
      </c>
      <c r="AB131">
        <v>0</v>
      </c>
      <c r="AC131">
        <v>0</v>
      </c>
      <c r="AD131">
        <v>4.8</v>
      </c>
      <c r="AE131">
        <v>661</v>
      </c>
      <c r="AF131">
        <v>18.845430768123439</v>
      </c>
      <c r="AG131">
        <v>15.40450643045747</v>
      </c>
      <c r="AH131">
        <f>3.77005247949262*1</f>
        <v>3.77005247949262</v>
      </c>
      <c r="AI131">
        <v>1</v>
      </c>
      <c r="AJ131">
        <v>0</v>
      </c>
    </row>
    <row r="132" spans="1:36" hidden="1" x14ac:dyDescent="0.2">
      <c r="A132" t="s">
        <v>313</v>
      </c>
      <c r="B132" t="s">
        <v>314</v>
      </c>
      <c r="C132" t="s">
        <v>313</v>
      </c>
      <c r="D132" t="s">
        <v>4</v>
      </c>
      <c r="E132">
        <v>0</v>
      </c>
      <c r="F132">
        <v>1</v>
      </c>
      <c r="G132">
        <v>0</v>
      </c>
      <c r="H132">
        <v>0</v>
      </c>
      <c r="I132" t="s">
        <v>23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1</v>
      </c>
      <c r="Z132">
        <v>0</v>
      </c>
      <c r="AA132">
        <v>0</v>
      </c>
      <c r="AB132">
        <v>0</v>
      </c>
      <c r="AC132">
        <v>0</v>
      </c>
      <c r="AD132">
        <v>4.5</v>
      </c>
      <c r="AE132">
        <v>668</v>
      </c>
      <c r="AF132">
        <v>8.6697236387635304</v>
      </c>
      <c r="AG132">
        <v>10.099304754931341</v>
      </c>
      <c r="AH132">
        <f>2.80015135083443*1</f>
        <v>2.80015135083443</v>
      </c>
      <c r="AI132">
        <v>1</v>
      </c>
      <c r="AJ132">
        <v>0</v>
      </c>
    </row>
    <row r="133" spans="1:36" hidden="1" x14ac:dyDescent="0.2">
      <c r="A133" t="s">
        <v>315</v>
      </c>
      <c r="B133" t="s">
        <v>316</v>
      </c>
      <c r="C133" t="s">
        <v>316</v>
      </c>
      <c r="D133" t="s">
        <v>6</v>
      </c>
      <c r="E133">
        <v>0</v>
      </c>
      <c r="F133">
        <v>0</v>
      </c>
      <c r="G133">
        <v>0</v>
      </c>
      <c r="H133">
        <v>1</v>
      </c>
      <c r="I133" t="s">
        <v>24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1</v>
      </c>
      <c r="AA133">
        <v>0</v>
      </c>
      <c r="AB133">
        <v>0</v>
      </c>
      <c r="AC133">
        <v>0</v>
      </c>
      <c r="AD133">
        <v>4.2</v>
      </c>
      <c r="AE133">
        <v>681</v>
      </c>
      <c r="AF133">
        <v>14.769747256513799</v>
      </c>
      <c r="AG133">
        <v>15.20584155576679</v>
      </c>
      <c r="AH133">
        <f>3.01878532753107*1</f>
        <v>3.0187853275310701</v>
      </c>
      <c r="AI133">
        <v>1</v>
      </c>
      <c r="AJ133">
        <v>0</v>
      </c>
    </row>
    <row r="134" spans="1:36" hidden="1" x14ac:dyDescent="0.2">
      <c r="A134" t="s">
        <v>317</v>
      </c>
      <c r="B134" t="s">
        <v>318</v>
      </c>
      <c r="C134" t="s">
        <v>318</v>
      </c>
      <c r="D134" t="s">
        <v>5</v>
      </c>
      <c r="E134">
        <v>0</v>
      </c>
      <c r="F134">
        <v>0</v>
      </c>
      <c r="G134">
        <v>1</v>
      </c>
      <c r="H134">
        <v>0</v>
      </c>
      <c r="I134" t="s">
        <v>24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1</v>
      </c>
      <c r="AA134">
        <v>0</v>
      </c>
      <c r="AB134">
        <v>0</v>
      </c>
      <c r="AC134">
        <v>0</v>
      </c>
      <c r="AD134">
        <v>4.9000000000000004</v>
      </c>
      <c r="AE134">
        <v>712</v>
      </c>
      <c r="AF134">
        <v>17.142857142857139</v>
      </c>
      <c r="AG134">
        <v>17.284227041689078</v>
      </c>
      <c r="AH134">
        <f>3.48422096514285*1</f>
        <v>3.4842209651428502</v>
      </c>
      <c r="AI134">
        <v>1</v>
      </c>
      <c r="AJ134">
        <v>0</v>
      </c>
    </row>
    <row r="135" spans="1:36" hidden="1" x14ac:dyDescent="0.2">
      <c r="A135" t="s">
        <v>319</v>
      </c>
      <c r="B135" t="s">
        <v>320</v>
      </c>
      <c r="C135" t="s">
        <v>320</v>
      </c>
      <c r="D135" t="s">
        <v>5</v>
      </c>
      <c r="E135">
        <v>0</v>
      </c>
      <c r="F135">
        <v>0</v>
      </c>
      <c r="G135">
        <v>1</v>
      </c>
      <c r="H135">
        <v>0</v>
      </c>
      <c r="I135" t="s">
        <v>25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1</v>
      </c>
      <c r="AB135">
        <v>0</v>
      </c>
      <c r="AC135">
        <v>0</v>
      </c>
      <c r="AD135">
        <v>5.8</v>
      </c>
      <c r="AE135">
        <v>724</v>
      </c>
      <c r="AF135">
        <v>13.8125</v>
      </c>
      <c r="AG135">
        <v>10.396942738675209</v>
      </c>
      <c r="AH135">
        <f>3.51343891126339*1</f>
        <v>3.5134389112633899</v>
      </c>
      <c r="AI135">
        <v>1</v>
      </c>
      <c r="AJ135">
        <v>0</v>
      </c>
    </row>
    <row r="136" spans="1:36" hidden="1" x14ac:dyDescent="0.2">
      <c r="A136" t="s">
        <v>321</v>
      </c>
      <c r="B136" t="s">
        <v>322</v>
      </c>
      <c r="C136" t="s">
        <v>322</v>
      </c>
      <c r="D136" t="s">
        <v>5</v>
      </c>
      <c r="E136">
        <v>0</v>
      </c>
      <c r="F136">
        <v>0</v>
      </c>
      <c r="G136">
        <v>1</v>
      </c>
      <c r="H136">
        <v>0</v>
      </c>
      <c r="I136" t="s">
        <v>25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1</v>
      </c>
      <c r="AB136">
        <v>0</v>
      </c>
      <c r="AC136">
        <v>0</v>
      </c>
      <c r="AD136">
        <v>6.8</v>
      </c>
      <c r="AE136">
        <v>735</v>
      </c>
      <c r="AF136">
        <v>15.499999999999989</v>
      </c>
      <c r="AG136">
        <v>14.937482345225041</v>
      </c>
      <c r="AH136">
        <f>3.94268259603782*1</f>
        <v>3.94268259603782</v>
      </c>
      <c r="AI136">
        <v>1</v>
      </c>
      <c r="AJ136">
        <v>0</v>
      </c>
    </row>
    <row r="137" spans="1:36" hidden="1" x14ac:dyDescent="0.2">
      <c r="A137" t="s">
        <v>187</v>
      </c>
      <c r="B137" t="s">
        <v>323</v>
      </c>
      <c r="C137" t="s">
        <v>323</v>
      </c>
      <c r="D137" t="s">
        <v>5</v>
      </c>
      <c r="E137">
        <v>0</v>
      </c>
      <c r="F137">
        <v>0</v>
      </c>
      <c r="G137">
        <v>1</v>
      </c>
      <c r="H137">
        <v>0</v>
      </c>
      <c r="I137" t="s">
        <v>25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1</v>
      </c>
      <c r="AB137">
        <v>0</v>
      </c>
      <c r="AC137">
        <v>0</v>
      </c>
      <c r="AD137">
        <v>7.9</v>
      </c>
      <c r="AE137">
        <v>738</v>
      </c>
      <c r="AF137">
        <v>17.275750119311969</v>
      </c>
      <c r="AG137">
        <v>15.823305366839429</v>
      </c>
      <c r="AH137">
        <f>4.01638451655802*1</f>
        <v>4.0163845165580199</v>
      </c>
      <c r="AI137">
        <v>1</v>
      </c>
      <c r="AJ137">
        <v>0</v>
      </c>
    </row>
    <row r="138" spans="1:36" hidden="1" x14ac:dyDescent="0.2">
      <c r="A138" t="s">
        <v>324</v>
      </c>
      <c r="B138" t="s">
        <v>325</v>
      </c>
      <c r="C138" t="s">
        <v>326</v>
      </c>
      <c r="D138" t="s">
        <v>4</v>
      </c>
      <c r="E138">
        <v>0</v>
      </c>
      <c r="F138">
        <v>1</v>
      </c>
      <c r="G138">
        <v>0</v>
      </c>
      <c r="H138">
        <v>0</v>
      </c>
      <c r="I138" t="s">
        <v>25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1</v>
      </c>
      <c r="AB138">
        <v>0</v>
      </c>
      <c r="AC138">
        <v>0</v>
      </c>
      <c r="AD138">
        <v>5.9</v>
      </c>
      <c r="AE138">
        <v>740</v>
      </c>
      <c r="AF138">
        <v>15.04761904761904</v>
      </c>
      <c r="AG138">
        <v>5.7878571796530638</v>
      </c>
      <c r="AH138">
        <f>3.8276119196549*1</f>
        <v>3.8276119196548999</v>
      </c>
      <c r="AI138">
        <v>1</v>
      </c>
      <c r="AJ138">
        <v>0</v>
      </c>
    </row>
    <row r="139" spans="1:36" hidden="1" x14ac:dyDescent="0.2">
      <c r="A139" t="s">
        <v>327</v>
      </c>
      <c r="B139" t="s">
        <v>328</v>
      </c>
      <c r="C139" t="s">
        <v>328</v>
      </c>
      <c r="D139" t="s">
        <v>4</v>
      </c>
      <c r="E139">
        <v>0</v>
      </c>
      <c r="F139">
        <v>1</v>
      </c>
      <c r="G139">
        <v>0</v>
      </c>
      <c r="H139">
        <v>0</v>
      </c>
      <c r="I139" t="s">
        <v>25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1</v>
      </c>
      <c r="AB139">
        <v>0</v>
      </c>
      <c r="AC139">
        <v>0</v>
      </c>
      <c r="AD139">
        <v>5.2</v>
      </c>
      <c r="AE139">
        <v>744</v>
      </c>
      <c r="AF139">
        <v>12.28169014084507</v>
      </c>
      <c r="AG139">
        <v>8.9295122507441782</v>
      </c>
      <c r="AH139">
        <f>3.1240520453727*1</f>
        <v>3.1240520453727001</v>
      </c>
      <c r="AI139">
        <v>1</v>
      </c>
      <c r="AJ139">
        <v>0</v>
      </c>
    </row>
    <row r="140" spans="1:36" hidden="1" x14ac:dyDescent="0.2">
      <c r="A140" t="s">
        <v>329</v>
      </c>
      <c r="B140" t="s">
        <v>330</v>
      </c>
      <c r="C140" t="s">
        <v>330</v>
      </c>
      <c r="D140" t="s">
        <v>5</v>
      </c>
      <c r="E140">
        <v>0</v>
      </c>
      <c r="F140">
        <v>0</v>
      </c>
      <c r="G140">
        <v>1</v>
      </c>
      <c r="H140">
        <v>0</v>
      </c>
      <c r="I140" t="s">
        <v>25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1</v>
      </c>
      <c r="AB140">
        <v>0</v>
      </c>
      <c r="AC140">
        <v>0</v>
      </c>
      <c r="AD140">
        <v>4.4000000000000004</v>
      </c>
      <c r="AE140">
        <v>746</v>
      </c>
      <c r="AF140">
        <v>9.6216216216216246</v>
      </c>
      <c r="AG140">
        <v>11.59979528087254</v>
      </c>
      <c r="AH140">
        <f>2.44741937318751*1</f>
        <v>2.4474193731875098</v>
      </c>
      <c r="AI140">
        <v>1</v>
      </c>
      <c r="AJ140">
        <v>0</v>
      </c>
    </row>
    <row r="141" spans="1:36" hidden="1" x14ac:dyDescent="0.2">
      <c r="A141" t="s">
        <v>331</v>
      </c>
      <c r="B141" t="s">
        <v>332</v>
      </c>
      <c r="C141" t="s">
        <v>331</v>
      </c>
      <c r="D141" t="s">
        <v>5</v>
      </c>
      <c r="E141">
        <v>0</v>
      </c>
      <c r="F141">
        <v>0</v>
      </c>
      <c r="G141">
        <v>1</v>
      </c>
      <c r="H141">
        <v>0</v>
      </c>
      <c r="I141" t="s">
        <v>25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1</v>
      </c>
      <c r="AB141">
        <v>0</v>
      </c>
      <c r="AC141">
        <v>0</v>
      </c>
      <c r="AD141">
        <v>10.1</v>
      </c>
      <c r="AE141">
        <v>749</v>
      </c>
      <c r="AF141">
        <v>26.534038077008169</v>
      </c>
      <c r="AG141">
        <v>15.359723059532209</v>
      </c>
      <c r="AH141">
        <f>7.63080660999732*1</f>
        <v>7.63080660999732</v>
      </c>
      <c r="AI141">
        <v>1</v>
      </c>
      <c r="AJ141">
        <v>0</v>
      </c>
    </row>
    <row r="142" spans="1:36" hidden="1" x14ac:dyDescent="0.2">
      <c r="A142" t="s">
        <v>333</v>
      </c>
      <c r="B142" t="s">
        <v>334</v>
      </c>
      <c r="C142" t="s">
        <v>334</v>
      </c>
      <c r="D142" t="s">
        <v>4</v>
      </c>
      <c r="E142">
        <v>0</v>
      </c>
      <c r="F142">
        <v>1</v>
      </c>
      <c r="G142">
        <v>0</v>
      </c>
      <c r="H142">
        <v>0</v>
      </c>
      <c r="I142" t="s">
        <v>25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0</v>
      </c>
      <c r="AC142">
        <v>0</v>
      </c>
      <c r="AD142">
        <v>5</v>
      </c>
      <c r="AE142">
        <v>752</v>
      </c>
      <c r="AF142">
        <v>11.84615384615384</v>
      </c>
      <c r="AG142">
        <v>6.0924318673930884</v>
      </c>
      <c r="AH142">
        <f>3.01326607242363*1</f>
        <v>3.01326607242363</v>
      </c>
      <c r="AI142">
        <v>1</v>
      </c>
      <c r="AJ142">
        <v>0</v>
      </c>
    </row>
    <row r="143" spans="1:36" hidden="1" x14ac:dyDescent="0.2">
      <c r="A143" t="s">
        <v>335</v>
      </c>
      <c r="B143" t="s">
        <v>336</v>
      </c>
      <c r="C143" t="s">
        <v>336</v>
      </c>
      <c r="D143" t="s">
        <v>3</v>
      </c>
      <c r="E143">
        <v>1</v>
      </c>
      <c r="F143">
        <v>0</v>
      </c>
      <c r="G143">
        <v>0</v>
      </c>
      <c r="H143">
        <v>0</v>
      </c>
      <c r="I143" t="s">
        <v>25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1</v>
      </c>
      <c r="AB143">
        <v>0</v>
      </c>
      <c r="AC143">
        <v>0</v>
      </c>
      <c r="AD143">
        <v>5.3</v>
      </c>
      <c r="AE143">
        <v>753</v>
      </c>
      <c r="AF143">
        <v>10.83045724258935</v>
      </c>
      <c r="AG143">
        <v>3.508490324910551</v>
      </c>
      <c r="AH143">
        <f>2.7663178456146*1</f>
        <v>2.7663178456146</v>
      </c>
      <c r="AI143">
        <v>1</v>
      </c>
      <c r="AJ143">
        <v>0</v>
      </c>
    </row>
    <row r="144" spans="1:36" hidden="1" x14ac:dyDescent="0.2">
      <c r="A144" t="s">
        <v>337</v>
      </c>
      <c r="B144" t="s">
        <v>338</v>
      </c>
      <c r="C144" t="s">
        <v>338</v>
      </c>
      <c r="D144" t="s">
        <v>3</v>
      </c>
      <c r="E144">
        <v>1</v>
      </c>
      <c r="F144">
        <v>0</v>
      </c>
      <c r="G144">
        <v>0</v>
      </c>
      <c r="H144">
        <v>0</v>
      </c>
      <c r="I144" t="s">
        <v>26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1</v>
      </c>
      <c r="AC144">
        <v>0</v>
      </c>
      <c r="AD144">
        <v>4.2</v>
      </c>
      <c r="AE144">
        <v>768</v>
      </c>
      <c r="AF144">
        <v>16.969696969696969</v>
      </c>
      <c r="AG144">
        <v>14.52653661254298</v>
      </c>
      <c r="AH144">
        <f>2.75514647975852*1</f>
        <v>2.7551464797585199</v>
      </c>
      <c r="AI144">
        <v>1</v>
      </c>
      <c r="AJ144">
        <v>0</v>
      </c>
    </row>
    <row r="145" spans="1:36" hidden="1" x14ac:dyDescent="0.2">
      <c r="A145" t="s">
        <v>339</v>
      </c>
      <c r="B145" t="s">
        <v>340</v>
      </c>
      <c r="C145" t="s">
        <v>340</v>
      </c>
      <c r="D145" t="s">
        <v>5</v>
      </c>
      <c r="E145">
        <v>0</v>
      </c>
      <c r="F145">
        <v>0</v>
      </c>
      <c r="G145">
        <v>1</v>
      </c>
      <c r="H145">
        <v>0</v>
      </c>
      <c r="I145" t="s">
        <v>26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1</v>
      </c>
      <c r="AC145">
        <v>0</v>
      </c>
      <c r="AD145">
        <v>7.9</v>
      </c>
      <c r="AE145">
        <v>770</v>
      </c>
      <c r="AF145">
        <v>22.17236090634481</v>
      </c>
      <c r="AG145">
        <v>22.3834286982189</v>
      </c>
      <c r="AH145">
        <f>3.7325535532444*1</f>
        <v>3.7325535532443999</v>
      </c>
      <c r="AI145">
        <v>1</v>
      </c>
      <c r="AJ145">
        <v>0</v>
      </c>
    </row>
    <row r="146" spans="1:36" hidden="1" x14ac:dyDescent="0.2">
      <c r="A146" t="s">
        <v>341</v>
      </c>
      <c r="B146" t="s">
        <v>342</v>
      </c>
      <c r="C146" t="s">
        <v>342</v>
      </c>
      <c r="D146" t="s">
        <v>4</v>
      </c>
      <c r="E146">
        <v>0</v>
      </c>
      <c r="F146">
        <v>1</v>
      </c>
      <c r="G146">
        <v>0</v>
      </c>
      <c r="H146">
        <v>0</v>
      </c>
      <c r="I146" t="s">
        <v>26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1</v>
      </c>
      <c r="AC146">
        <v>0</v>
      </c>
      <c r="AD146">
        <v>4.5999999999999996</v>
      </c>
      <c r="AE146">
        <v>772</v>
      </c>
      <c r="AF146">
        <v>13.448275862068961</v>
      </c>
      <c r="AG146">
        <v>7.4093536262051298</v>
      </c>
      <c r="AH146">
        <f>1.16358280605047*1</f>
        <v>1.16358280605047</v>
      </c>
      <c r="AI146">
        <v>1</v>
      </c>
      <c r="AJ146">
        <v>0</v>
      </c>
    </row>
    <row r="147" spans="1:36" hidden="1" x14ac:dyDescent="0.2">
      <c r="A147" t="s">
        <v>343</v>
      </c>
      <c r="B147" t="s">
        <v>344</v>
      </c>
      <c r="C147" t="s">
        <v>343</v>
      </c>
      <c r="D147" t="s">
        <v>4</v>
      </c>
      <c r="E147">
        <v>0</v>
      </c>
      <c r="F147">
        <v>1</v>
      </c>
      <c r="G147">
        <v>0</v>
      </c>
      <c r="H147">
        <v>0</v>
      </c>
      <c r="I147" t="s">
        <v>26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</v>
      </c>
      <c r="AC147">
        <v>0</v>
      </c>
      <c r="AD147">
        <v>4.4000000000000004</v>
      </c>
      <c r="AE147">
        <v>776</v>
      </c>
      <c r="AF147">
        <v>10.39230410144914</v>
      </c>
      <c r="AG147">
        <v>8.6472501140812348</v>
      </c>
      <c r="AH147">
        <f>1.55732505452149*1</f>
        <v>1.5573250545214901</v>
      </c>
      <c r="AI147">
        <v>1</v>
      </c>
      <c r="AJ147">
        <v>0</v>
      </c>
    </row>
    <row r="148" spans="1:36" hidden="1" x14ac:dyDescent="0.2">
      <c r="A148" t="s">
        <v>345</v>
      </c>
      <c r="B148" t="s">
        <v>346</v>
      </c>
      <c r="C148" t="s">
        <v>347</v>
      </c>
      <c r="D148" t="s">
        <v>5</v>
      </c>
      <c r="E148">
        <v>0</v>
      </c>
      <c r="F148">
        <v>0</v>
      </c>
      <c r="G148">
        <v>1</v>
      </c>
      <c r="H148">
        <v>0</v>
      </c>
      <c r="I148" t="s">
        <v>26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1</v>
      </c>
      <c r="AC148">
        <v>0</v>
      </c>
      <c r="AD148">
        <v>6</v>
      </c>
      <c r="AE148">
        <v>783</v>
      </c>
      <c r="AF148">
        <v>18.202554508000699</v>
      </c>
      <c r="AG148">
        <v>16.63655256421562</v>
      </c>
      <c r="AH148">
        <f>3.39756703937268*1</f>
        <v>3.3975670393726798</v>
      </c>
      <c r="AI148">
        <v>1</v>
      </c>
      <c r="AJ148">
        <v>0</v>
      </c>
    </row>
    <row r="149" spans="1:36" hidden="1" x14ac:dyDescent="0.2">
      <c r="A149" t="s">
        <v>348</v>
      </c>
      <c r="B149" t="s">
        <v>349</v>
      </c>
      <c r="C149" t="s">
        <v>349</v>
      </c>
      <c r="D149" t="s">
        <v>5</v>
      </c>
      <c r="E149">
        <v>0</v>
      </c>
      <c r="F149">
        <v>0</v>
      </c>
      <c r="G149">
        <v>1</v>
      </c>
      <c r="H149">
        <v>0</v>
      </c>
      <c r="I149" t="s">
        <v>26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1</v>
      </c>
      <c r="AC149">
        <v>0</v>
      </c>
      <c r="AD149">
        <v>4.9000000000000004</v>
      </c>
      <c r="AE149">
        <v>785</v>
      </c>
      <c r="AF149">
        <v>17.499361967655862</v>
      </c>
      <c r="AG149">
        <v>16.067612985123819</v>
      </c>
      <c r="AH149">
        <f>2.5078628432621*1</f>
        <v>2.5078628432621</v>
      </c>
      <c r="AI149">
        <v>1</v>
      </c>
      <c r="AJ149">
        <v>0</v>
      </c>
    </row>
    <row r="150" spans="1:36" hidden="1" x14ac:dyDescent="0.2">
      <c r="A150" t="s">
        <v>350</v>
      </c>
      <c r="B150" t="s">
        <v>351</v>
      </c>
      <c r="C150" t="s">
        <v>351</v>
      </c>
      <c r="D150" t="s">
        <v>4</v>
      </c>
      <c r="E150">
        <v>0</v>
      </c>
      <c r="F150">
        <v>1</v>
      </c>
      <c r="G150">
        <v>0</v>
      </c>
      <c r="H150">
        <v>0</v>
      </c>
      <c r="I150" t="s">
        <v>26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1</v>
      </c>
      <c r="AC150">
        <v>0</v>
      </c>
      <c r="AD150">
        <v>4.5</v>
      </c>
      <c r="AE150">
        <v>787</v>
      </c>
      <c r="AF150">
        <v>16.04903821237269</v>
      </c>
      <c r="AG150">
        <v>19.007197697692551</v>
      </c>
      <c r="AH150">
        <f>3.62948965005365*1</f>
        <v>3.62948965005365</v>
      </c>
      <c r="AI150">
        <v>1</v>
      </c>
      <c r="AJ150">
        <v>0</v>
      </c>
    </row>
    <row r="151" spans="1:36" hidden="1" x14ac:dyDescent="0.2">
      <c r="A151" t="s">
        <v>352</v>
      </c>
      <c r="B151" t="s">
        <v>353</v>
      </c>
      <c r="C151" t="s">
        <v>259</v>
      </c>
      <c r="D151" t="s">
        <v>5</v>
      </c>
      <c r="E151">
        <v>0</v>
      </c>
      <c r="F151">
        <v>0</v>
      </c>
      <c r="G151">
        <v>1</v>
      </c>
      <c r="H151">
        <v>0</v>
      </c>
      <c r="I151" t="s">
        <v>26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1</v>
      </c>
      <c r="AC151">
        <v>0</v>
      </c>
      <c r="AD151">
        <v>5</v>
      </c>
      <c r="AE151">
        <v>789</v>
      </c>
      <c r="AF151">
        <v>11.110919963214061</v>
      </c>
      <c r="AG151">
        <v>10.29001595559758</v>
      </c>
      <c r="AH151">
        <f>2.0294680584677*1</f>
        <v>2.0294680584677001</v>
      </c>
      <c r="AI151">
        <v>1</v>
      </c>
      <c r="AJ151">
        <v>0</v>
      </c>
    </row>
    <row r="152" spans="1:36" hidden="1" x14ac:dyDescent="0.2">
      <c r="A152" t="s">
        <v>187</v>
      </c>
      <c r="B152" t="s">
        <v>354</v>
      </c>
      <c r="C152" t="s">
        <v>354</v>
      </c>
      <c r="D152" t="s">
        <v>5</v>
      </c>
      <c r="E152">
        <v>0</v>
      </c>
      <c r="F152">
        <v>0</v>
      </c>
      <c r="G152">
        <v>1</v>
      </c>
      <c r="H152">
        <v>0</v>
      </c>
      <c r="I152" t="s">
        <v>26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1</v>
      </c>
      <c r="AC152">
        <v>0</v>
      </c>
      <c r="AD152">
        <v>5.8</v>
      </c>
      <c r="AE152">
        <v>791</v>
      </c>
      <c r="AF152">
        <v>18.946363076813</v>
      </c>
      <c r="AG152">
        <v>18.62508055779481</v>
      </c>
      <c r="AH152">
        <f>2.97376764849147*1</f>
        <v>2.9737676484914699</v>
      </c>
      <c r="AI152">
        <v>1</v>
      </c>
      <c r="AJ152">
        <v>0</v>
      </c>
    </row>
    <row r="153" spans="1:36" hidden="1" x14ac:dyDescent="0.2">
      <c r="A153" t="s">
        <v>355</v>
      </c>
      <c r="B153" t="s">
        <v>356</v>
      </c>
      <c r="C153" t="s">
        <v>356</v>
      </c>
      <c r="D153" t="s">
        <v>5</v>
      </c>
      <c r="E153">
        <v>0</v>
      </c>
      <c r="F153">
        <v>0</v>
      </c>
      <c r="G153">
        <v>1</v>
      </c>
      <c r="H153">
        <v>0</v>
      </c>
      <c r="I153" t="s">
        <v>26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1</v>
      </c>
      <c r="AC153">
        <v>0</v>
      </c>
      <c r="AD153">
        <v>6.8</v>
      </c>
      <c r="AE153">
        <v>793</v>
      </c>
      <c r="AF153">
        <v>21.04501569264724</v>
      </c>
      <c r="AG153">
        <v>28.443646425603792</v>
      </c>
      <c r="AH153">
        <f>3.71025791821959*1</f>
        <v>3.7102579182195901</v>
      </c>
      <c r="AI153">
        <v>1</v>
      </c>
      <c r="AJ153">
        <v>0</v>
      </c>
    </row>
    <row r="154" spans="1:36" hidden="1" x14ac:dyDescent="0.2">
      <c r="A154" t="s">
        <v>357</v>
      </c>
      <c r="B154" t="s">
        <v>358</v>
      </c>
      <c r="C154" t="s">
        <v>358</v>
      </c>
      <c r="D154" t="s">
        <v>4</v>
      </c>
      <c r="E154">
        <v>0</v>
      </c>
      <c r="F154">
        <v>1</v>
      </c>
      <c r="G154">
        <v>0</v>
      </c>
      <c r="H154">
        <v>0</v>
      </c>
      <c r="I154" t="s">
        <v>27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1</v>
      </c>
      <c r="AD154">
        <v>4.7</v>
      </c>
      <c r="AE154">
        <v>800</v>
      </c>
      <c r="AF154">
        <v>24.980630216939449</v>
      </c>
      <c r="AG154">
        <v>8.8839568303525596</v>
      </c>
      <c r="AH154">
        <f>2.62960162767016*1</f>
        <v>2.6296016276701599</v>
      </c>
      <c r="AI154">
        <v>1</v>
      </c>
      <c r="AJ154">
        <v>0</v>
      </c>
    </row>
    <row r="155" spans="1:36" hidden="1" x14ac:dyDescent="0.2">
      <c r="A155" t="s">
        <v>359</v>
      </c>
      <c r="B155" t="s">
        <v>360</v>
      </c>
      <c r="C155" t="s">
        <v>360</v>
      </c>
      <c r="D155" t="s">
        <v>4</v>
      </c>
      <c r="E155">
        <v>0</v>
      </c>
      <c r="F155">
        <v>1</v>
      </c>
      <c r="G155">
        <v>0</v>
      </c>
      <c r="H155">
        <v>0</v>
      </c>
      <c r="I155" t="s">
        <v>27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1</v>
      </c>
      <c r="AD155">
        <v>4.5</v>
      </c>
      <c r="AE155">
        <v>806</v>
      </c>
      <c r="AF155">
        <v>16.14827253587563</v>
      </c>
      <c r="AG155">
        <v>16.944049418957231</v>
      </c>
      <c r="AH155">
        <f>2.93156843422138*1</f>
        <v>2.9315684342213801</v>
      </c>
      <c r="AI155">
        <v>1</v>
      </c>
      <c r="AJ155">
        <v>0</v>
      </c>
    </row>
    <row r="156" spans="1:36" hidden="1" x14ac:dyDescent="0.2">
      <c r="A156" t="s">
        <v>361</v>
      </c>
      <c r="B156" t="s">
        <v>362</v>
      </c>
      <c r="C156" t="s">
        <v>363</v>
      </c>
      <c r="D156" t="s">
        <v>5</v>
      </c>
      <c r="E156">
        <v>0</v>
      </c>
      <c r="F156">
        <v>0</v>
      </c>
      <c r="G156">
        <v>1</v>
      </c>
      <c r="H156">
        <v>0</v>
      </c>
      <c r="I156" t="s">
        <v>27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1</v>
      </c>
      <c r="AD156">
        <v>5.4</v>
      </c>
      <c r="AE156">
        <v>811</v>
      </c>
      <c r="AF156">
        <v>32.292619005366589</v>
      </c>
      <c r="AG156">
        <v>16.5723580888104</v>
      </c>
      <c r="AH156">
        <f>5.242079512875*0</f>
        <v>0</v>
      </c>
      <c r="AI156">
        <v>0</v>
      </c>
      <c r="AJ156">
        <v>0</v>
      </c>
    </row>
    <row r="157" spans="1:36" hidden="1" x14ac:dyDescent="0.2">
      <c r="A157" t="s">
        <v>364</v>
      </c>
      <c r="B157" t="s">
        <v>365</v>
      </c>
      <c r="C157" t="s">
        <v>366</v>
      </c>
      <c r="D157" t="s">
        <v>5</v>
      </c>
      <c r="E157">
        <v>0</v>
      </c>
      <c r="F157">
        <v>0</v>
      </c>
      <c r="G157">
        <v>1</v>
      </c>
      <c r="H157">
        <v>0</v>
      </c>
      <c r="I157" t="s">
        <v>27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1</v>
      </c>
      <c r="AD157">
        <v>4.9000000000000004</v>
      </c>
      <c r="AE157">
        <v>812</v>
      </c>
      <c r="AF157">
        <v>13.78378378378379</v>
      </c>
      <c r="AG157">
        <v>10.968659051005719</v>
      </c>
      <c r="AH157">
        <f>2.42614919466665*1</f>
        <v>2.42614919466665</v>
      </c>
      <c r="AI157">
        <v>1</v>
      </c>
      <c r="AJ157">
        <v>0</v>
      </c>
    </row>
    <row r="158" spans="1:36" x14ac:dyDescent="0.2">
      <c r="A158" t="s">
        <v>241</v>
      </c>
      <c r="B158" t="s">
        <v>242</v>
      </c>
      <c r="C158" t="s">
        <v>241</v>
      </c>
      <c r="D158" t="s">
        <v>4</v>
      </c>
      <c r="E158">
        <v>0</v>
      </c>
      <c r="F158">
        <v>1</v>
      </c>
      <c r="G158">
        <v>0</v>
      </c>
      <c r="H158">
        <v>0</v>
      </c>
      <c r="I158" t="s">
        <v>18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6.6</v>
      </c>
      <c r="AE158">
        <v>439</v>
      </c>
      <c r="AF158">
        <v>28.214285714285712</v>
      </c>
      <c r="AG158">
        <v>27.627986599097291</v>
      </c>
      <c r="AH158">
        <f>3.53987078974247*1*2</f>
        <v>7.0797415794849403</v>
      </c>
      <c r="AI158">
        <v>1</v>
      </c>
      <c r="AJ158">
        <v>1</v>
      </c>
    </row>
    <row r="159" spans="1:36" hidden="1" x14ac:dyDescent="0.2">
      <c r="A159" t="s">
        <v>369</v>
      </c>
      <c r="B159" t="s">
        <v>370</v>
      </c>
      <c r="C159" t="s">
        <v>371</v>
      </c>
      <c r="D159" t="s">
        <v>5</v>
      </c>
      <c r="E159">
        <v>0</v>
      </c>
      <c r="F159">
        <v>0</v>
      </c>
      <c r="G159">
        <v>1</v>
      </c>
      <c r="H159">
        <v>0</v>
      </c>
      <c r="I159" t="s">
        <v>27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1</v>
      </c>
      <c r="AD159">
        <v>4.9000000000000004</v>
      </c>
      <c r="AE159">
        <v>818</v>
      </c>
      <c r="AF159">
        <v>13.36956521739131</v>
      </c>
      <c r="AG159">
        <v>10.426013056709589</v>
      </c>
      <c r="AH159">
        <f>2.28544790819725*1</f>
        <v>2.2854479081972499</v>
      </c>
      <c r="AI159">
        <v>1</v>
      </c>
      <c r="AJ159">
        <v>0</v>
      </c>
    </row>
    <row r="160" spans="1:36" hidden="1" x14ac:dyDescent="0.2">
      <c r="A160" t="s">
        <v>245</v>
      </c>
      <c r="B160" t="s">
        <v>246</v>
      </c>
      <c r="C160" t="s">
        <v>246</v>
      </c>
      <c r="D160" t="s">
        <v>4</v>
      </c>
      <c r="E160">
        <v>0</v>
      </c>
      <c r="F160">
        <v>1</v>
      </c>
      <c r="G160">
        <v>0</v>
      </c>
      <c r="H160">
        <v>0</v>
      </c>
      <c r="I160" t="s">
        <v>19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1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4.5999999999999996</v>
      </c>
      <c r="AE160">
        <v>466</v>
      </c>
      <c r="AF160">
        <v>10.540382781074049</v>
      </c>
      <c r="AG160">
        <v>9.1401551630501707</v>
      </c>
      <c r="AH160">
        <f>3.36011745064683*1</f>
        <v>3.3601174506468299</v>
      </c>
      <c r="AI160">
        <v>1</v>
      </c>
      <c r="AJ160">
        <v>0</v>
      </c>
    </row>
    <row r="161" spans="1:36" hidden="1" x14ac:dyDescent="0.2">
      <c r="A161" t="s">
        <v>375</v>
      </c>
      <c r="B161" t="s">
        <v>376</v>
      </c>
      <c r="C161" t="s">
        <v>376</v>
      </c>
      <c r="D161" t="s">
        <v>5</v>
      </c>
      <c r="E161">
        <v>0</v>
      </c>
      <c r="F161">
        <v>0</v>
      </c>
      <c r="G161">
        <v>1</v>
      </c>
      <c r="H161">
        <v>0</v>
      </c>
      <c r="I161" t="s">
        <v>27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1</v>
      </c>
      <c r="AD161">
        <v>4.7</v>
      </c>
      <c r="AE161">
        <v>822</v>
      </c>
      <c r="AF161">
        <v>28.975434713966958</v>
      </c>
      <c r="AG161">
        <v>17.784563565841381</v>
      </c>
      <c r="AH161">
        <f>5.84419198425581*1</f>
        <v>5.8441919842558097</v>
      </c>
      <c r="AI161">
        <v>1</v>
      </c>
      <c r="AJ161">
        <v>0</v>
      </c>
    </row>
    <row r="162" spans="1:36" hidden="1" x14ac:dyDescent="0.2">
      <c r="A162" t="s">
        <v>377</v>
      </c>
      <c r="B162" t="s">
        <v>378</v>
      </c>
      <c r="C162" t="s">
        <v>379</v>
      </c>
      <c r="D162" t="s">
        <v>4</v>
      </c>
      <c r="E162">
        <v>0</v>
      </c>
      <c r="F162">
        <v>1</v>
      </c>
      <c r="G162">
        <v>0</v>
      </c>
      <c r="H162">
        <v>0</v>
      </c>
      <c r="I162" t="s">
        <v>27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1</v>
      </c>
      <c r="AD162">
        <v>4.4000000000000004</v>
      </c>
      <c r="AE162">
        <v>825</v>
      </c>
      <c r="AF162">
        <v>14.125000000000011</v>
      </c>
      <c r="AG162">
        <v>13.776240374650969</v>
      </c>
      <c r="AH162">
        <f>2.77683021181611*1</f>
        <v>2.7768302118161099</v>
      </c>
      <c r="AI162">
        <v>1</v>
      </c>
      <c r="AJ162">
        <v>0</v>
      </c>
    </row>
    <row r="163" spans="1:36" hidden="1" x14ac:dyDescent="0.2">
      <c r="A163" t="s">
        <v>74</v>
      </c>
      <c r="B163" t="s">
        <v>75</v>
      </c>
      <c r="C163" t="s">
        <v>75</v>
      </c>
      <c r="D163" t="s">
        <v>6</v>
      </c>
      <c r="E163">
        <v>0</v>
      </c>
      <c r="F163">
        <v>0</v>
      </c>
      <c r="G163">
        <v>0</v>
      </c>
      <c r="H163">
        <v>1</v>
      </c>
      <c r="I163" t="s">
        <v>9</v>
      </c>
      <c r="J163">
        <v>0</v>
      </c>
      <c r="K163">
        <v>1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8.8000000000000007</v>
      </c>
      <c r="AE163">
        <v>64</v>
      </c>
      <c r="AF163">
        <v>23.646616541353399</v>
      </c>
      <c r="AG163">
        <v>20.653791641200289</v>
      </c>
      <c r="AH163">
        <f>4.93855334043561*0.5</f>
        <v>2.4692766702178051</v>
      </c>
      <c r="AI163">
        <v>0.5</v>
      </c>
      <c r="AJ163">
        <v>0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Corridore, Gabe</cp:lastModifiedBy>
  <dcterms:created xsi:type="dcterms:W3CDTF">2024-04-05T13:38:56Z</dcterms:created>
  <dcterms:modified xsi:type="dcterms:W3CDTF">2024-04-05T13:48:45Z</dcterms:modified>
</cp:coreProperties>
</file>