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F92ABD2A-05E8-DD45-8D4E-583DFEA2CBEE}" xr6:coauthVersionLast="47" xr6:coauthVersionMax="47" xr10:uidLastSave="{00000000-0000-0000-0000-000000000000}"/>
  <bookViews>
    <workbookView xWindow="240" yWindow="760" windowWidth="23940" windowHeight="18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" i="1" l="1"/>
  <c r="AH8" i="1"/>
  <c r="AI162" i="1"/>
  <c r="AH162" i="1"/>
  <c r="AI161" i="1"/>
  <c r="AH161" i="1"/>
  <c r="AI96" i="1"/>
  <c r="AH96" i="1"/>
  <c r="AI159" i="1"/>
  <c r="AH159" i="1"/>
  <c r="AO2" i="1" s="1"/>
  <c r="AI110" i="1"/>
  <c r="AH110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7" i="1"/>
  <c r="AH147" i="1"/>
  <c r="AI146" i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35" i="1"/>
  <c r="AH135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21" i="1"/>
  <c r="AH121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" i="1"/>
  <c r="AH11" i="1"/>
  <c r="AI109" i="1"/>
  <c r="AH109" i="1"/>
  <c r="AI108" i="1"/>
  <c r="AH108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59" i="1"/>
  <c r="AH59" i="1"/>
  <c r="AI160" i="1"/>
  <c r="AH160" i="1"/>
  <c r="AI98" i="1"/>
  <c r="AH98" i="1"/>
  <c r="AI158" i="1"/>
  <c r="AH158" i="1"/>
  <c r="AI99" i="1"/>
  <c r="AH99" i="1"/>
  <c r="AI43" i="1"/>
  <c r="AH43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6" i="1"/>
  <c r="AH6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100" i="1"/>
  <c r="AH100" i="1"/>
  <c r="AI42" i="1"/>
  <c r="AH42" i="1"/>
  <c r="AI41" i="1"/>
  <c r="AH41" i="1"/>
  <c r="AI40" i="1"/>
  <c r="AH40" i="1"/>
  <c r="AI39" i="1"/>
  <c r="AH39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O18" i="1"/>
  <c r="AI163" i="1"/>
  <c r="AH163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O11" i="1"/>
  <c r="AO14" i="1" s="1"/>
  <c r="AI95" i="1"/>
  <c r="AH95" i="1"/>
  <c r="AI10" i="1"/>
  <c r="AH10" i="1"/>
  <c r="AO9" i="1"/>
  <c r="AI9" i="1"/>
  <c r="AH9" i="1"/>
  <c r="AO8" i="1"/>
  <c r="AI97" i="1"/>
  <c r="AH97" i="1"/>
  <c r="AO7" i="1"/>
  <c r="AI7" i="1"/>
  <c r="AH7" i="1"/>
  <c r="AO6" i="1"/>
  <c r="AI18" i="1"/>
  <c r="AH18" i="1"/>
  <c r="AI5" i="1"/>
  <c r="AH5" i="1"/>
  <c r="AO4" i="1"/>
  <c r="AI4" i="1"/>
  <c r="AH4" i="1"/>
  <c r="AI3" i="1"/>
  <c r="AH3" i="1"/>
  <c r="AI2" i="1"/>
  <c r="AH2" i="1"/>
  <c r="AO16" i="1" l="1"/>
</calcChain>
</file>

<file path=xl/sharedStrings.xml><?xml version="1.0" encoding="utf-8"?>
<sst xmlns="http://schemas.openxmlformats.org/spreadsheetml/2006/main" count="879" uniqueCount="388">
  <si>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</si>
  <si>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</si>
  <si>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</si>
  <si>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</si>
  <si>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</si>
  <si>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</si>
  <si>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</si>
  <si>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</si>
  <si>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</si>
  <si>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</si>
  <si>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</si>
  <si>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</si>
  <si>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</si>
  <si>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</si>
  <si>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</si>
  <si>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</si>
  <si>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</si>
  <si>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</si>
  <si>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</si>
  <si>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</si>
  <si>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</si>
  <si>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</si>
  <si>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</si>
  <si>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</si>
  <si>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</si>
  <si>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</si>
  <si>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</si>
  <si>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</si>
  <si>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</si>
  <si>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</si>
  <si>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</si>
  <si>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</si>
  <si>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</si>
  <si>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</si>
  <si>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</si>
  <si>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</si>
  <si>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</si>
  <si>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</si>
  <si>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</si>
  <si>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</si>
  <si>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</si>
  <si>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</si>
  <si>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</si>
  <si>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</si>
  <si>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</si>
  <si>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</si>
  <si>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</si>
  <si>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</si>
  <si>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</si>
  <si>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</si>
  <si>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</si>
  <si>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</si>
  <si>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Martin</t>
  </si>
  <si>
    <t>Ødegaard</t>
  </si>
  <si>
    <t>Bukayo</t>
  </si>
  <si>
    <t>Saka</t>
  </si>
  <si>
    <t>William</t>
  </si>
  <si>
    <t>Saliba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</si>
  <si>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</si>
  <si>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</si>
  <si>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</si>
  <si>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</si>
  <si>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</si>
  <si>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</si>
  <si>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</si>
  <si>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</si>
  <si>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</si>
  <si>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</si>
  <si>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</si>
  <si>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</si>
  <si>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</si>
  <si>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</si>
  <si>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</si>
  <si>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</si>
  <si>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</si>
  <si>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</si>
  <si>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</si>
  <si>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</si>
  <si>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</si>
  <si>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</si>
  <si>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</si>
  <si>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</si>
  <si>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</si>
  <si>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</si>
  <si>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</si>
  <si>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</si>
  <si>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</si>
  <si>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</si>
  <si>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</si>
  <si>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</si>
  <si>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</si>
  <si>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</si>
  <si>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</si>
  <si>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</si>
  <si>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</si>
  <si>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</si>
  <si>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</si>
  <si>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</si>
  <si>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</si>
  <si>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</si>
  <si>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</si>
  <si>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</si>
  <si>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</si>
  <si>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</si>
  <si>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</si>
  <si>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</si>
  <si>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</si>
  <si>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</si>
  <si>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</si>
  <si>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</si>
  <si>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</si>
  <si>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</si>
  <si>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</si>
  <si>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</si>
  <si>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</si>
  <si>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Mathias</t>
  </si>
  <si>
    <t>Jensen</t>
  </si>
  <si>
    <t>Keane</t>
  </si>
  <si>
    <t>Lewis-Potter</t>
  </si>
  <si>
    <t>Christian</t>
  </si>
  <si>
    <t>Nørgaard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</si>
  <si>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</si>
  <si>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</si>
  <si>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</si>
  <si>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</si>
  <si>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</si>
  <si>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</si>
  <si>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</si>
  <si>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</si>
  <si>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</si>
  <si>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Facundo</t>
  </si>
  <si>
    <t>Buonanotte</t>
  </si>
  <si>
    <t>Dunk</t>
  </si>
  <si>
    <t>Pascal</t>
  </si>
  <si>
    <t>Groß</t>
  </si>
  <si>
    <t>Gross</t>
  </si>
  <si>
    <t>João Pedro</t>
  </si>
  <si>
    <t>Junqueira de Jesus</t>
  </si>
  <si>
    <t>Kaoru</t>
  </si>
  <si>
    <t>Mitoma</t>
  </si>
  <si>
    <t>Jan Paul</t>
  </si>
  <si>
    <t>van Hecke</t>
  </si>
  <si>
    <t>Van Hecke</t>
  </si>
  <si>
    <t>Danny</t>
  </si>
  <si>
    <t>Welbeck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</si>
  <si>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</si>
  <si>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</si>
  <si>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</si>
  <si>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</si>
  <si>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</si>
  <si>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</si>
  <si>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</si>
  <si>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</si>
  <si>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</si>
  <si>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</si>
  <si>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</si>
  <si>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</si>
  <si>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</si>
  <si>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</si>
  <si>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</si>
  <si>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</si>
  <si>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</si>
  <si>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</si>
  <si>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</si>
  <si>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</si>
  <si>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</si>
  <si>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</si>
  <si>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</si>
  <si>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</si>
  <si>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</si>
  <si>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</si>
  <si>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</si>
  <si>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</si>
  <si>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</si>
  <si>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</si>
  <si>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</si>
  <si>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Eberechi</t>
  </si>
  <si>
    <t>Eze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</si>
  <si>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</si>
  <si>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</si>
  <si>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</si>
  <si>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</si>
  <si>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</si>
  <si>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</si>
  <si>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</si>
  <si>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</si>
  <si>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</si>
  <si>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Joel</t>
  </si>
  <si>
    <t>Ward</t>
  </si>
  <si>
    <t>Jarrad</t>
  </si>
  <si>
    <t>Branthwaite</t>
  </si>
  <si>
    <t>Calvert-Lewin</t>
  </si>
  <si>
    <t>James</t>
  </si>
  <si>
    <t>Garner</t>
  </si>
  <si>
    <t>Dwight</t>
  </si>
  <si>
    <t>McNeil</t>
  </si>
  <si>
    <t>Pickford</t>
  </si>
  <si>
    <t>Ashley</t>
  </si>
  <si>
    <t>Young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</si>
  <si>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</si>
  <si>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</si>
  <si>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</si>
  <si>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</si>
  <si>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</si>
  <si>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</si>
  <si>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</si>
  <si>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</si>
  <si>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</si>
  <si>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</si>
  <si>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</si>
  <si>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</si>
  <si>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</si>
  <si>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Harry</t>
  </si>
  <si>
    <t>Raúl</t>
  </si>
  <si>
    <t>Jiménez</t>
  </si>
  <si>
    <t>Calvin</t>
  </si>
  <si>
    <t>Bassey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</si>
  <si>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</si>
  <si>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</si>
  <si>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</si>
  <si>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</si>
  <si>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</si>
  <si>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</si>
  <si>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</si>
  <si>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</si>
  <si>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</si>
  <si>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</si>
  <si>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</si>
  <si>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</si>
  <si>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Harvey</t>
  </si>
  <si>
    <t>Elliott</t>
  </si>
  <si>
    <t>Cody</t>
  </si>
  <si>
    <t>Gakpo</t>
  </si>
  <si>
    <t>Joe</t>
  </si>
  <si>
    <t>Gomez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</si>
  <si>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</si>
  <si>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</si>
  <si>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</si>
  <si>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</si>
  <si>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</si>
  <si>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</si>
  <si>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</si>
  <si>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</si>
  <si>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</si>
  <si>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</si>
  <si>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</si>
  <si>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</si>
  <si>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</si>
  <si>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</si>
  <si>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</si>
  <si>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</si>
  <si>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</si>
  <si>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</si>
  <si>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</si>
  <si>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</si>
  <si>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</si>
  <si>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Tahith</t>
  </si>
  <si>
    <t>Chong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</si>
  <si>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</si>
  <si>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</si>
  <si>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</si>
  <si>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</si>
  <si>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</si>
  <si>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</si>
  <si>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</si>
  <si>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</si>
  <si>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</si>
  <si>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</si>
  <si>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</si>
  <si>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</si>
  <si>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</si>
  <si>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</si>
  <si>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</si>
  <si>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</si>
  <si>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</si>
  <si>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</si>
  <si>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</si>
  <si>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</si>
  <si>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</si>
  <si>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</si>
  <si>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</si>
  <si>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Bruno</t>
  </si>
  <si>
    <t>Borges Fernandes</t>
  </si>
  <si>
    <t>B.Fernandes</t>
  </si>
  <si>
    <t>Dalot Teixeira</t>
  </si>
  <si>
    <t>Dalot</t>
  </si>
  <si>
    <t>Alejandro</t>
  </si>
  <si>
    <t>Garnacho</t>
  </si>
  <si>
    <t>Victor</t>
  </si>
  <si>
    <t>Lindelöf</t>
  </si>
  <si>
    <t>Lindelof</t>
  </si>
  <si>
    <t>Rashford</t>
  </si>
  <si>
    <t>André</t>
  </si>
  <si>
    <t>Onana</t>
  </si>
  <si>
    <t>Rasmus</t>
  </si>
  <si>
    <t>Højlund</t>
  </si>
  <si>
    <t>Jonny</t>
  </si>
  <si>
    <t>Evans</t>
  </si>
  <si>
    <t>Guimarães Rodriguez Moura</t>
  </si>
  <si>
    <t>Bruno G.</t>
  </si>
  <si>
    <t>Dan</t>
  </si>
  <si>
    <t>Burn</t>
  </si>
  <si>
    <t>Anthony</t>
  </si>
  <si>
    <t>Gordon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</si>
  <si>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</si>
  <si>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</si>
  <si>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</si>
  <si>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</si>
  <si>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</si>
  <si>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</si>
  <si>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</si>
  <si>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</si>
  <si>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</si>
  <si>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</si>
  <si>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Morgan</t>
  </si>
  <si>
    <t>Gibbs-White</t>
  </si>
  <si>
    <t>Chris</t>
  </si>
  <si>
    <t>Wood</t>
  </si>
  <si>
    <t>Murillo</t>
  </si>
  <si>
    <t>Santiago Costa dos Santos</t>
  </si>
  <si>
    <t>Cameron</t>
  </si>
  <si>
    <t>Archer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</si>
  <si>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</si>
  <si>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</si>
  <si>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</si>
  <si>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</si>
  <si>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</si>
  <si>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</si>
  <si>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</si>
  <si>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</si>
  <si>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</si>
  <si>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</si>
  <si>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</si>
  <si>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</si>
  <si>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</si>
  <si>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</si>
  <si>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</si>
  <si>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</si>
  <si>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</si>
  <si>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</si>
  <si>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</si>
  <si>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</si>
  <si>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</si>
  <si>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</si>
  <si>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</si>
  <si>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</si>
  <si>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</si>
  <si>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</si>
  <si>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</si>
  <si>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</si>
  <si>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Lucas</t>
  </si>
  <si>
    <t>Tolentino Coelho de Lima</t>
  </si>
  <si>
    <t>L.Paquetá</t>
  </si>
  <si>
    <t>Tomáš</t>
  </si>
  <si>
    <t>Souček</t>
  </si>
  <si>
    <t>Kurt</t>
  </si>
  <si>
    <t>Zouma</t>
  </si>
  <si>
    <t>Edson</t>
  </si>
  <si>
    <t>Álvarez Velázquez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</si>
  <si>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</si>
  <si>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</si>
  <si>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</si>
  <si>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</si>
  <si>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</si>
  <si>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</si>
  <si>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</si>
  <si>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</si>
  <si>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</si>
  <si>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</si>
  <si>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João Victor</t>
  </si>
  <si>
    <t>Gomes da Silva</t>
  </si>
  <si>
    <t>João Gomes</t>
  </si>
  <si>
    <t>Max</t>
  </si>
  <si>
    <t>Kilman</t>
  </si>
  <si>
    <t>Mario</t>
  </si>
  <si>
    <t>Lemina</t>
  </si>
  <si>
    <t>Mario Jr.</t>
  </si>
  <si>
    <t>José</t>
  </si>
  <si>
    <t>Malheiro de Sá</t>
  </si>
  <si>
    <t>José Sá</t>
  </si>
  <si>
    <t>Pablo</t>
  </si>
  <si>
    <t>Sarabia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</si>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</sst>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63" totalsRowShown="0">
  <autoFilter ref="A1:AL163" xr:uid="{00000000-0009-0000-0100-000001000000}">
    <filterColumn colId="37">
      <filters>
        <filter val="1"/>
      </filters>
    </filterColumn>
  </autoFilter>
  <sortState xmlns:xlrd2="http://schemas.microsoft.com/office/spreadsheetml/2017/richdata2" ref="A6:AL163">
    <sortCondition descending="1" ref="AI1:AI163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3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2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</row>
    <row r="2" spans="1:42" hidden="1" x14ac:dyDescent="0.2">
      <c r="A2" t="s">
        <v>44</v>
      </c>
      <c r="B2" t="s">
        <v>45</v>
      </c>
      <c r="C2" t="s">
        <v>44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5.3</v>
      </c>
      <c r="AE2">
        <v>4</v>
      </c>
      <c r="AF2">
        <v>22.752293062975561</v>
      </c>
      <c r="AG2">
        <v>20.536904725159118</v>
      </c>
      <c r="AH2">
        <f>30.0728795674741*1</f>
        <v>30.0728795674741</v>
      </c>
      <c r="AI2">
        <f>4.04640404948324*1</f>
        <v>4.0464040494832396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475.74906256197067</v>
      </c>
      <c r="AP2" t="s">
        <v>1</v>
      </c>
    </row>
    <row r="3" spans="1:42" hidden="1" x14ac:dyDescent="0.2">
      <c r="A3" t="s">
        <v>46</v>
      </c>
      <c r="B3" t="s">
        <v>47</v>
      </c>
      <c r="C3" t="s">
        <v>47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7.2</v>
      </c>
      <c r="AE3">
        <v>5</v>
      </c>
      <c r="AF3">
        <v>21.08279133848891</v>
      </c>
      <c r="AG3">
        <v>17.172527383514261</v>
      </c>
      <c r="AH3">
        <f>27.046870631934*1</f>
        <v>27.046870631933999</v>
      </c>
      <c r="AI3">
        <f>4.39695212906702*1</f>
        <v>4.3969521290670199</v>
      </c>
      <c r="AJ3">
        <v>1</v>
      </c>
      <c r="AK3">
        <v>0</v>
      </c>
      <c r="AL3">
        <v>0</v>
      </c>
    </row>
    <row r="4" spans="1:42" hidden="1" x14ac:dyDescent="0.2">
      <c r="A4" t="s">
        <v>44</v>
      </c>
      <c r="B4" t="s">
        <v>48</v>
      </c>
      <c r="C4" t="s">
        <v>49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7.7</v>
      </c>
      <c r="AE4">
        <v>6</v>
      </c>
      <c r="AF4">
        <v>24.07500000000001</v>
      </c>
      <c r="AG4">
        <v>24.378227125249801</v>
      </c>
      <c r="AH4">
        <f>32.988980654387*1</f>
        <v>32.988980654386999</v>
      </c>
      <c r="AI4">
        <f>5.54817786809597*1</f>
        <v>5.5481778680959701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99.299999999999983</v>
      </c>
      <c r="AP4">
        <v>101.3</v>
      </c>
    </row>
    <row r="5" spans="1:42" hidden="1" x14ac:dyDescent="0.2">
      <c r="A5" t="s">
        <v>44</v>
      </c>
      <c r="B5" t="s">
        <v>50</v>
      </c>
      <c r="C5" t="s">
        <v>51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7.6</v>
      </c>
      <c r="AE5">
        <v>10</v>
      </c>
      <c r="AF5">
        <v>28.918032786885249</v>
      </c>
      <c r="AG5">
        <v>24.475861150035751</v>
      </c>
      <c r="AH5">
        <f>37.5050149960603*1</f>
        <v>37.505014996060297</v>
      </c>
      <c r="AI5">
        <f>6.16169543486935*1</f>
        <v>6.1616954348693502</v>
      </c>
      <c r="AJ5">
        <v>1</v>
      </c>
      <c r="AK5">
        <v>0</v>
      </c>
      <c r="AL5">
        <v>0</v>
      </c>
    </row>
    <row r="6" spans="1:42" x14ac:dyDescent="0.2">
      <c r="A6" t="s">
        <v>167</v>
      </c>
      <c r="B6" t="s">
        <v>168</v>
      </c>
      <c r="C6" t="s">
        <v>168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</v>
      </c>
      <c r="AE6">
        <v>282</v>
      </c>
      <c r="AF6">
        <v>61.659500193247723</v>
      </c>
      <c r="AG6">
        <v>19.687825750428491</v>
      </c>
      <c r="AH6">
        <f>72.7342297447021*1</f>
        <v>72.734229744702105</v>
      </c>
      <c r="AI6">
        <f>14.5468459489404*1</f>
        <v>14.546845948940399</v>
      </c>
      <c r="AJ6">
        <v>1</v>
      </c>
      <c r="AK6">
        <v>1</v>
      </c>
      <c r="AL6">
        <v>1</v>
      </c>
      <c r="AN6" t="s">
        <v>3</v>
      </c>
      <c r="AO6">
        <f>SUMPRODUCT(Table1[Selected],Table1[GKP])</f>
        <v>2</v>
      </c>
      <c r="AP6">
        <v>2</v>
      </c>
    </row>
    <row r="7" spans="1:42" hidden="1" x14ac:dyDescent="0.2">
      <c r="A7" t="s">
        <v>54</v>
      </c>
      <c r="B7" t="s">
        <v>55</v>
      </c>
      <c r="C7" t="s">
        <v>55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17</v>
      </c>
      <c r="AF7">
        <v>37.101977648359203</v>
      </c>
      <c r="AG7">
        <v>22.364791452802478</v>
      </c>
      <c r="AH7">
        <f>44.1323829655965*1</f>
        <v>44.132382965596499</v>
      </c>
      <c r="AI7">
        <f>6.93479048325668*1</f>
        <v>6.9347904832566796</v>
      </c>
      <c r="AJ7">
        <v>1</v>
      </c>
      <c r="AK7">
        <v>0</v>
      </c>
      <c r="AL7">
        <v>0</v>
      </c>
      <c r="AN7" t="s">
        <v>4</v>
      </c>
      <c r="AO7">
        <f>SUMPRODUCT(Table1[Selected],Table1[DEF])</f>
        <v>5</v>
      </c>
      <c r="AP7">
        <v>5</v>
      </c>
    </row>
    <row r="8" spans="1:42" x14ac:dyDescent="0.2">
      <c r="A8" t="s">
        <v>385</v>
      </c>
      <c r="B8" t="s">
        <v>386</v>
      </c>
      <c r="C8" t="s">
        <v>387</v>
      </c>
      <c r="D8" t="s">
        <v>6</v>
      </c>
      <c r="E8">
        <v>0</v>
      </c>
      <c r="F8">
        <v>0</v>
      </c>
      <c r="G8">
        <v>0</v>
      </c>
      <c r="H8">
        <v>1</v>
      </c>
      <c r="I8" t="s">
        <v>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5.5</v>
      </c>
      <c r="AE8">
        <v>827</v>
      </c>
      <c r="AF8">
        <v>40.707790050588628</v>
      </c>
      <c r="AG8">
        <v>17.606178942615809</v>
      </c>
      <c r="AH8">
        <f>36.932012834274*1</f>
        <v>36.932012834273998</v>
      </c>
      <c r="AI8">
        <f>10.2560688357113*1</f>
        <v>10.2560688357113</v>
      </c>
      <c r="AJ8">
        <v>1</v>
      </c>
      <c r="AK8">
        <v>1</v>
      </c>
      <c r="AL8">
        <v>1</v>
      </c>
      <c r="AN8" t="s">
        <v>5</v>
      </c>
      <c r="AO8">
        <f>SUMPRODUCT(Table1[Selected],Table1[MID])</f>
        <v>5</v>
      </c>
      <c r="AP8">
        <v>5</v>
      </c>
    </row>
    <row r="9" spans="1:42" hidden="1" x14ac:dyDescent="0.2">
      <c r="A9" t="s">
        <v>58</v>
      </c>
      <c r="B9" t="s">
        <v>59</v>
      </c>
      <c r="C9" t="s">
        <v>59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5.9</v>
      </c>
      <c r="AE9">
        <v>23</v>
      </c>
      <c r="AF9">
        <v>28.83460699690264</v>
      </c>
      <c r="AG9">
        <v>23.756077207720011</v>
      </c>
      <c r="AH9">
        <f>37.1104564466899*1</f>
        <v>37.110456446689902</v>
      </c>
      <c r="AI9">
        <f>7.08934180512041*1</f>
        <v>7.0893418051204096</v>
      </c>
      <c r="AJ9">
        <v>1</v>
      </c>
      <c r="AK9">
        <v>0</v>
      </c>
      <c r="AL9">
        <v>0</v>
      </c>
      <c r="AN9" t="s">
        <v>6</v>
      </c>
      <c r="AO9">
        <f>SUMPRODUCT(Table1[Selected],Table1[FWD])</f>
        <v>3</v>
      </c>
      <c r="AP9">
        <v>3</v>
      </c>
    </row>
    <row r="10" spans="1:42" hidden="1" x14ac:dyDescent="0.2">
      <c r="A10" t="s">
        <v>60</v>
      </c>
      <c r="B10" t="s">
        <v>61</v>
      </c>
      <c r="C10" t="s">
        <v>61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20.648648648648649</v>
      </c>
      <c r="AG10">
        <v>19.07046124340863</v>
      </c>
      <c r="AH10">
        <f>27.4831088021505*1</f>
        <v>27.4831088021505</v>
      </c>
      <c r="AI10">
        <f>4.53559008031125*1</f>
        <v>4.5355900803112501</v>
      </c>
      <c r="AJ10">
        <v>1</v>
      </c>
      <c r="AK10">
        <v>0</v>
      </c>
      <c r="AL10">
        <v>0</v>
      </c>
    </row>
    <row r="11" spans="1:42" x14ac:dyDescent="0.2">
      <c r="A11" t="s">
        <v>273</v>
      </c>
      <c r="B11" t="s">
        <v>274</v>
      </c>
      <c r="C11" t="s">
        <v>274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23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8.1999999999999993</v>
      </c>
      <c r="AE11">
        <v>516</v>
      </c>
      <c r="AF11">
        <v>36.570918590440108</v>
      </c>
      <c r="AG11">
        <v>19.950893759875761</v>
      </c>
      <c r="AH11">
        <f>35.5322423622638*1</f>
        <v>35.532242362263801</v>
      </c>
      <c r="AI11">
        <f>8.3261468999453*1</f>
        <v>8.3261468999453001</v>
      </c>
      <c r="AJ11">
        <v>1</v>
      </c>
      <c r="AK11">
        <v>0</v>
      </c>
      <c r="AL11">
        <v>1</v>
      </c>
      <c r="AN11" t="s">
        <v>7</v>
      </c>
      <c r="AO11">
        <f>SUMPRODUCT(Table1[Selected], -- (Table1[PREV] = 0))</f>
        <v>1</v>
      </c>
    </row>
    <row r="12" spans="1:42" hidden="1" x14ac:dyDescent="0.2">
      <c r="A12" t="s">
        <v>65</v>
      </c>
      <c r="B12" t="s">
        <v>66</v>
      </c>
      <c r="C12" t="s">
        <v>66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23.905289904943519</v>
      </c>
      <c r="AG12">
        <v>15.50530949217416</v>
      </c>
      <c r="AH12">
        <f>28.9182613395847*1</f>
        <v>28.918261339584699</v>
      </c>
      <c r="AI12">
        <f>5.05081140727187*1</f>
        <v>5.0508114072718699</v>
      </c>
      <c r="AJ12">
        <v>1</v>
      </c>
      <c r="AK12">
        <v>0</v>
      </c>
      <c r="AL12">
        <v>0</v>
      </c>
      <c r="AN12" t="s">
        <v>8</v>
      </c>
      <c r="AO12">
        <v>1</v>
      </c>
    </row>
    <row r="13" spans="1:42" hidden="1" x14ac:dyDescent="0.2">
      <c r="A13" t="s">
        <v>67</v>
      </c>
      <c r="B13" t="s">
        <v>68</v>
      </c>
      <c r="C13" t="s">
        <v>68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5.6</v>
      </c>
      <c r="AE13">
        <v>39</v>
      </c>
      <c r="AF13">
        <v>16.13924050632912</v>
      </c>
      <c r="AG13">
        <v>14.12714045403874</v>
      </c>
      <c r="AH13">
        <f>16.8193496918253*1</f>
        <v>16.819349691825298</v>
      </c>
      <c r="AI13">
        <f>3.3685155890622*1</f>
        <v>3.3685155890621998</v>
      </c>
      <c r="AJ13">
        <v>1</v>
      </c>
      <c r="AK13">
        <v>1</v>
      </c>
      <c r="AL13">
        <v>0</v>
      </c>
    </row>
    <row r="14" spans="1:42" hidden="1" x14ac:dyDescent="0.2">
      <c r="A14" t="s">
        <v>69</v>
      </c>
      <c r="B14" t="s">
        <v>70</v>
      </c>
      <c r="C14" t="s">
        <v>69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5.6</v>
      </c>
      <c r="AE14">
        <v>48</v>
      </c>
      <c r="AF14">
        <v>22.76232423749591</v>
      </c>
      <c r="AG14">
        <v>12.666453956336101</v>
      </c>
      <c r="AH14">
        <f>23.551371086066*1</f>
        <v>23.551371086065998</v>
      </c>
      <c r="AI14">
        <f>5.08933329703561*1</f>
        <v>5.0893332970356102</v>
      </c>
      <c r="AJ14">
        <v>1</v>
      </c>
      <c r="AK14">
        <v>0</v>
      </c>
      <c r="AL14">
        <v>0</v>
      </c>
      <c r="AN14" t="s">
        <v>9</v>
      </c>
      <c r="AO14">
        <f>((AO11-AO12)+ABS((AO11-AO12)))/2*4</f>
        <v>0</v>
      </c>
    </row>
    <row r="15" spans="1:42" hidden="1" x14ac:dyDescent="0.2">
      <c r="A15" t="s">
        <v>71</v>
      </c>
      <c r="B15" t="s">
        <v>72</v>
      </c>
      <c r="C15" t="s">
        <v>73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53</v>
      </c>
      <c r="AF15">
        <v>14.23333333333334</v>
      </c>
      <c r="AG15">
        <v>15.37975266920064</v>
      </c>
      <c r="AH15">
        <f>14.9016058566585*1</f>
        <v>14.901605856658501</v>
      </c>
      <c r="AI15">
        <f>3.0087154733441*1</f>
        <v>3.0087154733440999</v>
      </c>
      <c r="AJ15">
        <v>1</v>
      </c>
      <c r="AK15">
        <v>0</v>
      </c>
      <c r="AL15">
        <v>0</v>
      </c>
    </row>
    <row r="16" spans="1:42" hidden="1" x14ac:dyDescent="0.2">
      <c r="A16" t="s">
        <v>74</v>
      </c>
      <c r="B16" t="s">
        <v>75</v>
      </c>
      <c r="C16" t="s">
        <v>76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5.3</v>
      </c>
      <c r="AE16">
        <v>54</v>
      </c>
      <c r="AF16">
        <v>17.578125</v>
      </c>
      <c r="AG16">
        <v>18.323102900452739</v>
      </c>
      <c r="AH16">
        <f>18.3877121211723*1</f>
        <v>18.387712121172299</v>
      </c>
      <c r="AI16">
        <f>3.69663895492311*1</f>
        <v>3.69663895492311</v>
      </c>
      <c r="AJ16">
        <v>1</v>
      </c>
      <c r="AK16">
        <v>0</v>
      </c>
      <c r="AL16">
        <v>0</v>
      </c>
      <c r="AN16" t="s">
        <v>10</v>
      </c>
      <c r="AO16">
        <f>AO2-AO14*5</f>
        <v>475.74906256197067</v>
      </c>
    </row>
    <row r="17" spans="1:42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55</v>
      </c>
      <c r="AF17">
        <v>15.22580645161289</v>
      </c>
      <c r="AG17">
        <v>12.93600611895204</v>
      </c>
      <c r="AH17">
        <f>15.8582431574291*1</f>
        <v>15.858243157429101</v>
      </c>
      <c r="AI17">
        <f>3.17204204127185*1</f>
        <v>3.1720420412718502</v>
      </c>
      <c r="AJ17">
        <v>1</v>
      </c>
      <c r="AK17">
        <v>0</v>
      </c>
      <c r="AL17">
        <v>0</v>
      </c>
    </row>
    <row r="18" spans="1:42" x14ac:dyDescent="0.2">
      <c r="A18" t="s">
        <v>52</v>
      </c>
      <c r="B18" t="s">
        <v>53</v>
      </c>
      <c r="C18" t="s">
        <v>53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8.5</v>
      </c>
      <c r="AE18">
        <v>12</v>
      </c>
      <c r="AF18">
        <v>32.61260391658768</v>
      </c>
      <c r="AG18">
        <v>26.662827952870469</v>
      </c>
      <c r="AH18">
        <f>41.8819800841233*1</f>
        <v>41.881980084123299</v>
      </c>
      <c r="AI18">
        <f>6.87056651550943*1</f>
        <v>6.87056651550943</v>
      </c>
      <c r="AJ18">
        <v>1</v>
      </c>
      <c r="AK18">
        <v>1</v>
      </c>
      <c r="AL18">
        <v>1</v>
      </c>
      <c r="AN18" t="s">
        <v>11</v>
      </c>
      <c r="AO18">
        <f>SUMPRODUCT(Table1[Selected],Table1[ARS])</f>
        <v>3</v>
      </c>
      <c r="AP18">
        <v>3</v>
      </c>
    </row>
    <row r="19" spans="1:42" hidden="1" x14ac:dyDescent="0.2">
      <c r="A19" t="s">
        <v>81</v>
      </c>
      <c r="B19" t="s">
        <v>82</v>
      </c>
      <c r="C19" t="s">
        <v>81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4.5999999999999996</v>
      </c>
      <c r="AE19">
        <v>66</v>
      </c>
      <c r="AF19">
        <v>15.65217391304348</v>
      </c>
      <c r="AG19">
        <v>11.760498245520919</v>
      </c>
      <c r="AH19">
        <f>16.2662692338141*1</f>
        <v>16.2662692338141</v>
      </c>
      <c r="AI19">
        <f>3.27662042022661*1</f>
        <v>3.2766204202266098</v>
      </c>
      <c r="AJ19">
        <v>1</v>
      </c>
      <c r="AK19">
        <v>0</v>
      </c>
      <c r="AL19">
        <v>0</v>
      </c>
      <c r="AN19" t="s">
        <v>12</v>
      </c>
      <c r="AO19">
        <f>SUMPRODUCT(Table1[Selected],Table1[AVL])</f>
        <v>1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6.3</v>
      </c>
      <c r="AE20">
        <v>67</v>
      </c>
      <c r="AF20">
        <v>19.032258064516121</v>
      </c>
      <c r="AG20">
        <v>21.605571653727331</v>
      </c>
      <c r="AH20">
        <f>19.9502366105564*1</f>
        <v>19.950236610556399</v>
      </c>
      <c r="AI20">
        <f>4.02796557450751*1</f>
        <v>4.02796557450751</v>
      </c>
      <c r="AJ20">
        <v>1</v>
      </c>
      <c r="AK20">
        <v>0</v>
      </c>
      <c r="AL20">
        <v>0</v>
      </c>
      <c r="AN20" t="s">
        <v>13</v>
      </c>
      <c r="AO20">
        <f>SUMPRODUCT(Table1[Selected],Table1[BOU])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</v>
      </c>
      <c r="AE21">
        <v>82</v>
      </c>
      <c r="AF21">
        <v>12.711864406779659</v>
      </c>
      <c r="AG21">
        <v>14.44490688070864</v>
      </c>
      <c r="AH21">
        <f>18.5170972680785*1</f>
        <v>18.517097268078501</v>
      </c>
      <c r="AI21">
        <f>3.09977584454506*1</f>
        <v>3.0997758445450598</v>
      </c>
      <c r="AJ21">
        <v>1</v>
      </c>
      <c r="AK21">
        <v>0</v>
      </c>
      <c r="AL21">
        <v>0</v>
      </c>
      <c r="AN21" t="s">
        <v>14</v>
      </c>
      <c r="AO21">
        <f>SUMPRODUCT(Table1[Selected],Table1[BRE])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89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11.15217391304348</v>
      </c>
      <c r="AG22">
        <v>8.7601381134279492</v>
      </c>
      <c r="AH22">
        <f>12.6335042283624*1</f>
        <v>12.6335042283624</v>
      </c>
      <c r="AI22">
        <f>2.01824543438642*1</f>
        <v>2.01824543438642</v>
      </c>
      <c r="AJ22">
        <v>1</v>
      </c>
      <c r="AK22">
        <v>0</v>
      </c>
      <c r="AL22">
        <v>0</v>
      </c>
      <c r="AN22" t="s">
        <v>15</v>
      </c>
      <c r="AO22">
        <f>SUMPRODUCT(Table1[Selected],Table1[BHA])</f>
        <v>1</v>
      </c>
      <c r="AP22">
        <v>3</v>
      </c>
    </row>
    <row r="23" spans="1:42" hidden="1" x14ac:dyDescent="0.2">
      <c r="A23" t="s">
        <v>90</v>
      </c>
      <c r="B23" t="s">
        <v>91</v>
      </c>
      <c r="C23" t="s">
        <v>91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13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4.5999999999999996</v>
      </c>
      <c r="AE23">
        <v>89</v>
      </c>
      <c r="AF23">
        <v>17.25</v>
      </c>
      <c r="AG23">
        <v>18.16740074223366</v>
      </c>
      <c r="AH23">
        <f>23.8036449965905*1</f>
        <v>23.803644996590499</v>
      </c>
      <c r="AI23">
        <f>4.58329805630458*1</f>
        <v>4.5832980563045798</v>
      </c>
      <c r="AJ23">
        <v>1</v>
      </c>
      <c r="AK23">
        <v>0</v>
      </c>
      <c r="AL23">
        <v>0</v>
      </c>
      <c r="AN23" t="s">
        <v>16</v>
      </c>
      <c r="AO23">
        <f>SUMPRODUCT(Table1[Selected],Table1[BUR])</f>
        <v>0</v>
      </c>
      <c r="AP23">
        <v>3</v>
      </c>
    </row>
    <row r="24" spans="1:42" hidden="1" x14ac:dyDescent="0.2">
      <c r="A24" t="s">
        <v>92</v>
      </c>
      <c r="B24" t="s">
        <v>93</v>
      </c>
      <c r="C24" t="s">
        <v>94</v>
      </c>
      <c r="D24" t="s">
        <v>3</v>
      </c>
      <c r="E24">
        <v>1</v>
      </c>
      <c r="F24">
        <v>0</v>
      </c>
      <c r="G24">
        <v>0</v>
      </c>
      <c r="H24">
        <v>0</v>
      </c>
      <c r="I24" t="s">
        <v>13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4.7</v>
      </c>
      <c r="AE24">
        <v>94</v>
      </c>
      <c r="AF24">
        <v>20.353203598357709</v>
      </c>
      <c r="AG24">
        <v>24.871198752557561</v>
      </c>
      <c r="AH24">
        <f>31.2572303782871*1</f>
        <v>31.257230378287101</v>
      </c>
      <c r="AI24">
        <f>6.81500099906299*1</f>
        <v>6.8150009990629901</v>
      </c>
      <c r="AJ24">
        <v>1</v>
      </c>
      <c r="AK24">
        <v>0</v>
      </c>
      <c r="AL24">
        <v>0</v>
      </c>
      <c r="AN24" t="s">
        <v>17</v>
      </c>
      <c r="AO24">
        <f>SUMPRODUCT(Table1[Selected],Table1[CHE])</f>
        <v>1</v>
      </c>
      <c r="AP24">
        <v>3</v>
      </c>
    </row>
    <row r="25" spans="1:42" hidden="1" x14ac:dyDescent="0.2">
      <c r="A25" t="s">
        <v>95</v>
      </c>
      <c r="B25" t="s">
        <v>96</v>
      </c>
      <c r="C25" t="s">
        <v>96</v>
      </c>
      <c r="D25" t="s">
        <v>6</v>
      </c>
      <c r="E25">
        <v>0</v>
      </c>
      <c r="F25">
        <v>0</v>
      </c>
      <c r="G25">
        <v>0</v>
      </c>
      <c r="H25">
        <v>1</v>
      </c>
      <c r="I25" t="s">
        <v>13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99</v>
      </c>
      <c r="AF25">
        <v>17.657142857142851</v>
      </c>
      <c r="AG25">
        <v>15.03092645770943</v>
      </c>
      <c r="AH25">
        <f>21.0743229030704*1</f>
        <v>21.074322903070399</v>
      </c>
      <c r="AI25">
        <f>4.02085344890851*1</f>
        <v>4.0208534489085102</v>
      </c>
      <c r="AJ25">
        <v>1</v>
      </c>
      <c r="AK25">
        <v>0</v>
      </c>
      <c r="AL25">
        <v>0</v>
      </c>
      <c r="AN25" t="s">
        <v>18</v>
      </c>
      <c r="AO25">
        <f>SUMPRODUCT(Table1[Selected],Table1[CRY])</f>
        <v>0</v>
      </c>
      <c r="AP25">
        <v>3</v>
      </c>
    </row>
    <row r="26" spans="1:42" hidden="1" x14ac:dyDescent="0.2">
      <c r="A26" t="s">
        <v>97</v>
      </c>
      <c r="B26" t="s">
        <v>98</v>
      </c>
      <c r="C26" t="s">
        <v>98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100</v>
      </c>
      <c r="AF26">
        <v>14.756950684106149</v>
      </c>
      <c r="AG26">
        <v>11.28632577717346</v>
      </c>
      <c r="AH26">
        <f>16.4351818939765*1</f>
        <v>16.435181893976502</v>
      </c>
      <c r="AI26">
        <f>2.45730660813026*1</f>
        <v>2.4573066081302599</v>
      </c>
      <c r="AJ26">
        <v>1</v>
      </c>
      <c r="AK26">
        <v>0</v>
      </c>
      <c r="AL26">
        <v>0</v>
      </c>
      <c r="AN26" t="s">
        <v>19</v>
      </c>
      <c r="AO26">
        <f>SUMPRODUCT(Table1[Selected],Table1[EVE])</f>
        <v>0</v>
      </c>
      <c r="AP26">
        <v>3</v>
      </c>
    </row>
    <row r="27" spans="1:42" hidden="1" x14ac:dyDescent="0.2">
      <c r="A27" t="s">
        <v>99</v>
      </c>
      <c r="B27" t="s">
        <v>100</v>
      </c>
      <c r="C27" t="s">
        <v>100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101</v>
      </c>
      <c r="AF27">
        <v>14.28571428571429</v>
      </c>
      <c r="AG27">
        <v>12.84800763621333</v>
      </c>
      <c r="AH27">
        <f>17.6846606975392*1</f>
        <v>17.684660697539201</v>
      </c>
      <c r="AI27">
        <f>3.17385518593399*1</f>
        <v>3.1738551859339901</v>
      </c>
      <c r="AJ27">
        <v>1</v>
      </c>
      <c r="AK27">
        <v>0</v>
      </c>
      <c r="AL27">
        <v>0</v>
      </c>
      <c r="AN27" t="s">
        <v>20</v>
      </c>
      <c r="AO27">
        <f>SUMPRODUCT(Table1[Selected],Table1[FUL])</f>
        <v>0</v>
      </c>
      <c r="AP27">
        <v>3</v>
      </c>
    </row>
    <row r="28" spans="1:42" hidden="1" x14ac:dyDescent="0.2">
      <c r="A28" t="s">
        <v>101</v>
      </c>
      <c r="B28" t="s">
        <v>102</v>
      </c>
      <c r="C28" t="s">
        <v>102</v>
      </c>
      <c r="D28" t="s">
        <v>6</v>
      </c>
      <c r="E28">
        <v>0</v>
      </c>
      <c r="F28">
        <v>0</v>
      </c>
      <c r="G28">
        <v>0</v>
      </c>
      <c r="H28">
        <v>1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7.2</v>
      </c>
      <c r="AE28">
        <v>102</v>
      </c>
      <c r="AF28">
        <v>31.554359769726641</v>
      </c>
      <c r="AG28">
        <v>17.0925884984186</v>
      </c>
      <c r="AH28">
        <f>28.6435713275954*1</f>
        <v>28.643571327595399</v>
      </c>
      <c r="AI28">
        <f>4.77974472968597*1</f>
        <v>4.7797447296859703</v>
      </c>
      <c r="AJ28">
        <v>1</v>
      </c>
      <c r="AK28">
        <v>0</v>
      </c>
      <c r="AL28">
        <v>0</v>
      </c>
      <c r="AN28" t="s">
        <v>21</v>
      </c>
      <c r="AO28">
        <f>SUMPRODUCT(Table1[Selected],Table1[LIV])</f>
        <v>3</v>
      </c>
      <c r="AP28">
        <v>3</v>
      </c>
    </row>
    <row r="29" spans="1:42" hidden="1" x14ac:dyDescent="0.2">
      <c r="A29" t="s">
        <v>103</v>
      </c>
      <c r="B29" t="s">
        <v>104</v>
      </c>
      <c r="C29" t="s">
        <v>104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5.3</v>
      </c>
      <c r="AE29">
        <v>103</v>
      </c>
      <c r="AF29">
        <v>20.53482880568172</v>
      </c>
      <c r="AG29">
        <v>21.087218221846079</v>
      </c>
      <c r="AH29">
        <f>27.8382399449783*1</f>
        <v>27.838239944978302</v>
      </c>
      <c r="AI29">
        <f>4.55342306232829*1</f>
        <v>4.5534230623282896</v>
      </c>
      <c r="AJ29">
        <v>1</v>
      </c>
      <c r="AK29">
        <v>0</v>
      </c>
      <c r="AL29">
        <v>0</v>
      </c>
      <c r="AN29" t="s">
        <v>22</v>
      </c>
      <c r="AO29">
        <f>SUMPRODUCT(Table1[Selected],Table1[LUT])</f>
        <v>2</v>
      </c>
      <c r="AP29">
        <v>3</v>
      </c>
    </row>
    <row r="30" spans="1:42" hidden="1" x14ac:dyDescent="0.2">
      <c r="A30" t="s">
        <v>105</v>
      </c>
      <c r="B30" t="s">
        <v>106</v>
      </c>
      <c r="C30" t="s">
        <v>106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106</v>
      </c>
      <c r="AF30">
        <v>13.76470588235294</v>
      </c>
      <c r="AG30">
        <v>11.35937307899289</v>
      </c>
      <c r="AH30">
        <f>16.098059895931*1</f>
        <v>16.098059895931002</v>
      </c>
      <c r="AI30">
        <f>3.61016547310553*1</f>
        <v>3.6101654731055302</v>
      </c>
      <c r="AJ30">
        <v>1</v>
      </c>
      <c r="AK30">
        <v>0</v>
      </c>
      <c r="AL30">
        <v>0</v>
      </c>
      <c r="AN30" t="s">
        <v>23</v>
      </c>
      <c r="AO30">
        <f>SUMPRODUCT(Table1[Selected],Table1[MCI])</f>
        <v>1</v>
      </c>
      <c r="AP30">
        <v>3</v>
      </c>
    </row>
    <row r="31" spans="1:42" hidden="1" x14ac:dyDescent="0.2">
      <c r="A31" t="s">
        <v>107</v>
      </c>
      <c r="B31" t="s">
        <v>108</v>
      </c>
      <c r="C31" t="s">
        <v>108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4.4000000000000004</v>
      </c>
      <c r="AE31">
        <v>107</v>
      </c>
      <c r="AF31">
        <v>12.78260869565217</v>
      </c>
      <c r="AG31">
        <v>10.359171425877991</v>
      </c>
      <c r="AH31">
        <f>14.7743451392234*1</f>
        <v>14.774345139223399</v>
      </c>
      <c r="AI31">
        <f>2.20700935598809*1</f>
        <v>2.2070093559880899</v>
      </c>
      <c r="AJ31">
        <v>1</v>
      </c>
      <c r="AK31">
        <v>0</v>
      </c>
      <c r="AL31">
        <v>0</v>
      </c>
      <c r="AN31" t="s">
        <v>24</v>
      </c>
      <c r="AO31">
        <f>SUMPRODUCT(Table1[Selected],Table1[MUN])</f>
        <v>0</v>
      </c>
      <c r="AP31">
        <v>3</v>
      </c>
    </row>
    <row r="32" spans="1:42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14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118</v>
      </c>
      <c r="AF32">
        <v>14.72727272727272</v>
      </c>
      <c r="AG32">
        <v>18.038285305269071</v>
      </c>
      <c r="AH32">
        <f>16.5725605618363*1</f>
        <v>16.572560561836301</v>
      </c>
      <c r="AI32">
        <f>3.31451211236727*1</f>
        <v>3.3145121123672698</v>
      </c>
      <c r="AJ32">
        <v>1</v>
      </c>
      <c r="AK32">
        <v>0</v>
      </c>
      <c r="AL32">
        <v>0</v>
      </c>
      <c r="AN32" t="s">
        <v>25</v>
      </c>
      <c r="AO32">
        <f>SUMPRODUCT(Table1[Selected],Table1[NEW])</f>
        <v>0</v>
      </c>
      <c r="AP32">
        <v>3</v>
      </c>
    </row>
    <row r="33" spans="1:42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14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</v>
      </c>
      <c r="AE33">
        <v>124</v>
      </c>
      <c r="AF33">
        <v>11.88405797101449</v>
      </c>
      <c r="AG33">
        <v>12.919516815980771</v>
      </c>
      <c r="AH33">
        <f>13.3730986104637*1</f>
        <v>13.3730986104637</v>
      </c>
      <c r="AI33">
        <f>2.67461972209275*1</f>
        <v>2.6746197220927499</v>
      </c>
      <c r="AJ33">
        <v>1</v>
      </c>
      <c r="AK33">
        <v>0</v>
      </c>
      <c r="AL33">
        <v>0</v>
      </c>
      <c r="AN33" t="s">
        <v>26</v>
      </c>
      <c r="AO33">
        <f>SUMPRODUCT(Table1[Selected],Table1[NFO])</f>
        <v>0</v>
      </c>
      <c r="AP33">
        <v>3</v>
      </c>
    </row>
    <row r="34" spans="1:42" hidden="1" x14ac:dyDescent="0.2">
      <c r="A34" t="s">
        <v>113</v>
      </c>
      <c r="B34" t="s">
        <v>114</v>
      </c>
      <c r="C34" t="s">
        <v>114</v>
      </c>
      <c r="D34" t="s">
        <v>3</v>
      </c>
      <c r="E34">
        <v>1</v>
      </c>
      <c r="F34">
        <v>0</v>
      </c>
      <c r="G34">
        <v>0</v>
      </c>
      <c r="H34">
        <v>0</v>
      </c>
      <c r="I34" t="s">
        <v>14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4.5999999999999996</v>
      </c>
      <c r="AE34">
        <v>129</v>
      </c>
      <c r="AF34">
        <v>15.86206896551723</v>
      </c>
      <c r="AG34">
        <v>12.83742179672233</v>
      </c>
      <c r="AH34">
        <f>17.849543729862*1</f>
        <v>17.849543729861999</v>
      </c>
      <c r="AI34">
        <f>3.56990874597241*1</f>
        <v>3.5699087459724099</v>
      </c>
      <c r="AJ34">
        <v>1</v>
      </c>
      <c r="AK34">
        <v>0</v>
      </c>
      <c r="AL34">
        <v>0</v>
      </c>
      <c r="AN34" t="s">
        <v>27</v>
      </c>
      <c r="AO34">
        <f>SUMPRODUCT(Table1[Selected],Table1[SHU])</f>
        <v>0</v>
      </c>
      <c r="AP34">
        <v>3</v>
      </c>
    </row>
    <row r="35" spans="1:42" hidden="1" x14ac:dyDescent="0.2">
      <c r="A35" t="s">
        <v>115</v>
      </c>
      <c r="B35" t="s">
        <v>116</v>
      </c>
      <c r="C35" t="s">
        <v>116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14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5.3</v>
      </c>
      <c r="AE35">
        <v>134</v>
      </c>
      <c r="AF35">
        <v>15.015727493577179</v>
      </c>
      <c r="AG35">
        <v>15.470646129437849</v>
      </c>
      <c r="AH35">
        <f>16.8971579379057*1</f>
        <v>16.8971579379057</v>
      </c>
      <c r="AI35">
        <f>3.59552531620556*1</f>
        <v>3.5955253162055598</v>
      </c>
      <c r="AJ35">
        <v>1</v>
      </c>
      <c r="AK35">
        <v>0</v>
      </c>
      <c r="AL35">
        <v>0</v>
      </c>
      <c r="AN35" t="s">
        <v>28</v>
      </c>
      <c r="AO35">
        <f>SUMPRODUCT(Table1[Selected],Table1[TOT])</f>
        <v>0</v>
      </c>
      <c r="AP35">
        <v>3</v>
      </c>
    </row>
    <row r="36" spans="1:42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4.7</v>
      </c>
      <c r="AE36">
        <v>135</v>
      </c>
      <c r="AF36">
        <v>10.45454545454545</v>
      </c>
      <c r="AG36">
        <v>12.3619850880005</v>
      </c>
      <c r="AH36">
        <f>11.7644720037727*1</f>
        <v>11.764472003772701</v>
      </c>
      <c r="AI36">
        <f>2.35289440075454*1</f>
        <v>2.3528944007545398</v>
      </c>
      <c r="AJ36">
        <v>1</v>
      </c>
      <c r="AK36">
        <v>0</v>
      </c>
      <c r="AL36">
        <v>0</v>
      </c>
      <c r="AN36" t="s">
        <v>29</v>
      </c>
      <c r="AO36">
        <f>SUMPRODUCT(Table1[Selected],Table1[WHU])</f>
        <v>0</v>
      </c>
      <c r="AP36">
        <v>3</v>
      </c>
    </row>
    <row r="37" spans="1:42" hidden="1" x14ac:dyDescent="0.2">
      <c r="A37" t="s">
        <v>119</v>
      </c>
      <c r="B37" t="s">
        <v>120</v>
      </c>
      <c r="C37" t="s">
        <v>120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5.2</v>
      </c>
      <c r="AE37">
        <v>138</v>
      </c>
      <c r="AF37">
        <v>14.48717948717948</v>
      </c>
      <c r="AG37">
        <v>17.89753145868459</v>
      </c>
      <c r="AH37">
        <f>16.3023842817051*1</f>
        <v>16.302384281705098</v>
      </c>
      <c r="AI37">
        <f>3.26047685634102*1</f>
        <v>3.26047685634102</v>
      </c>
      <c r="AJ37">
        <v>1</v>
      </c>
      <c r="AK37">
        <v>0</v>
      </c>
      <c r="AL37">
        <v>0</v>
      </c>
      <c r="AN37" t="s">
        <v>30</v>
      </c>
      <c r="AO37">
        <f>SUMPRODUCT(Table1[Selected],Table1[WOL])</f>
        <v>3</v>
      </c>
      <c r="AP37">
        <v>3</v>
      </c>
    </row>
    <row r="38" spans="1:42" hidden="1" x14ac:dyDescent="0.2">
      <c r="A38" t="s">
        <v>121</v>
      </c>
      <c r="B38" t="s">
        <v>122</v>
      </c>
      <c r="C38" t="s">
        <v>122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140</v>
      </c>
      <c r="AF38">
        <v>15.370370370370379</v>
      </c>
      <c r="AG38">
        <v>15.59344893482468</v>
      </c>
      <c r="AH38">
        <f>17.2962366174629*1</f>
        <v>17.296236617462899</v>
      </c>
      <c r="AI38">
        <f>3.45924732349259*1</f>
        <v>3.45924732349259</v>
      </c>
      <c r="AJ38">
        <v>1</v>
      </c>
      <c r="AK38">
        <v>0</v>
      </c>
      <c r="AL38">
        <v>0</v>
      </c>
    </row>
    <row r="39" spans="1:42" hidden="1" x14ac:dyDescent="0.2">
      <c r="A39" t="s">
        <v>123</v>
      </c>
      <c r="B39" t="s">
        <v>124</v>
      </c>
      <c r="C39" t="s">
        <v>125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141</v>
      </c>
      <c r="AF39">
        <v>8.8902039445582233</v>
      </c>
      <c r="AG39">
        <v>8.5059721904683023</v>
      </c>
      <c r="AH39">
        <f>10.0041226917342*1</f>
        <v>10.004122691734199</v>
      </c>
      <c r="AI39">
        <f>0.676037800448135*1</f>
        <v>0.676037800448135</v>
      </c>
      <c r="AJ39">
        <v>1</v>
      </c>
      <c r="AK39">
        <v>0</v>
      </c>
      <c r="AL39">
        <v>0</v>
      </c>
    </row>
    <row r="40" spans="1:42" hidden="1" x14ac:dyDescent="0.2">
      <c r="A40" t="s">
        <v>126</v>
      </c>
      <c r="B40" t="s">
        <v>127</v>
      </c>
      <c r="C40" t="s">
        <v>127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5.7</v>
      </c>
      <c r="AE40">
        <v>146</v>
      </c>
      <c r="AF40">
        <v>15.869645389669291</v>
      </c>
      <c r="AG40">
        <v>16.79517551145879</v>
      </c>
      <c r="AH40">
        <f>17.8580694596714*1</f>
        <v>17.858069459671398</v>
      </c>
      <c r="AI40">
        <f>3.62967851751101*1</f>
        <v>3.6296785175110098</v>
      </c>
      <c r="AJ40">
        <v>1</v>
      </c>
      <c r="AK40">
        <v>0</v>
      </c>
      <c r="AL40">
        <v>0</v>
      </c>
    </row>
    <row r="41" spans="1:42" hidden="1" x14ac:dyDescent="0.2">
      <c r="A41" t="s">
        <v>128</v>
      </c>
      <c r="B41" t="s">
        <v>129</v>
      </c>
      <c r="C41" t="s">
        <v>129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15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</v>
      </c>
      <c r="AE41">
        <v>161</v>
      </c>
      <c r="AF41">
        <v>18.697831219646051</v>
      </c>
      <c r="AG41">
        <v>17.34461851503006</v>
      </c>
      <c r="AH41">
        <f>26.5259768497958*1</f>
        <v>26.5259768497958</v>
      </c>
      <c r="AI41">
        <f>6.45603574814005*1</f>
        <v>6.4560357481400503</v>
      </c>
      <c r="AJ41">
        <v>1</v>
      </c>
      <c r="AK41">
        <v>0</v>
      </c>
      <c r="AL41">
        <v>0</v>
      </c>
    </row>
    <row r="42" spans="1:42" hidden="1" x14ac:dyDescent="0.2">
      <c r="A42" t="s">
        <v>130</v>
      </c>
      <c r="B42" t="s">
        <v>131</v>
      </c>
      <c r="C42" t="s">
        <v>131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15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4.7</v>
      </c>
      <c r="AE42">
        <v>164</v>
      </c>
      <c r="AF42">
        <v>11.29032258064516</v>
      </c>
      <c r="AG42">
        <v>11.361978670713309</v>
      </c>
      <c r="AH42">
        <f>16.313684765454*1</f>
        <v>16.313684765453999</v>
      </c>
      <c r="AI42">
        <f>3.42173334225202*1</f>
        <v>3.4217333422520202</v>
      </c>
      <c r="AJ42">
        <v>1</v>
      </c>
      <c r="AK42">
        <v>0</v>
      </c>
      <c r="AL42">
        <v>0</v>
      </c>
    </row>
    <row r="43" spans="1:42" x14ac:dyDescent="0.2">
      <c r="A43" t="s">
        <v>242</v>
      </c>
      <c r="B43" t="s">
        <v>243</v>
      </c>
      <c r="C43" t="s">
        <v>243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21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13.4</v>
      </c>
      <c r="AE43">
        <v>434</v>
      </c>
      <c r="AF43">
        <v>41.387755102040828</v>
      </c>
      <c r="AG43">
        <v>39.103750532070158</v>
      </c>
      <c r="AH43">
        <f>41.1290297288195*1</f>
        <v>41.129029728819503</v>
      </c>
      <c r="AI43">
        <f>6.4385940663743*1</f>
        <v>6.4385940663743</v>
      </c>
      <c r="AJ43">
        <v>1</v>
      </c>
      <c r="AK43">
        <v>1</v>
      </c>
      <c r="AL43">
        <v>1</v>
      </c>
    </row>
    <row r="44" spans="1:42" hidden="1" x14ac:dyDescent="0.2">
      <c r="A44" t="s">
        <v>133</v>
      </c>
      <c r="B44" t="s">
        <v>134</v>
      </c>
      <c r="C44" t="s">
        <v>135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15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6.4</v>
      </c>
      <c r="AE44">
        <v>172</v>
      </c>
      <c r="AF44">
        <v>22.41889525911721</v>
      </c>
      <c r="AG44">
        <v>16.231683131788269</v>
      </c>
      <c r="AH44">
        <f>30.2821640161774*1</f>
        <v>30.282164016177401</v>
      </c>
      <c r="AI44">
        <f>5.96874739977263*1</f>
        <v>5.9687473997726297</v>
      </c>
      <c r="AJ44">
        <v>1</v>
      </c>
      <c r="AK44">
        <v>0</v>
      </c>
      <c r="AL44">
        <v>0</v>
      </c>
    </row>
    <row r="45" spans="1:42" hidden="1" x14ac:dyDescent="0.2">
      <c r="A45" t="s">
        <v>136</v>
      </c>
      <c r="B45" t="s">
        <v>137</v>
      </c>
      <c r="C45" t="s">
        <v>136</v>
      </c>
      <c r="D45" t="s">
        <v>6</v>
      </c>
      <c r="E45">
        <v>0</v>
      </c>
      <c r="F45">
        <v>0</v>
      </c>
      <c r="G45">
        <v>0</v>
      </c>
      <c r="H45">
        <v>1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5.2</v>
      </c>
      <c r="AE45">
        <v>173</v>
      </c>
      <c r="AF45">
        <v>23.885852024437611</v>
      </c>
      <c r="AG45">
        <v>12.10902131011416</v>
      </c>
      <c r="AH45">
        <f>30.5340338195328*1</f>
        <v>30.534033819532802</v>
      </c>
      <c r="AI45">
        <f>7.48164566381529*1</f>
        <v>7.4816456638152902</v>
      </c>
      <c r="AJ45">
        <v>1</v>
      </c>
      <c r="AK45">
        <v>0</v>
      </c>
      <c r="AL45">
        <v>0</v>
      </c>
    </row>
    <row r="46" spans="1:42" hidden="1" x14ac:dyDescent="0.2">
      <c r="A46" t="s">
        <v>138</v>
      </c>
      <c r="B46" t="s">
        <v>139</v>
      </c>
      <c r="C46" t="s">
        <v>139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6.4</v>
      </c>
      <c r="AE46">
        <v>181</v>
      </c>
      <c r="AF46">
        <v>13.204751290438651</v>
      </c>
      <c r="AG46">
        <v>23.249860284834529</v>
      </c>
      <c r="AH46">
        <f>22.4029340664601*1</f>
        <v>22.402934066460102</v>
      </c>
      <c r="AI46">
        <f>2.09598675026496*1</f>
        <v>2.0959867502649598</v>
      </c>
      <c r="AJ46">
        <v>1</v>
      </c>
      <c r="AK46">
        <v>0</v>
      </c>
      <c r="AL46">
        <v>0</v>
      </c>
    </row>
    <row r="47" spans="1:42" hidden="1" x14ac:dyDescent="0.2">
      <c r="A47" t="s">
        <v>140</v>
      </c>
      <c r="B47" t="s">
        <v>141</v>
      </c>
      <c r="C47" t="s">
        <v>142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4.0999999999999996</v>
      </c>
      <c r="AE47">
        <v>187</v>
      </c>
      <c r="AF47">
        <v>14.42775400749756</v>
      </c>
      <c r="AG47">
        <v>7.7869988604960714</v>
      </c>
      <c r="AH47">
        <f>18.6011726666184*1</f>
        <v>18.6011726666184</v>
      </c>
      <c r="AI47">
        <f>3.64976974886889*1</f>
        <v>3.6497697488688901</v>
      </c>
      <c r="AJ47">
        <v>1</v>
      </c>
      <c r="AK47">
        <v>0</v>
      </c>
      <c r="AL47">
        <v>0</v>
      </c>
    </row>
    <row r="48" spans="1:42" hidden="1" x14ac:dyDescent="0.2">
      <c r="A48" t="s">
        <v>143</v>
      </c>
      <c r="B48" t="s">
        <v>144</v>
      </c>
      <c r="C48" t="s">
        <v>144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5.7</v>
      </c>
      <c r="AE48">
        <v>191</v>
      </c>
      <c r="AF48">
        <v>15.127118644067799</v>
      </c>
      <c r="AG48">
        <v>16.14822910791862</v>
      </c>
      <c r="AH48">
        <f>22.1661824422209*1</f>
        <v>22.166182442220901</v>
      </c>
      <c r="AI48">
        <f>4.29673660802026*1</f>
        <v>4.29673660802026</v>
      </c>
      <c r="AJ48">
        <v>1</v>
      </c>
      <c r="AK48">
        <v>0</v>
      </c>
      <c r="AL48">
        <v>0</v>
      </c>
    </row>
    <row r="49" spans="1:38" hidden="1" x14ac:dyDescent="0.2">
      <c r="A49" t="s">
        <v>145</v>
      </c>
      <c r="B49" t="s">
        <v>146</v>
      </c>
      <c r="C49" t="s">
        <v>146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224</v>
      </c>
      <c r="AF49">
        <v>12.23425224404142</v>
      </c>
      <c r="AG49">
        <v>7.6935604534085549</v>
      </c>
      <c r="AH49">
        <f>12.3828835111575*1</f>
        <v>12.3828835111575</v>
      </c>
      <c r="AI49">
        <f>2.47657670223151*1</f>
        <v>2.4765767022315099</v>
      </c>
      <c r="AJ49">
        <v>1</v>
      </c>
      <c r="AK49">
        <v>0</v>
      </c>
      <c r="AL49">
        <v>0</v>
      </c>
    </row>
    <row r="50" spans="1:38" hidden="1" x14ac:dyDescent="0.2">
      <c r="A50" t="s">
        <v>147</v>
      </c>
      <c r="B50" t="s">
        <v>148</v>
      </c>
      <c r="C50" t="s">
        <v>148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16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242</v>
      </c>
      <c r="AF50">
        <v>13.9967777130332</v>
      </c>
      <c r="AG50">
        <v>10.160861316839989</v>
      </c>
      <c r="AH50">
        <f>14.1668215183703*1</f>
        <v>14.1668215183703</v>
      </c>
      <c r="AI50">
        <f>2.90100327755541*1</f>
        <v>2.90100327755541</v>
      </c>
      <c r="AJ50">
        <v>1</v>
      </c>
      <c r="AK50">
        <v>0</v>
      </c>
      <c r="AL50">
        <v>0</v>
      </c>
    </row>
    <row r="51" spans="1:38" hidden="1" x14ac:dyDescent="0.2">
      <c r="A51" t="s">
        <v>149</v>
      </c>
      <c r="B51" t="s">
        <v>150</v>
      </c>
      <c r="C51" t="s">
        <v>150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244</v>
      </c>
      <c r="AF51">
        <v>15</v>
      </c>
      <c r="AG51">
        <v>18.57861510440879</v>
      </c>
      <c r="AH51">
        <f>15.1822317344999*1</f>
        <v>15.182231734499901</v>
      </c>
      <c r="AI51">
        <f>3.03644634689999*1</f>
        <v>3.0364463468999898</v>
      </c>
      <c r="AJ51">
        <v>1</v>
      </c>
      <c r="AK51">
        <v>0</v>
      </c>
      <c r="AL51">
        <v>0</v>
      </c>
    </row>
    <row r="52" spans="1:38" hidden="1" x14ac:dyDescent="0.2">
      <c r="A52" t="s">
        <v>151</v>
      </c>
      <c r="B52" t="s">
        <v>152</v>
      </c>
      <c r="C52" t="s">
        <v>152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4.5999999999999996</v>
      </c>
      <c r="AE52">
        <v>264</v>
      </c>
      <c r="AF52">
        <v>13.46153846153846</v>
      </c>
      <c r="AG52">
        <v>13.410411831684719</v>
      </c>
      <c r="AH52">
        <f>15.8793799513461*1</f>
        <v>15.879379951346101</v>
      </c>
      <c r="AI52">
        <f>3.17587599026923*1</f>
        <v>3.1758759902692302</v>
      </c>
      <c r="AJ52">
        <v>1</v>
      </c>
      <c r="AK52">
        <v>0</v>
      </c>
      <c r="AL52">
        <v>0</v>
      </c>
    </row>
    <row r="53" spans="1:38" hidden="1" x14ac:dyDescent="0.2">
      <c r="A53" t="s">
        <v>153</v>
      </c>
      <c r="B53" t="s">
        <v>154</v>
      </c>
      <c r="C53" t="s">
        <v>153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266</v>
      </c>
      <c r="AF53">
        <v>13.452380952380951</v>
      </c>
      <c r="AG53">
        <v>13.55400063929056</v>
      </c>
      <c r="AH53">
        <f>15.8685776520595*1</f>
        <v>15.8685776520595</v>
      </c>
      <c r="AI53">
        <f>3.1737155304119*1</f>
        <v>3.1737155304118998</v>
      </c>
      <c r="AJ53">
        <v>1</v>
      </c>
      <c r="AK53">
        <v>0</v>
      </c>
      <c r="AL53">
        <v>0</v>
      </c>
    </row>
    <row r="54" spans="1:38" hidden="1" x14ac:dyDescent="0.2">
      <c r="A54" t="s">
        <v>155</v>
      </c>
      <c r="B54" t="s">
        <v>156</v>
      </c>
      <c r="C54" t="s">
        <v>156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5.4</v>
      </c>
      <c r="AE54">
        <v>268</v>
      </c>
      <c r="AF54">
        <v>15.175146116672099</v>
      </c>
      <c r="AG54">
        <v>12.394506646502171</v>
      </c>
      <c r="AH54">
        <f>17.9007705317131*1</f>
        <v>17.9007705317131</v>
      </c>
      <c r="AI54">
        <f>3.25855112520866*1</f>
        <v>3.2585511252086601</v>
      </c>
      <c r="AJ54">
        <v>1</v>
      </c>
      <c r="AK54">
        <v>0</v>
      </c>
      <c r="AL54">
        <v>0</v>
      </c>
    </row>
    <row r="55" spans="1:38" hidden="1" x14ac:dyDescent="0.2">
      <c r="A55" t="s">
        <v>157</v>
      </c>
      <c r="B55" t="s">
        <v>158</v>
      </c>
      <c r="C55" t="s">
        <v>158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6.3</v>
      </c>
      <c r="AE55">
        <v>273</v>
      </c>
      <c r="AF55">
        <v>13.47222222222222</v>
      </c>
      <c r="AG55">
        <v>14.006129384128149</v>
      </c>
      <c r="AH55">
        <f>15.8919826338472*1</f>
        <v>15.891982633847199</v>
      </c>
      <c r="AI55">
        <f>3.17839652676944*1</f>
        <v>3.1783965267694398</v>
      </c>
      <c r="AJ55">
        <v>1</v>
      </c>
      <c r="AK55">
        <v>0</v>
      </c>
      <c r="AL55">
        <v>0</v>
      </c>
    </row>
    <row r="56" spans="1:38" hidden="1" x14ac:dyDescent="0.2">
      <c r="A56" t="s">
        <v>159</v>
      </c>
      <c r="B56" t="s">
        <v>160</v>
      </c>
      <c r="C56" t="s">
        <v>161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6.8</v>
      </c>
      <c r="AE56">
        <v>274</v>
      </c>
      <c r="AF56">
        <v>17.5</v>
      </c>
      <c r="AG56">
        <v>18.380373740005741</v>
      </c>
      <c r="AH56">
        <f>20.64319393675*1</f>
        <v>20.643193936749999</v>
      </c>
      <c r="AI56">
        <f>4.12863878735*1</f>
        <v>4.1286387873499999</v>
      </c>
      <c r="AJ56">
        <v>1</v>
      </c>
      <c r="AK56">
        <v>0</v>
      </c>
      <c r="AL56">
        <v>0</v>
      </c>
    </row>
    <row r="57" spans="1:38" hidden="1" x14ac:dyDescent="0.2">
      <c r="A57" t="s">
        <v>162</v>
      </c>
      <c r="B57" t="s">
        <v>163</v>
      </c>
      <c r="C57" t="s">
        <v>163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6.9</v>
      </c>
      <c r="AE57">
        <v>279</v>
      </c>
      <c r="AF57">
        <v>19.27134038668941</v>
      </c>
      <c r="AG57">
        <v>28.086763673733849</v>
      </c>
      <c r="AH57">
        <f>22.7326866870601*1</f>
        <v>22.732686687060099</v>
      </c>
      <c r="AI57">
        <f>4.98720197461112*1</f>
        <v>4.9872019746111196</v>
      </c>
      <c r="AJ57">
        <v>1</v>
      </c>
      <c r="AK57">
        <v>0</v>
      </c>
      <c r="AL57">
        <v>0</v>
      </c>
    </row>
    <row r="58" spans="1:38" hidden="1" x14ac:dyDescent="0.2">
      <c r="A58" t="s">
        <v>164</v>
      </c>
      <c r="B58" t="s">
        <v>165</v>
      </c>
      <c r="C58" t="s">
        <v>166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</v>
      </c>
      <c r="AE58">
        <v>280</v>
      </c>
      <c r="AF58">
        <v>16.602564102564092</v>
      </c>
      <c r="AG58">
        <v>14.3242188923698</v>
      </c>
      <c r="AH58">
        <f>19.5845686066602*1</f>
        <v>19.584568606660198</v>
      </c>
      <c r="AI58">
        <f>3.91691372133204*1</f>
        <v>3.91691372133204</v>
      </c>
      <c r="AJ58">
        <v>1</v>
      </c>
      <c r="AK58">
        <v>0</v>
      </c>
      <c r="AL58">
        <v>0</v>
      </c>
    </row>
    <row r="59" spans="1:38" x14ac:dyDescent="0.2">
      <c r="A59" t="s">
        <v>252</v>
      </c>
      <c r="B59" t="s">
        <v>253</v>
      </c>
      <c r="C59" t="s">
        <v>253</v>
      </c>
      <c r="D59" t="s">
        <v>6</v>
      </c>
      <c r="E59">
        <v>0</v>
      </c>
      <c r="F59">
        <v>0</v>
      </c>
      <c r="G59">
        <v>0</v>
      </c>
      <c r="H59">
        <v>1</v>
      </c>
      <c r="I59" t="s">
        <v>22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471</v>
      </c>
      <c r="AF59">
        <v>18.035714285714281</v>
      </c>
      <c r="AG59">
        <v>19.786519672243621</v>
      </c>
      <c r="AH59">
        <f>29.6914194788571*1</f>
        <v>29.6914194788571</v>
      </c>
      <c r="AI59">
        <f>5.93828389577142*1</f>
        <v>5.9382838957714199</v>
      </c>
      <c r="AJ59">
        <v>1</v>
      </c>
      <c r="AK59">
        <v>1</v>
      </c>
      <c r="AL59">
        <v>1</v>
      </c>
    </row>
    <row r="60" spans="1:38" hidden="1" x14ac:dyDescent="0.2">
      <c r="A60" t="s">
        <v>169</v>
      </c>
      <c r="B60" t="s">
        <v>170</v>
      </c>
      <c r="C60" t="s">
        <v>170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4.9000000000000004</v>
      </c>
      <c r="AE60">
        <v>285</v>
      </c>
      <c r="AF60">
        <v>12.592592592592601</v>
      </c>
      <c r="AG60">
        <v>10.00852964817415</v>
      </c>
      <c r="AH60">
        <f>14.8543617745925*1</f>
        <v>14.854361774592499</v>
      </c>
      <c r="AI60">
        <f>2.97087235491852*1</f>
        <v>2.9708723549185199</v>
      </c>
      <c r="AJ60">
        <v>1</v>
      </c>
      <c r="AK60">
        <v>0</v>
      </c>
      <c r="AL60">
        <v>0</v>
      </c>
    </row>
    <row r="61" spans="1:38" hidden="1" x14ac:dyDescent="0.2">
      <c r="A61" t="s">
        <v>171</v>
      </c>
      <c r="B61" t="s">
        <v>172</v>
      </c>
      <c r="C61" t="s">
        <v>172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4.7</v>
      </c>
      <c r="AE61">
        <v>307</v>
      </c>
      <c r="AF61">
        <v>16.970429132343941</v>
      </c>
      <c r="AG61">
        <v>17.380660137128139</v>
      </c>
      <c r="AH61">
        <f>18.8811969801036*1</f>
        <v>18.881196980103599</v>
      </c>
      <c r="AI61">
        <f>3.65570504181992*1</f>
        <v>3.6557050418199202</v>
      </c>
      <c r="AJ61">
        <v>1</v>
      </c>
      <c r="AK61">
        <v>0</v>
      </c>
      <c r="AL61">
        <v>0</v>
      </c>
    </row>
    <row r="62" spans="1:38" hidden="1" x14ac:dyDescent="0.2">
      <c r="A62" t="s">
        <v>173</v>
      </c>
      <c r="B62" t="s">
        <v>174</v>
      </c>
      <c r="C62" t="s">
        <v>175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5.4</v>
      </c>
      <c r="AE62">
        <v>308</v>
      </c>
      <c r="AF62">
        <v>17.01098901098899</v>
      </c>
      <c r="AG62">
        <v>15.455922188786801</v>
      </c>
      <c r="AH62">
        <f>18.9263236561714*1</f>
        <v>18.926323656171402</v>
      </c>
      <c r="AI62">
        <f>3.15438727602856*1</f>
        <v>3.1543872760285598</v>
      </c>
      <c r="AJ62">
        <v>1</v>
      </c>
      <c r="AK62">
        <v>0</v>
      </c>
      <c r="AL62">
        <v>0</v>
      </c>
    </row>
    <row r="63" spans="1:38" hidden="1" x14ac:dyDescent="0.2">
      <c r="A63" t="s">
        <v>176</v>
      </c>
      <c r="B63" t="s">
        <v>177</v>
      </c>
      <c r="C63" t="s">
        <v>177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</v>
      </c>
      <c r="AE63">
        <v>313</v>
      </c>
      <c r="AF63">
        <v>22.500000000000011</v>
      </c>
      <c r="AG63">
        <v>19.29008593384734</v>
      </c>
      <c r="AH63">
        <f>25.03336413825*1</f>
        <v>25.033364138250001</v>
      </c>
      <c r="AI63">
        <f>4.172227356375*1</f>
        <v>4.1722273563750001</v>
      </c>
      <c r="AJ63">
        <v>1</v>
      </c>
      <c r="AK63">
        <v>0</v>
      </c>
      <c r="AL63">
        <v>0</v>
      </c>
    </row>
    <row r="64" spans="1:38" hidden="1" x14ac:dyDescent="0.2">
      <c r="A64" t="s">
        <v>178</v>
      </c>
      <c r="B64" t="s">
        <v>179</v>
      </c>
      <c r="C64" t="s">
        <v>179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4.4000000000000004</v>
      </c>
      <c r="AE64">
        <v>317</v>
      </c>
      <c r="AF64">
        <v>21.858764105170088</v>
      </c>
      <c r="AG64">
        <v>21.32523181062291</v>
      </c>
      <c r="AH64">
        <f>24.3199289536369*1</f>
        <v>24.3199289536369</v>
      </c>
      <c r="AI64">
        <f>4.53772286411581*1</f>
        <v>4.5377228641158096</v>
      </c>
      <c r="AJ64">
        <v>1</v>
      </c>
      <c r="AK64">
        <v>0</v>
      </c>
      <c r="AL64">
        <v>0</v>
      </c>
    </row>
    <row r="65" spans="1:38" hidden="1" x14ac:dyDescent="0.2">
      <c r="A65" t="s">
        <v>180</v>
      </c>
      <c r="B65" t="s">
        <v>181</v>
      </c>
      <c r="C65" t="s">
        <v>182</v>
      </c>
      <c r="D65" t="s">
        <v>5</v>
      </c>
      <c r="E65">
        <v>0</v>
      </c>
      <c r="F65">
        <v>0</v>
      </c>
      <c r="G65">
        <v>1</v>
      </c>
      <c r="H65">
        <v>0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4.7</v>
      </c>
      <c r="AE65">
        <v>318</v>
      </c>
      <c r="AF65">
        <v>15.68091117598302</v>
      </c>
      <c r="AG65">
        <v>16.62872560298662</v>
      </c>
      <c r="AH65">
        <f>17.4464870883527*1</f>
        <v>17.446487088352701</v>
      </c>
      <c r="AI65">
        <f>3.09287784910297*1</f>
        <v>3.0928778491029698</v>
      </c>
      <c r="AJ65">
        <v>1</v>
      </c>
      <c r="AK65">
        <v>0</v>
      </c>
      <c r="AL65">
        <v>0</v>
      </c>
    </row>
    <row r="66" spans="1:38" hidden="1" x14ac:dyDescent="0.2">
      <c r="A66" t="s">
        <v>183</v>
      </c>
      <c r="B66" t="s">
        <v>184</v>
      </c>
      <c r="C66" t="s">
        <v>184</v>
      </c>
      <c r="D66" t="s">
        <v>6</v>
      </c>
      <c r="E66">
        <v>0</v>
      </c>
      <c r="F66">
        <v>0</v>
      </c>
      <c r="G66">
        <v>0</v>
      </c>
      <c r="H66">
        <v>1</v>
      </c>
      <c r="I66" t="s">
        <v>18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4.9000000000000004</v>
      </c>
      <c r="AE66">
        <v>319</v>
      </c>
      <c r="AF66">
        <v>15</v>
      </c>
      <c r="AG66">
        <v>13.05555817664847</v>
      </c>
      <c r="AH66">
        <f>16.6889094255*1</f>
        <v>16.6889094255</v>
      </c>
      <c r="AI66">
        <f>2.78148490425*1</f>
        <v>2.7814849042500001</v>
      </c>
      <c r="AJ66">
        <v>1</v>
      </c>
      <c r="AK66">
        <v>0</v>
      </c>
      <c r="AL66">
        <v>0</v>
      </c>
    </row>
    <row r="67" spans="1:38" hidden="1" x14ac:dyDescent="0.2">
      <c r="A67" t="s">
        <v>185</v>
      </c>
      <c r="B67" t="s">
        <v>186</v>
      </c>
      <c r="C67" t="s">
        <v>186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321</v>
      </c>
      <c r="AF67">
        <v>17.318029629484531</v>
      </c>
      <c r="AG67">
        <v>15.89771886419622</v>
      </c>
      <c r="AH67">
        <f>19.2679351943061*1</f>
        <v>19.267935194306101</v>
      </c>
      <c r="AI67">
        <f>3.46652545202896*1</f>
        <v>3.4665254520289599</v>
      </c>
      <c r="AJ67">
        <v>1</v>
      </c>
      <c r="AK67">
        <v>0</v>
      </c>
      <c r="AL67">
        <v>0</v>
      </c>
    </row>
    <row r="68" spans="1:38" hidden="1" x14ac:dyDescent="0.2">
      <c r="A68" t="s">
        <v>187</v>
      </c>
      <c r="B68" t="s">
        <v>188</v>
      </c>
      <c r="C68" t="s">
        <v>188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</v>
      </c>
      <c r="AE68">
        <v>329</v>
      </c>
      <c r="AF68">
        <v>16.089237966794681</v>
      </c>
      <c r="AG68">
        <v>13.336012323473209</v>
      </c>
      <c r="AH68">
        <f>17.9007890102101*1</f>
        <v>17.900789010210101</v>
      </c>
      <c r="AI68">
        <f>3.10207324813575*1</f>
        <v>3.10207324813575</v>
      </c>
      <c r="AJ68">
        <v>1</v>
      </c>
      <c r="AK68">
        <v>0</v>
      </c>
      <c r="AL68">
        <v>0</v>
      </c>
    </row>
    <row r="69" spans="1:38" hidden="1" x14ac:dyDescent="0.2">
      <c r="A69" t="s">
        <v>189</v>
      </c>
      <c r="B69" t="s">
        <v>190</v>
      </c>
      <c r="C69" t="s">
        <v>190</v>
      </c>
      <c r="D69" t="s">
        <v>4</v>
      </c>
      <c r="E69">
        <v>0</v>
      </c>
      <c r="F69">
        <v>1</v>
      </c>
      <c r="G69">
        <v>0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4.3</v>
      </c>
      <c r="AE69">
        <v>345</v>
      </c>
      <c r="AF69">
        <v>16.05405405405406</v>
      </c>
      <c r="AG69">
        <v>15.13258152728433</v>
      </c>
      <c r="AH69">
        <f>15.0423033669897*1</f>
        <v>15.042303366989699</v>
      </c>
      <c r="AI69">
        <f>2.38459230405682*1</f>
        <v>2.3845923040568202</v>
      </c>
      <c r="AJ69">
        <v>1</v>
      </c>
      <c r="AK69">
        <v>0</v>
      </c>
      <c r="AL69">
        <v>0</v>
      </c>
    </row>
    <row r="70" spans="1:38" hidden="1" x14ac:dyDescent="0.2">
      <c r="A70" t="s">
        <v>101</v>
      </c>
      <c r="B70" t="s">
        <v>191</v>
      </c>
      <c r="C70" t="s">
        <v>191</v>
      </c>
      <c r="D70" t="s">
        <v>6</v>
      </c>
      <c r="E70">
        <v>0</v>
      </c>
      <c r="F70">
        <v>0</v>
      </c>
      <c r="G70">
        <v>0</v>
      </c>
      <c r="H70">
        <v>1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5.8</v>
      </c>
      <c r="AE70">
        <v>346</v>
      </c>
      <c r="AF70">
        <v>20.655710743613209</v>
      </c>
      <c r="AG70">
        <v>21.164029112586562</v>
      </c>
      <c r="AH70">
        <f>21.0377610944381*1</f>
        <v>21.0377610944381</v>
      </c>
      <c r="AI70">
        <f>3.05698539552108*1</f>
        <v>3.05698539552108</v>
      </c>
      <c r="AJ70">
        <v>1</v>
      </c>
      <c r="AK70">
        <v>0</v>
      </c>
      <c r="AL70">
        <v>0</v>
      </c>
    </row>
    <row r="71" spans="1:38" hidden="1" x14ac:dyDescent="0.2">
      <c r="A71" t="s">
        <v>192</v>
      </c>
      <c r="B71" t="s">
        <v>193</v>
      </c>
      <c r="C71" t="s">
        <v>193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4.9000000000000004</v>
      </c>
      <c r="AE71">
        <v>350</v>
      </c>
      <c r="AF71">
        <v>11.78475505700704</v>
      </c>
      <c r="AG71">
        <v>11.773929143417821</v>
      </c>
      <c r="AH71">
        <f>11.703685182769*1</f>
        <v>11.703685182769</v>
      </c>
      <c r="AI71">
        <f>1.96096778064775*1</f>
        <v>1.9609677806477499</v>
      </c>
      <c r="AJ71">
        <v>1</v>
      </c>
      <c r="AK71">
        <v>0</v>
      </c>
      <c r="AL71">
        <v>0</v>
      </c>
    </row>
    <row r="72" spans="1:38" hidden="1" x14ac:dyDescent="0.2">
      <c r="A72" t="s">
        <v>194</v>
      </c>
      <c r="B72" t="s">
        <v>195</v>
      </c>
      <c r="C72" t="s">
        <v>195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5.4</v>
      </c>
      <c r="AE72">
        <v>356</v>
      </c>
      <c r="AF72">
        <v>18.93548387096773</v>
      </c>
      <c r="AG72">
        <v>18.2448487730727</v>
      </c>
      <c r="AH72">
        <f>18.1360016836119*1</f>
        <v>18.136001683611902</v>
      </c>
      <c r="AI72">
        <f>3.0365329859607*1</f>
        <v>3.0365329859607</v>
      </c>
      <c r="AJ72">
        <v>1</v>
      </c>
      <c r="AK72">
        <v>0</v>
      </c>
      <c r="AL72">
        <v>0</v>
      </c>
    </row>
    <row r="73" spans="1:38" hidden="1" x14ac:dyDescent="0.2">
      <c r="A73" t="s">
        <v>173</v>
      </c>
      <c r="B73" t="s">
        <v>196</v>
      </c>
      <c r="C73" t="s">
        <v>196</v>
      </c>
      <c r="D73" t="s">
        <v>3</v>
      </c>
      <c r="E73">
        <v>1</v>
      </c>
      <c r="F73">
        <v>0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4.5999999999999996</v>
      </c>
      <c r="AE73">
        <v>360</v>
      </c>
      <c r="AF73">
        <v>21.14851485148516</v>
      </c>
      <c r="AG73">
        <v>21.36235784413271</v>
      </c>
      <c r="AH73">
        <f>21.2349077912658*1</f>
        <v>21.234907791265801</v>
      </c>
      <c r="AI73">
        <f>4.0523328124991*1</f>
        <v>4.0523328124990998</v>
      </c>
      <c r="AJ73">
        <v>1</v>
      </c>
      <c r="AK73">
        <v>0</v>
      </c>
      <c r="AL73">
        <v>0</v>
      </c>
    </row>
    <row r="74" spans="1:38" hidden="1" x14ac:dyDescent="0.2">
      <c r="A74" t="s">
        <v>197</v>
      </c>
      <c r="B74" t="s">
        <v>198</v>
      </c>
      <c r="C74" t="s">
        <v>198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4.4000000000000004</v>
      </c>
      <c r="AE74">
        <v>365</v>
      </c>
      <c r="AF74">
        <v>14.15789473684211</v>
      </c>
      <c r="AG74">
        <v>15.3095474658946</v>
      </c>
      <c r="AH74">
        <f>15.218205018118*1</f>
        <v>15.218205018118001</v>
      </c>
      <c r="AI74">
        <f>2.90044051483311*1</f>
        <v>2.9004405148331101</v>
      </c>
      <c r="AJ74">
        <v>1</v>
      </c>
      <c r="AK74">
        <v>0</v>
      </c>
      <c r="AL74">
        <v>0</v>
      </c>
    </row>
    <row r="75" spans="1:38" hidden="1" x14ac:dyDescent="0.2">
      <c r="A75" t="s">
        <v>199</v>
      </c>
      <c r="B75" t="s">
        <v>200</v>
      </c>
      <c r="C75" t="s">
        <v>200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5.3</v>
      </c>
      <c r="AE75">
        <v>378</v>
      </c>
      <c r="AF75">
        <v>14.704234517698289</v>
      </c>
      <c r="AG75">
        <v>12.104033118711079</v>
      </c>
      <c r="AH75">
        <f>13.0199269298848*1</f>
        <v>13.0199269298848</v>
      </c>
      <c r="AI75">
        <f>2.577225521605*1</f>
        <v>2.577225521605</v>
      </c>
      <c r="AJ75">
        <v>1</v>
      </c>
      <c r="AK75">
        <v>0</v>
      </c>
      <c r="AL75">
        <v>0</v>
      </c>
    </row>
    <row r="76" spans="1:38" hidden="1" x14ac:dyDescent="0.2">
      <c r="A76" t="s">
        <v>201</v>
      </c>
      <c r="B76" t="s">
        <v>202</v>
      </c>
      <c r="C76" t="s">
        <v>201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5.3</v>
      </c>
      <c r="AE76">
        <v>379</v>
      </c>
      <c r="AF76">
        <v>17.539682539682531</v>
      </c>
      <c r="AG76">
        <v>23.56634174161243</v>
      </c>
      <c r="AH76">
        <f>21.7082299173412*1</f>
        <v>21.7082299173412</v>
      </c>
      <c r="AI76">
        <f>4.71742901935316*1</f>
        <v>4.7174290193531601</v>
      </c>
      <c r="AJ76">
        <v>1</v>
      </c>
      <c r="AK76">
        <v>0</v>
      </c>
      <c r="AL76">
        <v>0</v>
      </c>
    </row>
    <row r="77" spans="1:38" hidden="1" x14ac:dyDescent="0.2">
      <c r="A77" t="s">
        <v>203</v>
      </c>
      <c r="B77" t="s">
        <v>204</v>
      </c>
      <c r="C77" t="s">
        <v>204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5.3</v>
      </c>
      <c r="AE77">
        <v>382</v>
      </c>
      <c r="AF77">
        <v>13.88869888553462</v>
      </c>
      <c r="AG77">
        <v>12.48570679945467</v>
      </c>
      <c r="AH77">
        <f>13.0104325672019*1</f>
        <v>13.010432567201899</v>
      </c>
      <c r="AI77">
        <f>2.63959010479324*1</f>
        <v>2.63959010479324</v>
      </c>
      <c r="AJ77">
        <v>1</v>
      </c>
      <c r="AK77">
        <v>0</v>
      </c>
      <c r="AL77">
        <v>0</v>
      </c>
    </row>
    <row r="78" spans="1:38" hidden="1" x14ac:dyDescent="0.2">
      <c r="A78" t="s">
        <v>205</v>
      </c>
      <c r="B78" t="s">
        <v>206</v>
      </c>
      <c r="C78" t="s">
        <v>206</v>
      </c>
      <c r="D78" t="s">
        <v>3</v>
      </c>
      <c r="E78">
        <v>1</v>
      </c>
      <c r="F78">
        <v>0</v>
      </c>
      <c r="G78">
        <v>0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4.8</v>
      </c>
      <c r="AE78">
        <v>387</v>
      </c>
      <c r="AF78">
        <v>18.358443348988551</v>
      </c>
      <c r="AG78">
        <v>16.090530181519259</v>
      </c>
      <c r="AH78">
        <f>16.9177543109206*1</f>
        <v>16.9177543109206</v>
      </c>
      <c r="AI78">
        <f>3.45374555440366*1</f>
        <v>3.4537455544036599</v>
      </c>
      <c r="AJ78">
        <v>1</v>
      </c>
      <c r="AK78">
        <v>0</v>
      </c>
      <c r="AL78">
        <v>0</v>
      </c>
    </row>
    <row r="79" spans="1:38" hidden="1" x14ac:dyDescent="0.2">
      <c r="A79" t="s">
        <v>207</v>
      </c>
      <c r="B79" t="s">
        <v>208</v>
      </c>
      <c r="C79" t="s">
        <v>209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392</v>
      </c>
      <c r="AF79">
        <v>11.873946811090709</v>
      </c>
      <c r="AG79">
        <v>14.602037663014711</v>
      </c>
      <c r="AH79">
        <f>13.7811004818867*1</f>
        <v>13.7811004818867</v>
      </c>
      <c r="AI79">
        <f>2.61444504929906*1</f>
        <v>2.6144450492990599</v>
      </c>
      <c r="AJ79">
        <v>1</v>
      </c>
      <c r="AK79">
        <v>0</v>
      </c>
      <c r="AL79">
        <v>0</v>
      </c>
    </row>
    <row r="80" spans="1:38" hidden="1" x14ac:dyDescent="0.2">
      <c r="A80" t="s">
        <v>210</v>
      </c>
      <c r="B80" t="s">
        <v>211</v>
      </c>
      <c r="C80" t="s">
        <v>211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4.5999999999999996</v>
      </c>
      <c r="AE80">
        <v>395</v>
      </c>
      <c r="AF80">
        <v>12.72222222222222</v>
      </c>
      <c r="AG80">
        <v>11.64715367296332</v>
      </c>
      <c r="AH80">
        <f>12.0598996380777*1</f>
        <v>12.059899638077701</v>
      </c>
      <c r="AI80">
        <f>2.61053238734825*1</f>
        <v>2.61053238734825</v>
      </c>
      <c r="AJ80">
        <v>1</v>
      </c>
      <c r="AK80">
        <v>0</v>
      </c>
      <c r="AL80">
        <v>0</v>
      </c>
    </row>
    <row r="81" spans="1:38" hidden="1" x14ac:dyDescent="0.2">
      <c r="A81" t="s">
        <v>212</v>
      </c>
      <c r="B81" t="s">
        <v>149</v>
      </c>
      <c r="C81" t="s">
        <v>149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5.3</v>
      </c>
      <c r="AE81">
        <v>400</v>
      </c>
      <c r="AF81">
        <v>13.139534883720939</v>
      </c>
      <c r="AG81">
        <v>11.66773289890369</v>
      </c>
      <c r="AH81">
        <f>12.2108589867109*1</f>
        <v>12.2108589867109</v>
      </c>
      <c r="AI81">
        <f>2.34947326969165*1</f>
        <v>2.34947326969165</v>
      </c>
      <c r="AJ81">
        <v>1</v>
      </c>
      <c r="AK81">
        <v>0</v>
      </c>
      <c r="AL81">
        <v>0</v>
      </c>
    </row>
    <row r="82" spans="1:38" hidden="1" x14ac:dyDescent="0.2">
      <c r="A82" t="s">
        <v>213</v>
      </c>
      <c r="B82" t="s">
        <v>214</v>
      </c>
      <c r="C82" t="s">
        <v>213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</v>
      </c>
      <c r="AE82">
        <v>401</v>
      </c>
      <c r="AF82">
        <v>14.48014755367724</v>
      </c>
      <c r="AG82">
        <v>19.094813280732989</v>
      </c>
      <c r="AH82">
        <f>17.6774245689111*1</f>
        <v>17.6774245689111</v>
      </c>
      <c r="AI82">
        <f>3.05696967364746*1</f>
        <v>3.0569696736474601</v>
      </c>
      <c r="AJ82">
        <v>1</v>
      </c>
      <c r="AK82">
        <v>0</v>
      </c>
      <c r="AL82">
        <v>0</v>
      </c>
    </row>
    <row r="83" spans="1:38" hidden="1" x14ac:dyDescent="0.2">
      <c r="A83" t="s">
        <v>215</v>
      </c>
      <c r="B83" t="s">
        <v>216</v>
      </c>
      <c r="C83" t="s">
        <v>216</v>
      </c>
      <c r="D83" t="s">
        <v>4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4.4000000000000004</v>
      </c>
      <c r="AE83">
        <v>403</v>
      </c>
      <c r="AF83">
        <v>11.63795266865135</v>
      </c>
      <c r="AG83">
        <v>10.00705017106284</v>
      </c>
      <c r="AH83">
        <f>10.5939036366792*1</f>
        <v>10.593903636679199</v>
      </c>
      <c r="AI83">
        <f>2.20975845494261*1</f>
        <v>2.2097584549426101</v>
      </c>
      <c r="AJ83">
        <v>1</v>
      </c>
      <c r="AK83">
        <v>0</v>
      </c>
      <c r="AL83">
        <v>0</v>
      </c>
    </row>
    <row r="84" spans="1:38" hidden="1" x14ac:dyDescent="0.2">
      <c r="A84" t="s">
        <v>217</v>
      </c>
      <c r="B84" t="s">
        <v>218</v>
      </c>
      <c r="C84" t="s">
        <v>218</v>
      </c>
      <c r="D84" t="s">
        <v>4</v>
      </c>
      <c r="E84">
        <v>0</v>
      </c>
      <c r="F84">
        <v>1</v>
      </c>
      <c r="G84">
        <v>0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4.5999999999999996</v>
      </c>
      <c r="AE84">
        <v>409</v>
      </c>
      <c r="AF84">
        <v>14.733096280645279</v>
      </c>
      <c r="AG84">
        <v>14.527765728503081</v>
      </c>
      <c r="AH84">
        <f>14.6696895819949*1</f>
        <v>14.6696895819949</v>
      </c>
      <c r="AI84">
        <f>2.45710456813705*1</f>
        <v>2.45710456813705</v>
      </c>
      <c r="AJ84">
        <v>1</v>
      </c>
      <c r="AK84">
        <v>0</v>
      </c>
      <c r="AL84">
        <v>0</v>
      </c>
    </row>
    <row r="85" spans="1:38" hidden="1" x14ac:dyDescent="0.2">
      <c r="A85" t="s">
        <v>219</v>
      </c>
      <c r="B85" t="s">
        <v>220</v>
      </c>
      <c r="C85" t="s">
        <v>220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8.4</v>
      </c>
      <c r="AE85">
        <v>416</v>
      </c>
      <c r="AF85">
        <v>31.575274272963458</v>
      </c>
      <c r="AG85">
        <v>29.07482329262395</v>
      </c>
      <c r="AH85">
        <f>0*0</f>
        <v>0</v>
      </c>
      <c r="AI85">
        <f>3.65812778875507*0</f>
        <v>0</v>
      </c>
      <c r="AJ85">
        <v>0</v>
      </c>
      <c r="AK85">
        <v>0</v>
      </c>
      <c r="AL85">
        <v>0</v>
      </c>
    </row>
    <row r="86" spans="1:38" hidden="1" x14ac:dyDescent="0.2">
      <c r="A86" t="s">
        <v>221</v>
      </c>
      <c r="B86" t="s">
        <v>222</v>
      </c>
      <c r="C86" t="s">
        <v>223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5.7</v>
      </c>
      <c r="AE86">
        <v>417</v>
      </c>
      <c r="AF86">
        <v>26.133890929998479</v>
      </c>
      <c r="AG86">
        <v>25.78870985524939</v>
      </c>
      <c r="AH86">
        <f>0*0</f>
        <v>0</v>
      </c>
      <c r="AI86">
        <f>3.53199003485384*0</f>
        <v>0</v>
      </c>
      <c r="AJ86">
        <v>0</v>
      </c>
      <c r="AK86">
        <v>0</v>
      </c>
      <c r="AL86">
        <v>0</v>
      </c>
    </row>
    <row r="87" spans="1:38" hidden="1" x14ac:dyDescent="0.2">
      <c r="A87" t="s">
        <v>224</v>
      </c>
      <c r="B87" t="s">
        <v>225</v>
      </c>
      <c r="C87" t="s">
        <v>224</v>
      </c>
      <c r="D87" t="s">
        <v>6</v>
      </c>
      <c r="E87">
        <v>0</v>
      </c>
      <c r="F87">
        <v>0</v>
      </c>
      <c r="G87">
        <v>0</v>
      </c>
      <c r="H87">
        <v>1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7.6</v>
      </c>
      <c r="AE87">
        <v>419</v>
      </c>
      <c r="AF87">
        <v>23.672727272727261</v>
      </c>
      <c r="AG87">
        <v>21.80602547391268</v>
      </c>
      <c r="AH87">
        <f>22.9354130430125*1</f>
        <v>22.935413043012499</v>
      </c>
      <c r="AI87">
        <f>3.83625199329335*1</f>
        <v>3.8362519932933501</v>
      </c>
      <c r="AJ87">
        <v>1</v>
      </c>
      <c r="AK87">
        <v>0</v>
      </c>
      <c r="AL87">
        <v>0</v>
      </c>
    </row>
    <row r="88" spans="1:38" hidden="1" x14ac:dyDescent="0.2">
      <c r="A88" t="s">
        <v>226</v>
      </c>
      <c r="B88" t="s">
        <v>227</v>
      </c>
      <c r="C88" t="s">
        <v>228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</v>
      </c>
      <c r="AE88">
        <v>420</v>
      </c>
      <c r="AF88">
        <v>26.21052631578948</v>
      </c>
      <c r="AG88">
        <v>25.49422857417299</v>
      </c>
      <c r="AH88">
        <f>26.8146372323169*1</f>
        <v>26.814637232316901</v>
      </c>
      <c r="AI88">
        <f>3.69644558749884*1</f>
        <v>3.69644558749884</v>
      </c>
      <c r="AJ88">
        <v>1</v>
      </c>
      <c r="AK88">
        <v>0</v>
      </c>
      <c r="AL88">
        <v>0</v>
      </c>
    </row>
    <row r="89" spans="1:38" hidden="1" x14ac:dyDescent="0.2">
      <c r="A89" t="s">
        <v>229</v>
      </c>
      <c r="B89" t="s">
        <v>230</v>
      </c>
      <c r="C89" t="s">
        <v>230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4.8</v>
      </c>
      <c r="AE89">
        <v>421</v>
      </c>
      <c r="AF89">
        <v>12.22469654889621</v>
      </c>
      <c r="AG89">
        <v>9.9146377110513146</v>
      </c>
      <c r="AH89">
        <f>10.4281411276361*1</f>
        <v>10.428141127636099</v>
      </c>
      <c r="AI89">
        <f>1.82260275824748*1</f>
        <v>1.82260275824748</v>
      </c>
      <c r="AJ89">
        <v>1</v>
      </c>
      <c r="AK89">
        <v>0</v>
      </c>
      <c r="AL89">
        <v>0</v>
      </c>
    </row>
    <row r="90" spans="1:38" hidden="1" x14ac:dyDescent="0.2">
      <c r="A90" t="s">
        <v>231</v>
      </c>
      <c r="B90" t="s">
        <v>232</v>
      </c>
      <c r="C90" t="s">
        <v>232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7.1</v>
      </c>
      <c r="AE90">
        <v>423</v>
      </c>
      <c r="AF90">
        <v>13.92274300331041</v>
      </c>
      <c r="AG90">
        <v>21.01063708959412</v>
      </c>
      <c r="AH90">
        <f>22.0988295424665*1</f>
        <v>22.0988295424665</v>
      </c>
      <c r="AI90">
        <f>4.03808633715931*1</f>
        <v>4.0380863371593101</v>
      </c>
      <c r="AJ90">
        <v>1</v>
      </c>
      <c r="AK90">
        <v>0</v>
      </c>
      <c r="AL90">
        <v>0</v>
      </c>
    </row>
    <row r="91" spans="1:38" hidden="1" x14ac:dyDescent="0.2">
      <c r="A91" t="s">
        <v>233</v>
      </c>
      <c r="B91" t="s">
        <v>234</v>
      </c>
      <c r="C91" t="s">
        <v>234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4.5999999999999996</v>
      </c>
      <c r="AE91">
        <v>424</v>
      </c>
      <c r="AF91">
        <v>16.079999999999998</v>
      </c>
      <c r="AG91">
        <v>12.78714820828087</v>
      </c>
      <c r="AH91">
        <f>13.4494259923707*1</f>
        <v>13.449425992370699</v>
      </c>
      <c r="AI91">
        <f>2.00709665397221*1</f>
        <v>2.0070966539722099</v>
      </c>
      <c r="AJ91">
        <v>1</v>
      </c>
      <c r="AK91">
        <v>0</v>
      </c>
      <c r="AL91">
        <v>0</v>
      </c>
    </row>
    <row r="92" spans="1:38" hidden="1" x14ac:dyDescent="0.2">
      <c r="A92" t="s">
        <v>235</v>
      </c>
      <c r="B92" t="s">
        <v>236</v>
      </c>
      <c r="C92" t="s">
        <v>236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4.9000000000000004</v>
      </c>
      <c r="AE92">
        <v>428</v>
      </c>
      <c r="AF92">
        <v>17.234042553191479</v>
      </c>
      <c r="AG92">
        <v>17.777979275761108</v>
      </c>
      <c r="AH92">
        <f>18.6987444478361*1</f>
        <v>18.698744447836098</v>
      </c>
      <c r="AI92">
        <f>3.01544650622061*1</f>
        <v>3.0154465062206102</v>
      </c>
      <c r="AJ92">
        <v>1</v>
      </c>
      <c r="AK92">
        <v>0</v>
      </c>
      <c r="AL92">
        <v>0</v>
      </c>
    </row>
    <row r="93" spans="1:38" hidden="1" x14ac:dyDescent="0.2">
      <c r="A93" t="s">
        <v>237</v>
      </c>
      <c r="B93" t="s">
        <v>238</v>
      </c>
      <c r="C93" t="s">
        <v>239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7.6</v>
      </c>
      <c r="AE93">
        <v>429</v>
      </c>
      <c r="AF93">
        <v>22.44444444444445</v>
      </c>
      <c r="AG93">
        <v>19.560805396787309</v>
      </c>
      <c r="AH93">
        <f>20.5739075085472*1</f>
        <v>20.573907508547201</v>
      </c>
      <c r="AI93">
        <f>3.37746249500329*1</f>
        <v>3.3774624950032899</v>
      </c>
      <c r="AJ93">
        <v>1</v>
      </c>
      <c r="AK93">
        <v>0</v>
      </c>
      <c r="AL93">
        <v>0</v>
      </c>
    </row>
    <row r="94" spans="1:38" hidden="1" x14ac:dyDescent="0.2">
      <c r="A94" t="s">
        <v>240</v>
      </c>
      <c r="B94" t="s">
        <v>241</v>
      </c>
      <c r="C94" t="s">
        <v>241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5.9</v>
      </c>
      <c r="AE94">
        <v>430</v>
      </c>
      <c r="AF94">
        <v>19.411579633956691</v>
      </c>
      <c r="AG94">
        <v>15.716068717629801</v>
      </c>
      <c r="AH94">
        <f>16.5300424821768*1</f>
        <v>16.5300424821768</v>
      </c>
      <c r="AI94">
        <f>2.28113231371197*1</f>
        <v>2.2811323137119701</v>
      </c>
      <c r="AJ94">
        <v>1</v>
      </c>
      <c r="AK94">
        <v>0</v>
      </c>
      <c r="AL94">
        <v>0</v>
      </c>
    </row>
    <row r="95" spans="1:38" x14ac:dyDescent="0.2">
      <c r="A95" t="s">
        <v>62</v>
      </c>
      <c r="B95" t="s">
        <v>63</v>
      </c>
      <c r="C95" t="s">
        <v>64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11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5.0999999999999996</v>
      </c>
      <c r="AE95">
        <v>26</v>
      </c>
      <c r="AF95">
        <v>24.999999999999989</v>
      </c>
      <c r="AG95">
        <v>25.973776822105439</v>
      </c>
      <c r="AH95">
        <f>34.5471203826702*1</f>
        <v>34.547120382670201</v>
      </c>
      <c r="AI95">
        <f>5.92432528744055*1</f>
        <v>5.9243252874405501</v>
      </c>
      <c r="AJ95">
        <v>1</v>
      </c>
      <c r="AK95">
        <v>1</v>
      </c>
      <c r="AL95">
        <v>1</v>
      </c>
    </row>
    <row r="96" spans="1:38" x14ac:dyDescent="0.2">
      <c r="A96" t="s">
        <v>377</v>
      </c>
      <c r="B96" t="s">
        <v>378</v>
      </c>
      <c r="C96" t="s">
        <v>379</v>
      </c>
      <c r="D96" t="s">
        <v>3</v>
      </c>
      <c r="E96">
        <v>1</v>
      </c>
      <c r="F96">
        <v>0</v>
      </c>
      <c r="G96">
        <v>0</v>
      </c>
      <c r="H96">
        <v>0</v>
      </c>
      <c r="I96" t="s">
        <v>30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5</v>
      </c>
      <c r="AE96">
        <v>821</v>
      </c>
      <c r="AF96">
        <v>22.628815581821581</v>
      </c>
      <c r="AG96">
        <v>23.70227763463722</v>
      </c>
      <c r="AH96">
        <f>25.6764020694786*1</f>
        <v>25.676402069478598</v>
      </c>
      <c r="AI96">
        <f>5.09285190326023*1</f>
        <v>5.0928519032602297</v>
      </c>
      <c r="AJ96">
        <v>1</v>
      </c>
      <c r="AK96">
        <v>1</v>
      </c>
      <c r="AL96">
        <v>1</v>
      </c>
    </row>
    <row r="97" spans="1:38" x14ac:dyDescent="0.2">
      <c r="A97" t="s">
        <v>56</v>
      </c>
      <c r="B97" t="s">
        <v>57</v>
      </c>
      <c r="C97" t="s">
        <v>57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11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5.8</v>
      </c>
      <c r="AE97">
        <v>18</v>
      </c>
      <c r="AF97">
        <v>24.075756504726851</v>
      </c>
      <c r="AG97">
        <v>25.08638395000435</v>
      </c>
      <c r="AH97">
        <f>33.3020579556907*1</f>
        <v>33.302057955690699</v>
      </c>
      <c r="AI97">
        <f>5.06753213426442*1</f>
        <v>5.06753213426442</v>
      </c>
      <c r="AJ97">
        <v>1</v>
      </c>
      <c r="AK97">
        <v>1</v>
      </c>
      <c r="AL97">
        <v>1</v>
      </c>
    </row>
    <row r="98" spans="1:38" hidden="1" x14ac:dyDescent="0.2">
      <c r="A98" t="s">
        <v>248</v>
      </c>
      <c r="B98" t="s">
        <v>249</v>
      </c>
      <c r="C98" t="s">
        <v>249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4.8</v>
      </c>
      <c r="AE98">
        <v>459</v>
      </c>
      <c r="AF98">
        <v>17.95454545454545</v>
      </c>
      <c r="AG98">
        <v>13.464649423499059</v>
      </c>
      <c r="AH98">
        <f>0*0</f>
        <v>0</v>
      </c>
      <c r="AI98">
        <f>5.91155894574545*0</f>
        <v>0</v>
      </c>
      <c r="AJ98">
        <v>0</v>
      </c>
      <c r="AK98">
        <v>0</v>
      </c>
      <c r="AL98">
        <v>0</v>
      </c>
    </row>
    <row r="99" spans="1:38" x14ac:dyDescent="0.2">
      <c r="A99" t="s">
        <v>244</v>
      </c>
      <c r="B99" t="s">
        <v>245</v>
      </c>
      <c r="C99" t="s">
        <v>245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7.1</v>
      </c>
      <c r="AE99">
        <v>435</v>
      </c>
      <c r="AF99">
        <v>24.110590184219369</v>
      </c>
      <c r="AG99">
        <v>27.448429894135199</v>
      </c>
      <c r="AH99">
        <f>28.8700514340545*1</f>
        <v>28.870051434054499</v>
      </c>
      <c r="AI99">
        <f>4.9285103134855*1</f>
        <v>4.9285103134854999</v>
      </c>
      <c r="AJ99">
        <v>1</v>
      </c>
      <c r="AK99">
        <v>1</v>
      </c>
      <c r="AL99">
        <v>1</v>
      </c>
    </row>
    <row r="100" spans="1:38" x14ac:dyDescent="0.2">
      <c r="A100" t="s">
        <v>87</v>
      </c>
      <c r="B100" t="s">
        <v>132</v>
      </c>
      <c r="C100" t="s">
        <v>132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15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5.2</v>
      </c>
      <c r="AE100">
        <v>167</v>
      </c>
      <c r="AF100">
        <v>15.994623655913969</v>
      </c>
      <c r="AG100">
        <v>14.22647792566471</v>
      </c>
      <c r="AH100">
        <f>22.4873446761653*1</f>
        <v>22.4873446761653</v>
      </c>
      <c r="AI100">
        <f>4.19856288668546*1</f>
        <v>4.1985628866854601</v>
      </c>
      <c r="AJ100">
        <v>1</v>
      </c>
      <c r="AK100">
        <v>1</v>
      </c>
      <c r="AL100">
        <v>1</v>
      </c>
    </row>
    <row r="101" spans="1:38" hidden="1" x14ac:dyDescent="0.2">
      <c r="A101" t="s">
        <v>254</v>
      </c>
      <c r="B101" t="s">
        <v>255</v>
      </c>
      <c r="C101" t="s">
        <v>255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4.9000000000000004</v>
      </c>
      <c r="AE101">
        <v>473</v>
      </c>
      <c r="AF101">
        <v>13.8</v>
      </c>
      <c r="AG101">
        <v>14.45656507146508</v>
      </c>
      <c r="AH101">
        <f>22.71834551808*1</f>
        <v>22.71834551808</v>
      </c>
      <c r="AI101">
        <f>4.543669103616*1</f>
        <v>4.5436691036159997</v>
      </c>
      <c r="AJ101">
        <v>1</v>
      </c>
      <c r="AK101">
        <v>0</v>
      </c>
      <c r="AL101">
        <v>0</v>
      </c>
    </row>
    <row r="102" spans="1:38" hidden="1" x14ac:dyDescent="0.2">
      <c r="A102" t="s">
        <v>256</v>
      </c>
      <c r="B102" t="s">
        <v>257</v>
      </c>
      <c r="C102" t="s">
        <v>257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4.7</v>
      </c>
      <c r="AE102">
        <v>490</v>
      </c>
      <c r="AF102">
        <v>16.2646882133274</v>
      </c>
      <c r="AG102">
        <v>7.5460346569255812</v>
      </c>
      <c r="AH102">
        <f>26.7758555488561*1</f>
        <v>26.7758555488561</v>
      </c>
      <c r="AI102">
        <f>8.76964095949156*1</f>
        <v>8.7696409594915607</v>
      </c>
      <c r="AJ102">
        <v>1</v>
      </c>
      <c r="AK102">
        <v>0</v>
      </c>
      <c r="AL102">
        <v>0</v>
      </c>
    </row>
    <row r="103" spans="1:38" hidden="1" x14ac:dyDescent="0.2">
      <c r="A103" t="s">
        <v>258</v>
      </c>
      <c r="B103" t="s">
        <v>259</v>
      </c>
      <c r="C103" t="s">
        <v>259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4.9000000000000004</v>
      </c>
      <c r="AE103">
        <v>493</v>
      </c>
      <c r="AF103">
        <v>14.99757115483278</v>
      </c>
      <c r="AG103">
        <v>12.72387489001528</v>
      </c>
      <c r="AH103">
        <f>24.6898553208319*1</f>
        <v>24.689855320831899</v>
      </c>
      <c r="AI103">
        <f>5.14515161824489*1</f>
        <v>5.1451516182448902</v>
      </c>
      <c r="AJ103">
        <v>1</v>
      </c>
      <c r="AK103">
        <v>0</v>
      </c>
      <c r="AL103">
        <v>0</v>
      </c>
    </row>
    <row r="104" spans="1:38" hidden="1" x14ac:dyDescent="0.2">
      <c r="A104" t="s">
        <v>260</v>
      </c>
      <c r="B104" t="s">
        <v>261</v>
      </c>
      <c r="C104" t="s">
        <v>261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4.9000000000000004</v>
      </c>
      <c r="AE104">
        <v>505</v>
      </c>
      <c r="AF104">
        <v>16.489361702127649</v>
      </c>
      <c r="AG104">
        <v>18.511147768360502</v>
      </c>
      <c r="AH104">
        <f>16.0210358115585*1</f>
        <v>16.021035811558502</v>
      </c>
      <c r="AI104">
        <f>3.2042071623117*1</f>
        <v>3.2042071623116999</v>
      </c>
      <c r="AJ104">
        <v>1</v>
      </c>
      <c r="AK104">
        <v>0</v>
      </c>
      <c r="AL104">
        <v>0</v>
      </c>
    </row>
    <row r="105" spans="1:38" hidden="1" x14ac:dyDescent="0.2">
      <c r="A105" t="s">
        <v>111</v>
      </c>
      <c r="B105" t="s">
        <v>262</v>
      </c>
      <c r="C105" t="s">
        <v>262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</v>
      </c>
      <c r="AE105">
        <v>506</v>
      </c>
      <c r="AF105">
        <v>16.36690647482013</v>
      </c>
      <c r="AG105">
        <v>16.347029877449462</v>
      </c>
      <c r="AH105">
        <f>15.9020585207787*1</f>
        <v>15.9020585207787</v>
      </c>
      <c r="AI105">
        <f>3.18041170415575*1</f>
        <v>3.18041170415575</v>
      </c>
      <c r="AJ105">
        <v>1</v>
      </c>
      <c r="AK105">
        <v>0</v>
      </c>
      <c r="AL105">
        <v>0</v>
      </c>
    </row>
    <row r="106" spans="1:38" hidden="1" x14ac:dyDescent="0.2">
      <c r="A106" t="s">
        <v>263</v>
      </c>
      <c r="B106" t="s">
        <v>264</v>
      </c>
      <c r="C106" t="s">
        <v>265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6.4</v>
      </c>
      <c r="AE106">
        <v>507</v>
      </c>
      <c r="AF106">
        <v>18.684210526315798</v>
      </c>
      <c r="AG106">
        <v>19.48147231881785</v>
      </c>
      <c r="AH106">
        <f>18.1535471997184*1</f>
        <v>18.1535471997184</v>
      </c>
      <c r="AI106">
        <f>3.63070943994368*1</f>
        <v>3.6307094399436801</v>
      </c>
      <c r="AJ106">
        <v>1</v>
      </c>
      <c r="AK106">
        <v>0</v>
      </c>
      <c r="AL106">
        <v>0</v>
      </c>
    </row>
    <row r="107" spans="1:38" hidden="1" x14ac:dyDescent="0.2">
      <c r="A107" t="s">
        <v>266</v>
      </c>
      <c r="B107" t="s">
        <v>267</v>
      </c>
      <c r="C107" t="s">
        <v>266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6.2</v>
      </c>
      <c r="AE107">
        <v>508</v>
      </c>
      <c r="AF107">
        <v>18.482142857142861</v>
      </c>
      <c r="AG107">
        <v>22.99260408852561</v>
      </c>
      <c r="AH107">
        <f>17.9572185956973*1</f>
        <v>17.957218595697299</v>
      </c>
      <c r="AI107">
        <f>3.59144371913946*1</f>
        <v>3.5914437191394599</v>
      </c>
      <c r="AJ107">
        <v>1</v>
      </c>
      <c r="AK107">
        <v>0</v>
      </c>
      <c r="AL107">
        <v>0</v>
      </c>
    </row>
    <row r="108" spans="1:38" hidden="1" x14ac:dyDescent="0.2">
      <c r="A108" t="s">
        <v>268</v>
      </c>
      <c r="B108" t="s">
        <v>269</v>
      </c>
      <c r="C108" t="s">
        <v>268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5.5</v>
      </c>
      <c r="AE108">
        <v>514</v>
      </c>
      <c r="AF108">
        <v>15.10416666666667</v>
      </c>
      <c r="AG108">
        <v>15.397195720782131</v>
      </c>
      <c r="AH108">
        <f>14.6751826687864*1</f>
        <v>14.6751826687864</v>
      </c>
      <c r="AI108">
        <f>2.93503653375729*1</f>
        <v>2.9350365337572901</v>
      </c>
      <c r="AJ108">
        <v>1</v>
      </c>
      <c r="AK108">
        <v>0</v>
      </c>
      <c r="AL108">
        <v>0</v>
      </c>
    </row>
    <row r="109" spans="1:38" hidden="1" x14ac:dyDescent="0.2">
      <c r="A109" t="s">
        <v>270</v>
      </c>
      <c r="B109" t="s">
        <v>271</v>
      </c>
      <c r="C109" t="s">
        <v>272</v>
      </c>
      <c r="D109" t="s">
        <v>3</v>
      </c>
      <c r="E109">
        <v>1</v>
      </c>
      <c r="F109">
        <v>0</v>
      </c>
      <c r="G109">
        <v>0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5.5</v>
      </c>
      <c r="AE109">
        <v>515</v>
      </c>
      <c r="AF109">
        <v>19.515306122448951</v>
      </c>
      <c r="AG109">
        <v>22.31622648704959</v>
      </c>
      <c r="AH109">
        <f>18.9610382687487*1</f>
        <v>18.961038268748698</v>
      </c>
      <c r="AI109">
        <f>3.79220765374974*1</f>
        <v>3.79220765374974</v>
      </c>
      <c r="AJ109">
        <v>1</v>
      </c>
      <c r="AK109">
        <v>0</v>
      </c>
      <c r="AL109">
        <v>0</v>
      </c>
    </row>
    <row r="110" spans="1:38" x14ac:dyDescent="0.2">
      <c r="A110" t="s">
        <v>372</v>
      </c>
      <c r="B110" t="s">
        <v>373</v>
      </c>
      <c r="C110" t="s">
        <v>373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30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4.5</v>
      </c>
      <c r="AE110">
        <v>816</v>
      </c>
      <c r="AF110">
        <v>17.897435897435901</v>
      </c>
      <c r="AG110">
        <v>18.97834195644759</v>
      </c>
      <c r="AH110">
        <f>20.3935764594271*1</f>
        <v>20.393576459427099</v>
      </c>
      <c r="AI110">
        <f>4.09014320192133*1</f>
        <v>4.0901432019213297</v>
      </c>
      <c r="AJ110">
        <v>1</v>
      </c>
      <c r="AK110">
        <v>1</v>
      </c>
      <c r="AL110">
        <v>1</v>
      </c>
    </row>
    <row r="111" spans="1:38" hidden="1" x14ac:dyDescent="0.2">
      <c r="A111" t="s">
        <v>275</v>
      </c>
      <c r="B111" t="s">
        <v>276</v>
      </c>
      <c r="C111" t="s">
        <v>276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14.3</v>
      </c>
      <c r="AE111">
        <v>518</v>
      </c>
      <c r="AF111">
        <v>38.055555555555557</v>
      </c>
      <c r="AG111">
        <v>39.741172214076911</v>
      </c>
      <c r="AH111">
        <f>36.9747131149194*1</f>
        <v>36.974713114919403</v>
      </c>
      <c r="AI111">
        <f>7.39494262298389*1</f>
        <v>7.3949426229838897</v>
      </c>
      <c r="AJ111">
        <v>1</v>
      </c>
      <c r="AK111">
        <v>0</v>
      </c>
      <c r="AL111">
        <v>0</v>
      </c>
    </row>
    <row r="112" spans="1:38" hidden="1" x14ac:dyDescent="0.2">
      <c r="A112" t="s">
        <v>277</v>
      </c>
      <c r="B112" t="s">
        <v>278</v>
      </c>
      <c r="C112" t="s">
        <v>277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5.6</v>
      </c>
      <c r="AE112">
        <v>525</v>
      </c>
      <c r="AF112">
        <v>17.481812171982671</v>
      </c>
      <c r="AG112">
        <v>15.26155791724938</v>
      </c>
      <c r="AH112">
        <f>16.9852990017275*1</f>
        <v>16.985299001727501</v>
      </c>
      <c r="AI112">
        <f>3.23554694276529*1</f>
        <v>3.2355469427652901</v>
      </c>
      <c r="AJ112">
        <v>1</v>
      </c>
      <c r="AK112">
        <v>0</v>
      </c>
      <c r="AL112">
        <v>0</v>
      </c>
    </row>
    <row r="113" spans="1:38" hidden="1" x14ac:dyDescent="0.2">
      <c r="A113" t="s">
        <v>279</v>
      </c>
      <c r="B113" t="s">
        <v>280</v>
      </c>
      <c r="C113" t="s">
        <v>280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5.3</v>
      </c>
      <c r="AE113">
        <v>529</v>
      </c>
      <c r="AF113">
        <v>15.882771829703779</v>
      </c>
      <c r="AG113">
        <v>22.463908949116728</v>
      </c>
      <c r="AH113">
        <f>0*0</f>
        <v>0</v>
      </c>
      <c r="AI113">
        <f>3.08633482444215*0</f>
        <v>0</v>
      </c>
      <c r="AJ113">
        <v>0</v>
      </c>
      <c r="AK113">
        <v>0</v>
      </c>
      <c r="AL113">
        <v>0</v>
      </c>
    </row>
    <row r="114" spans="1:38" hidden="1" x14ac:dyDescent="0.2">
      <c r="A114" t="s">
        <v>281</v>
      </c>
      <c r="B114" t="s">
        <v>282</v>
      </c>
      <c r="C114" t="s">
        <v>283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8.1999999999999993</v>
      </c>
      <c r="AE114">
        <v>540</v>
      </c>
      <c r="AF114">
        <v>20.983606557377051</v>
      </c>
      <c r="AG114">
        <v>24.10855196163849</v>
      </c>
      <c r="AH114">
        <f>26.1946736660232*1</f>
        <v>26.194673666023199</v>
      </c>
      <c r="AI114">
        <f>4.99491453682869*1</f>
        <v>4.9949145368286896</v>
      </c>
      <c r="AJ114">
        <v>1</v>
      </c>
      <c r="AK114">
        <v>0</v>
      </c>
      <c r="AL114">
        <v>0</v>
      </c>
    </row>
    <row r="115" spans="1:38" hidden="1" x14ac:dyDescent="0.2">
      <c r="A115" t="s">
        <v>226</v>
      </c>
      <c r="B115" t="s">
        <v>284</v>
      </c>
      <c r="C115" t="s">
        <v>285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5.2</v>
      </c>
      <c r="AE115">
        <v>544</v>
      </c>
      <c r="AF115">
        <v>17.307692307692299</v>
      </c>
      <c r="AG115">
        <v>18.153631421705722</v>
      </c>
      <c r="AH115">
        <f>21.0881354688328*1</f>
        <v>21.0881354688328</v>
      </c>
      <c r="AI115">
        <f>3.71143223946494*1</f>
        <v>3.7114322394649402</v>
      </c>
      <c r="AJ115">
        <v>1</v>
      </c>
      <c r="AK115">
        <v>0</v>
      </c>
      <c r="AL115">
        <v>0</v>
      </c>
    </row>
    <row r="116" spans="1:38" hidden="1" x14ac:dyDescent="0.2">
      <c r="A116" t="s">
        <v>286</v>
      </c>
      <c r="B116" t="s">
        <v>287</v>
      </c>
      <c r="C116" t="s">
        <v>287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4.9000000000000004</v>
      </c>
      <c r="AE116">
        <v>548</v>
      </c>
      <c r="AF116">
        <v>23.52847314348816</v>
      </c>
      <c r="AG116">
        <v>12.368460040311261</v>
      </c>
      <c r="AH116">
        <f>24.9869604845298*1</f>
        <v>24.986960484529799</v>
      </c>
      <c r="AI116">
        <f>1.56437308149378*1</f>
        <v>1.56437308149378</v>
      </c>
      <c r="AJ116">
        <v>1</v>
      </c>
      <c r="AK116">
        <v>0</v>
      </c>
      <c r="AL116">
        <v>0</v>
      </c>
    </row>
    <row r="117" spans="1:38" hidden="1" x14ac:dyDescent="0.2">
      <c r="A117" t="s">
        <v>288</v>
      </c>
      <c r="B117" t="s">
        <v>289</v>
      </c>
      <c r="C117" t="s">
        <v>290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4.5</v>
      </c>
      <c r="AE117">
        <v>551</v>
      </c>
      <c r="AF117">
        <v>15.8467607670113</v>
      </c>
      <c r="AG117">
        <v>15.133074339713669</v>
      </c>
      <c r="AH117">
        <f>18.8631159894135*1</f>
        <v>18.863115989413501</v>
      </c>
      <c r="AI117">
        <f>4.00483994776346*1</f>
        <v>4.0048399477634602</v>
      </c>
      <c r="AJ117">
        <v>1</v>
      </c>
      <c r="AK117">
        <v>0</v>
      </c>
      <c r="AL117">
        <v>0</v>
      </c>
    </row>
    <row r="118" spans="1:38" hidden="1" x14ac:dyDescent="0.2">
      <c r="A118" t="s">
        <v>103</v>
      </c>
      <c r="B118" t="s">
        <v>291</v>
      </c>
      <c r="C118" t="s">
        <v>291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8.4</v>
      </c>
      <c r="AE118">
        <v>560</v>
      </c>
      <c r="AF118">
        <v>21.907980497913481</v>
      </c>
      <c r="AG118">
        <v>23.139848802210889</v>
      </c>
      <c r="AH118">
        <f>26.7414088550788*1</f>
        <v>26.741408855078799</v>
      </c>
      <c r="AI118">
        <f>5.27552397430106*1</f>
        <v>5.27552397430106</v>
      </c>
      <c r="AJ118">
        <v>1</v>
      </c>
      <c r="AK118">
        <v>0</v>
      </c>
      <c r="AL118">
        <v>0</v>
      </c>
    </row>
    <row r="119" spans="1:38" hidden="1" x14ac:dyDescent="0.2">
      <c r="A119" t="s">
        <v>292</v>
      </c>
      <c r="B119" t="s">
        <v>293</v>
      </c>
      <c r="C119" t="s">
        <v>293</v>
      </c>
      <c r="D119" t="s">
        <v>3</v>
      </c>
      <c r="E119">
        <v>1</v>
      </c>
      <c r="F119">
        <v>0</v>
      </c>
      <c r="G119">
        <v>0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4.9000000000000004</v>
      </c>
      <c r="AE119">
        <v>566</v>
      </c>
      <c r="AF119">
        <v>18.333333333333329</v>
      </c>
      <c r="AG119">
        <v>15.79827657425486</v>
      </c>
      <c r="AH119">
        <f>21.3118842142622*1</f>
        <v>21.3118842142622</v>
      </c>
      <c r="AI119">
        <f>4.10824887043101*1</f>
        <v>4.1082488704310096</v>
      </c>
      <c r="AJ119">
        <v>1</v>
      </c>
      <c r="AK119">
        <v>0</v>
      </c>
      <c r="AL119">
        <v>0</v>
      </c>
    </row>
    <row r="120" spans="1:38" hidden="1" x14ac:dyDescent="0.2">
      <c r="A120" t="s">
        <v>294</v>
      </c>
      <c r="B120" t="s">
        <v>295</v>
      </c>
      <c r="C120" t="s">
        <v>295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</v>
      </c>
      <c r="AE120">
        <v>567</v>
      </c>
      <c r="AF120">
        <v>15.76231551586449</v>
      </c>
      <c r="AG120">
        <v>23.066331212969018</v>
      </c>
      <c r="AH120">
        <f>21.1587807838074*1</f>
        <v>21.158780783807401</v>
      </c>
      <c r="AI120">
        <f>3.81823195225807*1</f>
        <v>3.8182319522580701</v>
      </c>
      <c r="AJ120">
        <v>1</v>
      </c>
      <c r="AK120">
        <v>0</v>
      </c>
      <c r="AL120">
        <v>0</v>
      </c>
    </row>
    <row r="121" spans="1:38" hidden="1" x14ac:dyDescent="0.2">
      <c r="A121" t="s">
        <v>296</v>
      </c>
      <c r="B121" t="s">
        <v>297</v>
      </c>
      <c r="C121" t="s">
        <v>297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</v>
      </c>
      <c r="AE121">
        <v>572</v>
      </c>
      <c r="AF121">
        <v>14.92700729927008</v>
      </c>
      <c r="AG121">
        <v>19.173172565646819</v>
      </c>
      <c r="AH121">
        <f>19.2389192962719*1</f>
        <v>19.238919296271899</v>
      </c>
      <c r="AI121">
        <f>3.64722842488361*1</f>
        <v>3.6472284248836102</v>
      </c>
      <c r="AJ121">
        <v>1</v>
      </c>
      <c r="AK121">
        <v>0</v>
      </c>
      <c r="AL121">
        <v>0</v>
      </c>
    </row>
    <row r="122" spans="1:38" hidden="1" x14ac:dyDescent="0.2">
      <c r="A122" t="s">
        <v>281</v>
      </c>
      <c r="B122" t="s">
        <v>298</v>
      </c>
      <c r="C122" t="s">
        <v>299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5.8</v>
      </c>
      <c r="AE122">
        <v>585</v>
      </c>
      <c r="AF122">
        <v>17.191780821917821</v>
      </c>
      <c r="AG122">
        <v>16.505123004121518</v>
      </c>
      <c r="AH122">
        <f>18.6075864730368*1</f>
        <v>18.6075864730368</v>
      </c>
      <c r="AI122">
        <f>3.73390648938948*1</f>
        <v>3.7339064893894802</v>
      </c>
      <c r="AJ122">
        <v>1</v>
      </c>
      <c r="AK122">
        <v>0</v>
      </c>
      <c r="AL122">
        <v>0</v>
      </c>
    </row>
    <row r="123" spans="1:38" hidden="1" x14ac:dyDescent="0.2">
      <c r="A123" t="s">
        <v>300</v>
      </c>
      <c r="B123" t="s">
        <v>301</v>
      </c>
      <c r="C123" t="s">
        <v>301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4.5</v>
      </c>
      <c r="AE123">
        <v>586</v>
      </c>
      <c r="AF123">
        <v>15.1817984721873</v>
      </c>
      <c r="AG123">
        <v>15.45138789814604</v>
      </c>
      <c r="AH123">
        <f>16.9892634415844*1</f>
        <v>16.989263441584399</v>
      </c>
      <c r="AI123">
        <f>3.31363949679316*1</f>
        <v>3.3136394967931602</v>
      </c>
      <c r="AJ123">
        <v>1</v>
      </c>
      <c r="AK123">
        <v>0</v>
      </c>
      <c r="AL123">
        <v>0</v>
      </c>
    </row>
    <row r="124" spans="1:38" hidden="1" x14ac:dyDescent="0.2">
      <c r="A124" t="s">
        <v>302</v>
      </c>
      <c r="B124" t="s">
        <v>303</v>
      </c>
      <c r="C124" t="s">
        <v>303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6</v>
      </c>
      <c r="AE124">
        <v>591</v>
      </c>
      <c r="AF124">
        <v>23.413701015828739</v>
      </c>
      <c r="AG124">
        <v>12.246243522525511</v>
      </c>
      <c r="AH124">
        <f>18.8333035644541*1</f>
        <v>18.833303564454098</v>
      </c>
      <c r="AI124">
        <f>3.83519955884399*1</f>
        <v>3.83519955884399</v>
      </c>
      <c r="AJ124">
        <v>1</v>
      </c>
      <c r="AK124">
        <v>0</v>
      </c>
      <c r="AL124">
        <v>0</v>
      </c>
    </row>
    <row r="125" spans="1:38" hidden="1" x14ac:dyDescent="0.2">
      <c r="A125" t="s">
        <v>304</v>
      </c>
      <c r="B125" t="s">
        <v>305</v>
      </c>
      <c r="C125" t="s">
        <v>305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7.8</v>
      </c>
      <c r="AE125">
        <v>594</v>
      </c>
      <c r="AF125">
        <v>25.11904761904761</v>
      </c>
      <c r="AG125">
        <v>25.606324059650511</v>
      </c>
      <c r="AH125">
        <f>28.1358131212962*1</f>
        <v>28.135813121296199</v>
      </c>
      <c r="AI125">
        <f>5.3583803913539*1</f>
        <v>5.3583803913538999</v>
      </c>
      <c r="AJ125">
        <v>1</v>
      </c>
      <c r="AK125">
        <v>0</v>
      </c>
      <c r="AL125">
        <v>0</v>
      </c>
    </row>
    <row r="126" spans="1:38" hidden="1" x14ac:dyDescent="0.2">
      <c r="A126" t="s">
        <v>306</v>
      </c>
      <c r="B126" t="s">
        <v>307</v>
      </c>
      <c r="C126" t="s">
        <v>307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4.8</v>
      </c>
      <c r="AE126">
        <v>600</v>
      </c>
      <c r="AF126">
        <v>14.1715627211927</v>
      </c>
      <c r="AG126">
        <v>10.773216456208241</v>
      </c>
      <c r="AH126">
        <f>13.5370481262432*1</f>
        <v>13.537048126243199</v>
      </c>
      <c r="AI126">
        <f>2.68546603405934*1</f>
        <v>2.6854660340593401</v>
      </c>
      <c r="AJ126">
        <v>1</v>
      </c>
      <c r="AK126">
        <v>0</v>
      </c>
      <c r="AL126">
        <v>0</v>
      </c>
    </row>
    <row r="127" spans="1:38" hidden="1" x14ac:dyDescent="0.2">
      <c r="A127" t="s">
        <v>308</v>
      </c>
      <c r="B127" t="s">
        <v>309</v>
      </c>
      <c r="C127" t="s">
        <v>309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606</v>
      </c>
      <c r="AF127">
        <v>16.758329923481</v>
      </c>
      <c r="AG127">
        <v>18.053105356491859</v>
      </c>
      <c r="AH127">
        <f>19.3877860951642*1</f>
        <v>19.387786095164198</v>
      </c>
      <c r="AI127">
        <f>4.21581760751259*1</f>
        <v>4.2158176075125899</v>
      </c>
      <c r="AJ127">
        <v>1</v>
      </c>
      <c r="AK127">
        <v>0</v>
      </c>
      <c r="AL127">
        <v>0</v>
      </c>
    </row>
    <row r="128" spans="1:38" hidden="1" x14ac:dyDescent="0.2">
      <c r="A128" t="s">
        <v>310</v>
      </c>
      <c r="B128" t="s">
        <v>311</v>
      </c>
      <c r="C128" t="s">
        <v>311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6.7</v>
      </c>
      <c r="AE128">
        <v>609</v>
      </c>
      <c r="AF128">
        <v>22.69339674670011</v>
      </c>
      <c r="AG128">
        <v>16.04919015801288</v>
      </c>
      <c r="AH128">
        <f>20.9125494491914*1</f>
        <v>20.912549449191399</v>
      </c>
      <c r="AI128">
        <f>3.20153010706227*1</f>
        <v>3.2015301070622701</v>
      </c>
      <c r="AJ128">
        <v>1</v>
      </c>
      <c r="AK128">
        <v>0</v>
      </c>
      <c r="AL128">
        <v>0</v>
      </c>
    </row>
    <row r="129" spans="1:38" hidden="1" x14ac:dyDescent="0.2">
      <c r="A129" t="s">
        <v>312</v>
      </c>
      <c r="B129" t="s">
        <v>313</v>
      </c>
      <c r="C129" t="s">
        <v>313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26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4.7</v>
      </c>
      <c r="AE129">
        <v>626</v>
      </c>
      <c r="AF129">
        <v>14.213483146067411</v>
      </c>
      <c r="AG129">
        <v>12.97735517538638</v>
      </c>
      <c r="AH129">
        <f>21.8654816100033*1</f>
        <v>21.8654816100033</v>
      </c>
      <c r="AI129">
        <f>4.1797947215784*1</f>
        <v>4.1797947215783999</v>
      </c>
      <c r="AJ129">
        <v>1</v>
      </c>
      <c r="AK129">
        <v>0</v>
      </c>
      <c r="AL129">
        <v>0</v>
      </c>
    </row>
    <row r="130" spans="1:38" hidden="1" x14ac:dyDescent="0.2">
      <c r="A130" t="s">
        <v>314</v>
      </c>
      <c r="B130" t="s">
        <v>315</v>
      </c>
      <c r="C130" t="s">
        <v>315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5.7</v>
      </c>
      <c r="AE130">
        <v>641</v>
      </c>
      <c r="AF130">
        <v>24.284232602577461</v>
      </c>
      <c r="AG130">
        <v>11.36509710671659</v>
      </c>
      <c r="AH130">
        <f>19.1489959567524*1</f>
        <v>19.148995956752401</v>
      </c>
      <c r="AI130">
        <f>3.09634536165034*1</f>
        <v>3.0963453616503398</v>
      </c>
      <c r="AJ130">
        <v>1</v>
      </c>
      <c r="AK130">
        <v>0</v>
      </c>
      <c r="AL130">
        <v>0</v>
      </c>
    </row>
    <row r="131" spans="1:38" hidden="1" x14ac:dyDescent="0.2">
      <c r="A131" t="s">
        <v>316</v>
      </c>
      <c r="B131" t="s">
        <v>317</v>
      </c>
      <c r="C131" t="s">
        <v>317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4.8</v>
      </c>
      <c r="AE131">
        <v>661</v>
      </c>
      <c r="AF131">
        <v>18.845430768123439</v>
      </c>
      <c r="AG131">
        <v>15.40450643045747</v>
      </c>
      <c r="AH131">
        <f>25.9549767663901*1</f>
        <v>25.9549767663901</v>
      </c>
      <c r="AI131">
        <f>3.77005247949262*1</f>
        <v>3.77005247949262</v>
      </c>
      <c r="AJ131">
        <v>1</v>
      </c>
      <c r="AK131">
        <v>0</v>
      </c>
      <c r="AL131">
        <v>0</v>
      </c>
    </row>
    <row r="132" spans="1:38" hidden="1" x14ac:dyDescent="0.2">
      <c r="A132" t="s">
        <v>318</v>
      </c>
      <c r="B132" t="s">
        <v>319</v>
      </c>
      <c r="C132" t="s">
        <v>318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4.5</v>
      </c>
      <c r="AE132">
        <v>668</v>
      </c>
      <c r="AF132">
        <v>8.6697236387635304</v>
      </c>
      <c r="AG132">
        <v>10.099304754931341</v>
      </c>
      <c r="AH132">
        <f>17.0162686778892*1</f>
        <v>17.016268677889201</v>
      </c>
      <c r="AI132">
        <f>2.80015135083443*1</f>
        <v>2.80015135083443</v>
      </c>
      <c r="AJ132">
        <v>1</v>
      </c>
      <c r="AK132">
        <v>0</v>
      </c>
      <c r="AL132">
        <v>0</v>
      </c>
    </row>
    <row r="133" spans="1:38" hidden="1" x14ac:dyDescent="0.2">
      <c r="A133" t="s">
        <v>320</v>
      </c>
      <c r="B133" t="s">
        <v>321</v>
      </c>
      <c r="C133" t="s">
        <v>321</v>
      </c>
      <c r="D133" t="s">
        <v>6</v>
      </c>
      <c r="E133">
        <v>0</v>
      </c>
      <c r="F133">
        <v>0</v>
      </c>
      <c r="G133">
        <v>0</v>
      </c>
      <c r="H133">
        <v>1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4.2</v>
      </c>
      <c r="AE133">
        <v>681</v>
      </c>
      <c r="AF133">
        <v>14.769747256513799</v>
      </c>
      <c r="AG133">
        <v>15.20584155576679</v>
      </c>
      <c r="AH133">
        <f>18.0113720643523*1</f>
        <v>18.011372064352301</v>
      </c>
      <c r="AI133">
        <f>3.01878532753107*1</f>
        <v>3.0187853275310701</v>
      </c>
      <c r="AJ133">
        <v>1</v>
      </c>
      <c r="AK133">
        <v>0</v>
      </c>
      <c r="AL133">
        <v>0</v>
      </c>
    </row>
    <row r="134" spans="1:38" hidden="1" x14ac:dyDescent="0.2">
      <c r="A134" t="s">
        <v>322</v>
      </c>
      <c r="B134" t="s">
        <v>323</v>
      </c>
      <c r="C134" t="s">
        <v>323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4.9000000000000004</v>
      </c>
      <c r="AE134">
        <v>712</v>
      </c>
      <c r="AF134">
        <v>17.142857142857139</v>
      </c>
      <c r="AG134">
        <v>17.284227041689078</v>
      </c>
      <c r="AH134">
        <f>20.9053257908571*1</f>
        <v>20.905325790857098</v>
      </c>
      <c r="AI134">
        <f>3.48422096514285*1</f>
        <v>3.4842209651428502</v>
      </c>
      <c r="AJ134">
        <v>1</v>
      </c>
      <c r="AK134">
        <v>0</v>
      </c>
      <c r="AL134">
        <v>0</v>
      </c>
    </row>
    <row r="135" spans="1:38" hidden="1" x14ac:dyDescent="0.2">
      <c r="A135" t="s">
        <v>324</v>
      </c>
      <c r="B135" t="s">
        <v>325</v>
      </c>
      <c r="C135" t="s">
        <v>325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5.8</v>
      </c>
      <c r="AE135">
        <v>724</v>
      </c>
      <c r="AF135">
        <v>13.8125</v>
      </c>
      <c r="AG135">
        <v>10.396942738675209</v>
      </c>
      <c r="AH135">
        <f>14.0537555537179*1</f>
        <v>14.053755553717901</v>
      </c>
      <c r="AI135">
        <f>3.51343891126339*1</f>
        <v>3.5134389112633899</v>
      </c>
      <c r="AJ135">
        <v>1</v>
      </c>
      <c r="AK135">
        <v>0</v>
      </c>
      <c r="AL135">
        <v>0</v>
      </c>
    </row>
    <row r="136" spans="1:38" hidden="1" x14ac:dyDescent="0.2">
      <c r="A136" t="s">
        <v>326</v>
      </c>
      <c r="B136" t="s">
        <v>327</v>
      </c>
      <c r="C136" t="s">
        <v>327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6.8</v>
      </c>
      <c r="AE136">
        <v>735</v>
      </c>
      <c r="AF136">
        <v>15.499999999999989</v>
      </c>
      <c r="AG136">
        <v>14.937482345225041</v>
      </c>
      <c r="AH136">
        <f>15.7707303385042*1</f>
        <v>15.770730338504199</v>
      </c>
      <c r="AI136">
        <f>3.94268259603782*1</f>
        <v>3.94268259603782</v>
      </c>
      <c r="AJ136">
        <v>1</v>
      </c>
      <c r="AK136">
        <v>0</v>
      </c>
      <c r="AL136">
        <v>0</v>
      </c>
    </row>
    <row r="137" spans="1:38" hidden="1" x14ac:dyDescent="0.2">
      <c r="A137" t="s">
        <v>192</v>
      </c>
      <c r="B137" t="s">
        <v>328</v>
      </c>
      <c r="C137" t="s">
        <v>328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0</v>
      </c>
      <c r="AC137">
        <v>0</v>
      </c>
      <c r="AD137">
        <v>7.9</v>
      </c>
      <c r="AE137">
        <v>738</v>
      </c>
      <c r="AF137">
        <v>17.275750119311969</v>
      </c>
      <c r="AG137">
        <v>15.823305366839429</v>
      </c>
      <c r="AH137">
        <f>17.5774965187375*1</f>
        <v>17.577496518737501</v>
      </c>
      <c r="AI137">
        <f>4.01638451655802*1</f>
        <v>4.0163845165580199</v>
      </c>
      <c r="AJ137">
        <v>1</v>
      </c>
      <c r="AK137">
        <v>0</v>
      </c>
      <c r="AL137">
        <v>0</v>
      </c>
    </row>
    <row r="138" spans="1:38" hidden="1" x14ac:dyDescent="0.2">
      <c r="A138" t="s">
        <v>329</v>
      </c>
      <c r="B138" t="s">
        <v>330</v>
      </c>
      <c r="C138" t="s">
        <v>331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5.9</v>
      </c>
      <c r="AE138">
        <v>740</v>
      </c>
      <c r="AF138">
        <v>15.04761904761904</v>
      </c>
      <c r="AG138">
        <v>5.7878571796530638</v>
      </c>
      <c r="AH138">
        <f>15.3104475548293*1</f>
        <v>15.310447554829301</v>
      </c>
      <c r="AI138">
        <f>3.8276119196549*1</f>
        <v>3.8276119196548999</v>
      </c>
      <c r="AJ138">
        <v>1</v>
      </c>
      <c r="AK138">
        <v>0</v>
      </c>
      <c r="AL138">
        <v>0</v>
      </c>
    </row>
    <row r="139" spans="1:38" hidden="1" x14ac:dyDescent="0.2">
      <c r="A139" t="s">
        <v>332</v>
      </c>
      <c r="B139" t="s">
        <v>333</v>
      </c>
      <c r="C139" t="s">
        <v>333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5.2</v>
      </c>
      <c r="AE139">
        <v>744</v>
      </c>
      <c r="AF139">
        <v>12.28169014084507</v>
      </c>
      <c r="AG139">
        <v>8.9295122507441782</v>
      </c>
      <c r="AH139">
        <f>12.4962078450957*1</f>
        <v>12.4962078450957</v>
      </c>
      <c r="AI139">
        <f>3.1240520453727*1</f>
        <v>3.1240520453727001</v>
      </c>
      <c r="AJ139">
        <v>1</v>
      </c>
      <c r="AK139">
        <v>0</v>
      </c>
      <c r="AL139">
        <v>0</v>
      </c>
    </row>
    <row r="140" spans="1:38" hidden="1" x14ac:dyDescent="0.2">
      <c r="A140" t="s">
        <v>334</v>
      </c>
      <c r="B140" t="s">
        <v>335</v>
      </c>
      <c r="C140" t="s">
        <v>335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4.4000000000000004</v>
      </c>
      <c r="AE140">
        <v>746</v>
      </c>
      <c r="AF140">
        <v>9.6216216216216246</v>
      </c>
      <c r="AG140">
        <v>11.59979528087254</v>
      </c>
      <c r="AH140">
        <f>9.78967750875414*1</f>
        <v>9.7896775087541403</v>
      </c>
      <c r="AI140">
        <f>2.44741937318751*1</f>
        <v>2.4474193731875098</v>
      </c>
      <c r="AJ140">
        <v>1</v>
      </c>
      <c r="AK140">
        <v>0</v>
      </c>
      <c r="AL140">
        <v>0</v>
      </c>
    </row>
    <row r="141" spans="1:38" hidden="1" x14ac:dyDescent="0.2">
      <c r="A141" t="s">
        <v>336</v>
      </c>
      <c r="B141" t="s">
        <v>337</v>
      </c>
      <c r="C141" t="s">
        <v>336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10.1</v>
      </c>
      <c r="AE141">
        <v>749</v>
      </c>
      <c r="AF141">
        <v>26.534038077008169</v>
      </c>
      <c r="AG141">
        <v>15.359723059532209</v>
      </c>
      <c r="AH141">
        <f>26.997493760292*1</f>
        <v>26.997493760291999</v>
      </c>
      <c r="AI141">
        <f>7.63080660999732*1</f>
        <v>7.63080660999732</v>
      </c>
      <c r="AJ141">
        <v>1</v>
      </c>
      <c r="AK141">
        <v>0</v>
      </c>
      <c r="AL141">
        <v>0</v>
      </c>
    </row>
    <row r="142" spans="1:38" hidden="1" x14ac:dyDescent="0.2">
      <c r="A142" t="s">
        <v>338</v>
      </c>
      <c r="B142" t="s">
        <v>339</v>
      </c>
      <c r="C142" t="s">
        <v>339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28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5</v>
      </c>
      <c r="AE142">
        <v>752</v>
      </c>
      <c r="AF142">
        <v>11.84615384615384</v>
      </c>
      <c r="AG142">
        <v>6.0924318673930884</v>
      </c>
      <c r="AH142">
        <f>12.0530641753389*1</f>
        <v>12.0530641753389</v>
      </c>
      <c r="AI142">
        <f>3.01326607242363*1</f>
        <v>3.01326607242363</v>
      </c>
      <c r="AJ142">
        <v>1</v>
      </c>
      <c r="AK142">
        <v>0</v>
      </c>
      <c r="AL142">
        <v>0</v>
      </c>
    </row>
    <row r="143" spans="1:38" hidden="1" x14ac:dyDescent="0.2">
      <c r="A143" t="s">
        <v>340</v>
      </c>
      <c r="B143" t="s">
        <v>341</v>
      </c>
      <c r="C143" t="s">
        <v>341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28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5.3</v>
      </c>
      <c r="AE143">
        <v>753</v>
      </c>
      <c r="AF143">
        <v>10.83045724258935</v>
      </c>
      <c r="AG143">
        <v>3.508490324910551</v>
      </c>
      <c r="AH143">
        <f>11.0196268729675*1</f>
        <v>11.0196268729675</v>
      </c>
      <c r="AI143">
        <f>2.7663178456146*1</f>
        <v>2.7663178456146</v>
      </c>
      <c r="AJ143">
        <v>1</v>
      </c>
      <c r="AK143">
        <v>0</v>
      </c>
      <c r="AL143">
        <v>0</v>
      </c>
    </row>
    <row r="144" spans="1:38" hidden="1" x14ac:dyDescent="0.2">
      <c r="A144" t="s">
        <v>342</v>
      </c>
      <c r="B144" t="s">
        <v>343</v>
      </c>
      <c r="C144" t="s">
        <v>343</v>
      </c>
      <c r="D144" t="s">
        <v>3</v>
      </c>
      <c r="E144">
        <v>1</v>
      </c>
      <c r="F144">
        <v>0</v>
      </c>
      <c r="G144">
        <v>0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4.2</v>
      </c>
      <c r="AE144">
        <v>768</v>
      </c>
      <c r="AF144">
        <v>16.969696969696969</v>
      </c>
      <c r="AG144">
        <v>14.52653661254298</v>
      </c>
      <c r="AH144">
        <f>13.2409468785643*1</f>
        <v>13.2409468785643</v>
      </c>
      <c r="AI144">
        <f>2.75514647975852*1</f>
        <v>2.7551464797585199</v>
      </c>
      <c r="AJ144">
        <v>1</v>
      </c>
      <c r="AK144">
        <v>0</v>
      </c>
      <c r="AL144">
        <v>0</v>
      </c>
    </row>
    <row r="145" spans="1:38" hidden="1" x14ac:dyDescent="0.2">
      <c r="A145" t="s">
        <v>344</v>
      </c>
      <c r="B145" t="s">
        <v>345</v>
      </c>
      <c r="C145" t="s">
        <v>345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7.9</v>
      </c>
      <c r="AE145">
        <v>770</v>
      </c>
      <c r="AF145">
        <v>22.17236090634481</v>
      </c>
      <c r="AG145">
        <v>22.3834286982189</v>
      </c>
      <c r="AH145">
        <f>19.5860204893215*1</f>
        <v>19.586020489321498</v>
      </c>
      <c r="AI145">
        <f>3.7325535532444*1</f>
        <v>3.7325535532443999</v>
      </c>
      <c r="AJ145">
        <v>1</v>
      </c>
      <c r="AK145">
        <v>0</v>
      </c>
      <c r="AL145">
        <v>0</v>
      </c>
    </row>
    <row r="146" spans="1:38" hidden="1" x14ac:dyDescent="0.2">
      <c r="A146" t="s">
        <v>346</v>
      </c>
      <c r="B146" t="s">
        <v>347</v>
      </c>
      <c r="C146" t="s">
        <v>347</v>
      </c>
      <c r="D146" t="s">
        <v>4</v>
      </c>
      <c r="E146">
        <v>0</v>
      </c>
      <c r="F146">
        <v>1</v>
      </c>
      <c r="G146">
        <v>0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v>0</v>
      </c>
      <c r="AD146">
        <v>4.5999999999999996</v>
      </c>
      <c r="AE146">
        <v>772</v>
      </c>
      <c r="AF146">
        <v>13.448275862068961</v>
      </c>
      <c r="AG146">
        <v>7.4093536262051298</v>
      </c>
      <c r="AH146">
        <f>7.73793347683314*1</f>
        <v>7.73793347683314</v>
      </c>
      <c r="AI146">
        <f>1.16358280605047*1</f>
        <v>1.16358280605047</v>
      </c>
      <c r="AJ146">
        <v>1</v>
      </c>
      <c r="AK146">
        <v>0</v>
      </c>
      <c r="AL146">
        <v>0</v>
      </c>
    </row>
    <row r="147" spans="1:38" hidden="1" x14ac:dyDescent="0.2">
      <c r="A147" t="s">
        <v>348</v>
      </c>
      <c r="B147" t="s">
        <v>349</v>
      </c>
      <c r="C147" t="s">
        <v>348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4.4000000000000004</v>
      </c>
      <c r="AE147">
        <v>776</v>
      </c>
      <c r="AF147">
        <v>10.39230410144914</v>
      </c>
      <c r="AG147">
        <v>8.6472501140812348</v>
      </c>
      <c r="AH147">
        <f>7.94167697035296*1</f>
        <v>7.9416769703529599</v>
      </c>
      <c r="AI147">
        <f>1.55732505452149*1</f>
        <v>1.5573250545214901</v>
      </c>
      <c r="AJ147">
        <v>1</v>
      </c>
      <c r="AK147">
        <v>0</v>
      </c>
      <c r="AL147">
        <v>0</v>
      </c>
    </row>
    <row r="148" spans="1:38" hidden="1" x14ac:dyDescent="0.2">
      <c r="A148" t="s">
        <v>350</v>
      </c>
      <c r="B148" t="s">
        <v>351</v>
      </c>
      <c r="C148" t="s">
        <v>352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6</v>
      </c>
      <c r="AE148">
        <v>783</v>
      </c>
      <c r="AF148">
        <v>18.202554508000699</v>
      </c>
      <c r="AG148">
        <v>16.63655256421562</v>
      </c>
      <c r="AH148">
        <f>14.9112019993004*1</f>
        <v>14.911201999300401</v>
      </c>
      <c r="AI148">
        <f>3.39756703937268*1</f>
        <v>3.3975670393726798</v>
      </c>
      <c r="AJ148">
        <v>1</v>
      </c>
      <c r="AK148">
        <v>0</v>
      </c>
      <c r="AL148">
        <v>0</v>
      </c>
    </row>
    <row r="149" spans="1:38" hidden="1" x14ac:dyDescent="0.2">
      <c r="A149" t="s">
        <v>353</v>
      </c>
      <c r="B149" t="s">
        <v>354</v>
      </c>
      <c r="C149" t="s">
        <v>354</v>
      </c>
      <c r="D149" t="s">
        <v>5</v>
      </c>
      <c r="E149">
        <v>0</v>
      </c>
      <c r="F149">
        <v>0</v>
      </c>
      <c r="G149">
        <v>1</v>
      </c>
      <c r="H149">
        <v>0</v>
      </c>
      <c r="I149" t="s">
        <v>29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4.9000000000000004</v>
      </c>
      <c r="AE149">
        <v>785</v>
      </c>
      <c r="AF149">
        <v>17.499361967655862</v>
      </c>
      <c r="AG149">
        <v>16.067612985123819</v>
      </c>
      <c r="AH149">
        <f>14.3846929863567*1</f>
        <v>14.384692986356701</v>
      </c>
      <c r="AI149">
        <f>2.5078628432621*1</f>
        <v>2.5078628432621</v>
      </c>
      <c r="AJ149">
        <v>1</v>
      </c>
      <c r="AK149">
        <v>0</v>
      </c>
      <c r="AL149">
        <v>0</v>
      </c>
    </row>
    <row r="150" spans="1:38" hidden="1" x14ac:dyDescent="0.2">
      <c r="A150" t="s">
        <v>355</v>
      </c>
      <c r="B150" t="s">
        <v>356</v>
      </c>
      <c r="C150" t="s">
        <v>356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29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4.5</v>
      </c>
      <c r="AE150">
        <v>787</v>
      </c>
      <c r="AF150">
        <v>16.04903821237269</v>
      </c>
      <c r="AG150">
        <v>19.007197697692551</v>
      </c>
      <c r="AH150">
        <f>16.0610246984535*1</f>
        <v>16.061024698453501</v>
      </c>
      <c r="AI150">
        <f>3.62948965005365*1</f>
        <v>3.62948965005365</v>
      </c>
      <c r="AJ150">
        <v>1</v>
      </c>
      <c r="AK150">
        <v>0</v>
      </c>
      <c r="AL150">
        <v>0</v>
      </c>
    </row>
    <row r="151" spans="1:38" hidden="1" x14ac:dyDescent="0.2">
      <c r="A151" t="s">
        <v>357</v>
      </c>
      <c r="B151" t="s">
        <v>358</v>
      </c>
      <c r="C151" t="s">
        <v>264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5</v>
      </c>
      <c r="AE151">
        <v>789</v>
      </c>
      <c r="AF151">
        <v>11.110919963214061</v>
      </c>
      <c r="AG151">
        <v>10.29001595559758</v>
      </c>
      <c r="AH151">
        <f>9.19252173998487*1</f>
        <v>9.1925217399848709</v>
      </c>
      <c r="AI151">
        <f>2.0294680584677*1</f>
        <v>2.0294680584677001</v>
      </c>
      <c r="AJ151">
        <v>1</v>
      </c>
      <c r="AK151">
        <v>0</v>
      </c>
      <c r="AL151">
        <v>0</v>
      </c>
    </row>
    <row r="152" spans="1:38" hidden="1" x14ac:dyDescent="0.2">
      <c r="A152" t="s">
        <v>192</v>
      </c>
      <c r="B152" t="s">
        <v>359</v>
      </c>
      <c r="C152" t="s">
        <v>359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5.8</v>
      </c>
      <c r="AE152">
        <v>791</v>
      </c>
      <c r="AF152">
        <v>18.946363076813</v>
      </c>
      <c r="AG152">
        <v>18.62508055779481</v>
      </c>
      <c r="AH152">
        <f>16.3994301746109*1</f>
        <v>16.399430174610899</v>
      </c>
      <c r="AI152">
        <f>2.97376764849147*1</f>
        <v>2.9737676484914699</v>
      </c>
      <c r="AJ152">
        <v>1</v>
      </c>
      <c r="AK152">
        <v>0</v>
      </c>
      <c r="AL152">
        <v>0</v>
      </c>
    </row>
    <row r="153" spans="1:38" hidden="1" x14ac:dyDescent="0.2">
      <c r="A153" t="s">
        <v>360</v>
      </c>
      <c r="B153" t="s">
        <v>361</v>
      </c>
      <c r="C153" t="s">
        <v>361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29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6.8</v>
      </c>
      <c r="AE153">
        <v>793</v>
      </c>
      <c r="AF153">
        <v>21.04501569264724</v>
      </c>
      <c r="AG153">
        <v>28.443646425603792</v>
      </c>
      <c r="AH153">
        <f>23.4244610206033*1</f>
        <v>23.424461020603299</v>
      </c>
      <c r="AI153">
        <f>3.71025791821959*1</f>
        <v>3.7102579182195901</v>
      </c>
      <c r="AJ153">
        <v>1</v>
      </c>
      <c r="AK153">
        <v>0</v>
      </c>
      <c r="AL153">
        <v>0</v>
      </c>
    </row>
    <row r="154" spans="1:38" hidden="1" x14ac:dyDescent="0.2">
      <c r="A154" t="s">
        <v>362</v>
      </c>
      <c r="B154" t="s">
        <v>363</v>
      </c>
      <c r="C154" t="s">
        <v>363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4.7</v>
      </c>
      <c r="AE154">
        <v>800</v>
      </c>
      <c r="AF154">
        <v>24.980630216939449</v>
      </c>
      <c r="AG154">
        <v>8.8839568303525596</v>
      </c>
      <c r="AH154">
        <f>21.9534221480523*1</f>
        <v>21.953422148052301</v>
      </c>
      <c r="AI154">
        <f>2.62960162767016*1</f>
        <v>2.6296016276701599</v>
      </c>
      <c r="AJ154">
        <v>1</v>
      </c>
      <c r="AK154">
        <v>0</v>
      </c>
      <c r="AL154">
        <v>0</v>
      </c>
    </row>
    <row r="155" spans="1:38" hidden="1" x14ac:dyDescent="0.2">
      <c r="A155" t="s">
        <v>364</v>
      </c>
      <c r="B155" t="s">
        <v>365</v>
      </c>
      <c r="C155" t="s">
        <v>365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4.5</v>
      </c>
      <c r="AE155">
        <v>806</v>
      </c>
      <c r="AF155">
        <v>16.14827253587563</v>
      </c>
      <c r="AG155">
        <v>16.944049418957231</v>
      </c>
      <c r="AH155">
        <f>18.3340756866495*1</f>
        <v>18.334075686649498</v>
      </c>
      <c r="AI155">
        <f>2.93156843422138*1</f>
        <v>2.9315684342213801</v>
      </c>
      <c r="AJ155">
        <v>1</v>
      </c>
      <c r="AK155">
        <v>0</v>
      </c>
      <c r="AL155">
        <v>0</v>
      </c>
    </row>
    <row r="156" spans="1:38" hidden="1" x14ac:dyDescent="0.2">
      <c r="A156" t="s">
        <v>366</v>
      </c>
      <c r="B156" t="s">
        <v>367</v>
      </c>
      <c r="C156" t="s">
        <v>368</v>
      </c>
      <c r="D156" t="s">
        <v>5</v>
      </c>
      <c r="E156">
        <v>0</v>
      </c>
      <c r="F156">
        <v>0</v>
      </c>
      <c r="G156">
        <v>1</v>
      </c>
      <c r="H156">
        <v>0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5.4</v>
      </c>
      <c r="AE156">
        <v>811</v>
      </c>
      <c r="AF156">
        <v>32.292619005366589</v>
      </c>
      <c r="AG156">
        <v>16.5723580888104</v>
      </c>
      <c r="AH156">
        <f>0*0</f>
        <v>0</v>
      </c>
      <c r="AI156">
        <f>5.242079512875*0</f>
        <v>0</v>
      </c>
      <c r="AJ156">
        <v>0</v>
      </c>
      <c r="AK156">
        <v>0</v>
      </c>
      <c r="AL156">
        <v>0</v>
      </c>
    </row>
    <row r="157" spans="1:38" hidden="1" x14ac:dyDescent="0.2">
      <c r="A157" t="s">
        <v>369</v>
      </c>
      <c r="B157" t="s">
        <v>370</v>
      </c>
      <c r="C157" t="s">
        <v>371</v>
      </c>
      <c r="D157" t="s">
        <v>5</v>
      </c>
      <c r="E157">
        <v>0</v>
      </c>
      <c r="F157">
        <v>0</v>
      </c>
      <c r="G157">
        <v>1</v>
      </c>
      <c r="H157">
        <v>0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4.9000000000000004</v>
      </c>
      <c r="AE157">
        <v>812</v>
      </c>
      <c r="AF157">
        <v>13.78378378378379</v>
      </c>
      <c r="AG157">
        <v>10.968659051005719</v>
      </c>
      <c r="AH157">
        <f>14.3571583759854*1</f>
        <v>14.357158375985399</v>
      </c>
      <c r="AI157">
        <f>2.42614919466665*1</f>
        <v>2.42614919466665</v>
      </c>
      <c r="AJ157">
        <v>1</v>
      </c>
      <c r="AK157">
        <v>0</v>
      </c>
      <c r="AL157">
        <v>0</v>
      </c>
    </row>
    <row r="158" spans="1:38" x14ac:dyDescent="0.2">
      <c r="A158" t="s">
        <v>246</v>
      </c>
      <c r="B158" t="s">
        <v>247</v>
      </c>
      <c r="C158" t="s">
        <v>246</v>
      </c>
      <c r="D158" t="s">
        <v>4</v>
      </c>
      <c r="E158">
        <v>0</v>
      </c>
      <c r="F158">
        <v>1</v>
      </c>
      <c r="G158">
        <v>0</v>
      </c>
      <c r="H158">
        <v>0</v>
      </c>
      <c r="I158" t="s">
        <v>21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6.6</v>
      </c>
      <c r="AE158">
        <v>439</v>
      </c>
      <c r="AF158">
        <v>28.214285714285712</v>
      </c>
      <c r="AG158">
        <v>27.627986599097291</v>
      </c>
      <c r="AH158">
        <f>29.0589078213808*1</f>
        <v>29.058907821380799</v>
      </c>
      <c r="AI158">
        <f>3.53987078974247*1</f>
        <v>3.5398707897424702</v>
      </c>
      <c r="AJ158">
        <v>1</v>
      </c>
      <c r="AK158">
        <v>1</v>
      </c>
      <c r="AL158">
        <v>1</v>
      </c>
    </row>
    <row r="159" spans="1:38" hidden="1" x14ac:dyDescent="0.2">
      <c r="A159" t="s">
        <v>374</v>
      </c>
      <c r="B159" t="s">
        <v>375</v>
      </c>
      <c r="C159" t="s">
        <v>376</v>
      </c>
      <c r="D159" t="s">
        <v>5</v>
      </c>
      <c r="E159">
        <v>0</v>
      </c>
      <c r="F159">
        <v>0</v>
      </c>
      <c r="G159">
        <v>1</v>
      </c>
      <c r="H159">
        <v>0</v>
      </c>
      <c r="I159" t="s">
        <v>30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4.9000000000000004</v>
      </c>
      <c r="AE159">
        <v>818</v>
      </c>
      <c r="AF159">
        <v>13.36956521739131</v>
      </c>
      <c r="AG159">
        <v>10.426013056709589</v>
      </c>
      <c r="AH159">
        <f>13.8469231975899*1</f>
        <v>13.8469231975899</v>
      </c>
      <c r="AI159">
        <f>2.28544790819725*1</f>
        <v>2.2854479081972499</v>
      </c>
      <c r="AJ159">
        <v>1</v>
      </c>
      <c r="AK159">
        <v>0</v>
      </c>
      <c r="AL159">
        <v>0</v>
      </c>
    </row>
    <row r="160" spans="1:38" x14ac:dyDescent="0.2">
      <c r="A160" t="s">
        <v>250</v>
      </c>
      <c r="B160" t="s">
        <v>251</v>
      </c>
      <c r="C160" t="s">
        <v>251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22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4.5999999999999996</v>
      </c>
      <c r="AE160">
        <v>466</v>
      </c>
      <c r="AF160">
        <v>10.540382781074049</v>
      </c>
      <c r="AG160">
        <v>9.1401551630501707</v>
      </c>
      <c r="AH160">
        <f>17.3521781096566*1</f>
        <v>17.352178109656599</v>
      </c>
      <c r="AI160">
        <f>3.36011745064683*1</f>
        <v>3.3601174506468299</v>
      </c>
      <c r="AJ160">
        <v>1</v>
      </c>
      <c r="AK160">
        <v>1</v>
      </c>
      <c r="AL160">
        <v>1</v>
      </c>
    </row>
    <row r="161" spans="1:38" hidden="1" x14ac:dyDescent="0.2">
      <c r="A161" t="s">
        <v>380</v>
      </c>
      <c r="B161" t="s">
        <v>381</v>
      </c>
      <c r="C161" t="s">
        <v>381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4.7</v>
      </c>
      <c r="AE161">
        <v>822</v>
      </c>
      <c r="AF161">
        <v>28.975434713966958</v>
      </c>
      <c r="AG161">
        <v>17.784563565841381</v>
      </c>
      <c r="AH161">
        <f>28.2305294287225*1</f>
        <v>28.230529428722502</v>
      </c>
      <c r="AI161">
        <f>5.84419198425581*1</f>
        <v>5.8441919842558097</v>
      </c>
      <c r="AJ161">
        <v>1</v>
      </c>
      <c r="AK161">
        <v>0</v>
      </c>
      <c r="AL161">
        <v>0</v>
      </c>
    </row>
    <row r="162" spans="1:38" hidden="1" x14ac:dyDescent="0.2">
      <c r="A162" t="s">
        <v>382</v>
      </c>
      <c r="B162" t="s">
        <v>383</v>
      </c>
      <c r="C162" t="s">
        <v>384</v>
      </c>
      <c r="D162" t="s">
        <v>4</v>
      </c>
      <c r="E162">
        <v>0</v>
      </c>
      <c r="F162">
        <v>1</v>
      </c>
      <c r="G162">
        <v>0</v>
      </c>
      <c r="H162">
        <v>0</v>
      </c>
      <c r="I162" t="s">
        <v>30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4.4000000000000004</v>
      </c>
      <c r="AE162">
        <v>825</v>
      </c>
      <c r="AF162">
        <v>14.125000000000011</v>
      </c>
      <c r="AG162">
        <v>13.776240374650969</v>
      </c>
      <c r="AH162">
        <f>15.6505120965535*1</f>
        <v>15.6505120965535</v>
      </c>
      <c r="AI162">
        <f>2.77683021181611*1</f>
        <v>2.7768302118161099</v>
      </c>
      <c r="AJ162">
        <v>1</v>
      </c>
      <c r="AK162">
        <v>0</v>
      </c>
      <c r="AL162">
        <v>0</v>
      </c>
    </row>
    <row r="163" spans="1:38" x14ac:dyDescent="0.2">
      <c r="A163" t="s">
        <v>79</v>
      </c>
      <c r="B163" t="s">
        <v>80</v>
      </c>
      <c r="C163" t="s">
        <v>80</v>
      </c>
      <c r="D163" t="s">
        <v>6</v>
      </c>
      <c r="E163">
        <v>0</v>
      </c>
      <c r="F163">
        <v>0</v>
      </c>
      <c r="G163">
        <v>0</v>
      </c>
      <c r="H163">
        <v>1</v>
      </c>
      <c r="I163" t="s">
        <v>12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8.8000000000000007</v>
      </c>
      <c r="AE163">
        <v>64</v>
      </c>
      <c r="AF163">
        <v>23.646616541353399</v>
      </c>
      <c r="AG163">
        <v>20.653791641200289</v>
      </c>
      <c r="AH163">
        <f>12.3210188408141*0.5</f>
        <v>6.1605094204070499</v>
      </c>
      <c r="AI163">
        <f>4.93855334043561*0.5</f>
        <v>2.4692766702178051</v>
      </c>
      <c r="AJ163">
        <v>0.5</v>
      </c>
      <c r="AK163">
        <v>1</v>
      </c>
      <c r="AL163">
        <v>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2024-04-05T13:38:56Z</dcterms:created>
  <dcterms:modified xsi:type="dcterms:W3CDTF">2024-04-05T13:41:04Z</dcterms:modified>
</cp:coreProperties>
</file>