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5CFA76C8-685A-9245-926D-FD3D91442B16}" xr6:coauthVersionLast="47" xr6:coauthVersionMax="47" xr10:uidLastSave="{00000000-0000-0000-0000-000000000000}"/>
  <bookViews>
    <workbookView xWindow="240" yWindow="760" windowWidth="27100" windowHeight="19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4" i="1" l="1"/>
  <c r="AH184" i="1"/>
  <c r="AI183" i="1"/>
  <c r="AH183" i="1"/>
  <c r="AI182" i="1"/>
  <c r="AH182" i="1"/>
  <c r="AI181" i="1"/>
  <c r="AH181" i="1"/>
  <c r="AI180" i="1"/>
  <c r="AH180" i="1"/>
  <c r="AI132" i="1"/>
  <c r="AH132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27" i="1"/>
  <c r="AH127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34" i="1"/>
  <c r="AH134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07" i="1"/>
  <c r="AH107" i="1"/>
  <c r="AI32" i="1"/>
  <c r="AH32" i="1"/>
  <c r="AI133" i="1"/>
  <c r="AH133" i="1"/>
  <c r="AI131" i="1"/>
  <c r="AH131" i="1"/>
  <c r="AI130" i="1"/>
  <c r="AH130" i="1"/>
  <c r="AI129" i="1"/>
  <c r="AH129" i="1"/>
  <c r="AI128" i="1"/>
  <c r="AH128" i="1"/>
  <c r="AI179" i="1"/>
  <c r="AH179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25" i="1"/>
  <c r="AH25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141" i="1"/>
  <c r="AH141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148" i="1"/>
  <c r="AH148" i="1"/>
  <c r="AI39" i="1"/>
  <c r="AH39" i="1"/>
  <c r="AO38" i="1"/>
  <c r="AI38" i="1"/>
  <c r="AH38" i="1"/>
  <c r="AO37" i="1"/>
  <c r="AI37" i="1"/>
  <c r="AH37" i="1"/>
  <c r="AO36" i="1"/>
  <c r="AI78" i="1"/>
  <c r="AH78" i="1"/>
  <c r="AO35" i="1"/>
  <c r="AI35" i="1"/>
  <c r="AH35" i="1"/>
  <c r="AO34" i="1"/>
  <c r="AI34" i="1"/>
  <c r="AH34" i="1"/>
  <c r="AO33" i="1"/>
  <c r="AI33" i="1"/>
  <c r="AH33" i="1"/>
  <c r="AO32" i="1"/>
  <c r="AI40" i="1"/>
  <c r="AH40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36" i="1"/>
  <c r="AH36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<sst xmlns="http://schemas.openxmlformats.org/spreadsheetml/2006/main" count="985" uniqueCount="432">
  <si>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</si>
  <si>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</si>
  <si>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</si>
  <si>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</si>
  <si>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</si>
  <si>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</si>
  <si>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</si>
  <si>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</si>
  <si>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</si>
  <si>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</si>
  <si>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</si>
  <si>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</si>
  <si>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</si>
  <si>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</si>
  <si>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</si>
  <si>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</si>
  <si>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</si>
  <si>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</si>
  <si>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</si>
  <si>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</si>
  <si>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</si>
  <si>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</si>
  <si>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</si>
  <si>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</si>
  <si>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</si>
  <si>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</si>
  <si>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</si>
  <si>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</si>
  <si>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</si>
  <si>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</si>
  <si>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</si>
  <si>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</si>
  <si>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</si>
  <si>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</si>
  <si>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</si>
  <si>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</si>
  <si>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</si>
  <si>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</si>
  <si>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</si>
  <si>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</si>
  <si>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</si>
  <si>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</si>
  <si>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</si>
  <si>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</si>
  <si>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</si>
  <si>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</si>
  <si>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</si>
  <si>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</si>
  <si>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</si>
  <si>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</si>
  <si>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</si>
  <si>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</si>
  <si>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</si>
  <si>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</si>
  <si>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</si>
  <si>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</si>
  <si>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</si>
  <si>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</si>
  <si>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</si>
  <si>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</si>
  <si>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</si>
  <si>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</si>
  <si>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</si>
  <si>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</si>
  <si>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</si>
  <si>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</si>
  <si>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</si>
  <si>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</si>
  <si>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</si>
  <si>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</si>
  <si>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</si>
  <si>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</si>
  <si>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</si>
  <si>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</si>
  <si>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</si>
  <si>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</si>
  <si>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</si>
  <si>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</si>
  <si>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</si>
  <si>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</si>
  <si>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</si>
  <si>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Pau</t>
  </si>
  <si>
    <t>Torres</t>
  </si>
  <si>
    <t>Morgan</t>
  </si>
  <si>
    <t>Rogers</t>
  </si>
  <si>
    <t>Youri</t>
  </si>
  <si>
    <t>Tielemans</t>
  </si>
  <si>
    <t>Ollie</t>
  </si>
  <si>
    <t>Watkins</t>
  </si>
  <si>
    <t>Ryan</t>
  </si>
  <si>
    <t>Christie</t>
  </si>
  <si>
    <t>Lewis</t>
  </si>
  <si>
    <t>Cook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</si>
  <si>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</si>
  <si>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</si>
  <si>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</si>
  <si>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</si>
  <si>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</si>
  <si>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</si>
  <si>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</si>
  <si>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</si>
  <si>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</si>
  <si>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</si>
  <si>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</si>
  <si>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</si>
  <si>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</si>
  <si>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</si>
  <si>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</si>
  <si>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</si>
  <si>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</si>
  <si>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</si>
  <si>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</si>
  <si>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</si>
  <si>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</si>
  <si>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</si>
  <si>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</si>
  <si>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</si>
  <si>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</si>
  <si>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</si>
  <si>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</si>
  <si>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</si>
  <si>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</si>
  <si>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</si>
  <si>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Mads</t>
  </si>
  <si>
    <t>Roerslev Rasmussen</t>
  </si>
  <si>
    <t>Roerslev</t>
  </si>
  <si>
    <t>Kevin</t>
  </si>
  <si>
    <t>Schade</t>
  </si>
  <si>
    <t>Yoane</t>
  </si>
  <si>
    <t>Wissa</t>
  </si>
  <si>
    <t>Carlos</t>
  </si>
  <si>
    <t>Baleba</t>
  </si>
  <si>
    <t>Dunk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</si>
  <si>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</si>
  <si>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</si>
  <si>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</si>
  <si>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</si>
  <si>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</si>
  <si>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</si>
  <si>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</si>
  <si>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</si>
  <si>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</si>
  <si>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</si>
  <si>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</si>
  <si>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</si>
  <si>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</si>
  <si>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</si>
  <si>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</si>
  <si>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</si>
  <si>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</si>
  <si>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</si>
  <si>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</si>
  <si>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</si>
  <si>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</si>
  <si>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</si>
  <si>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</si>
  <si>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</si>
  <si>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</si>
  <si>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</si>
  <si>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</si>
  <si>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</si>
  <si>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</si>
  <si>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</si>
  <si>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</si>
  <si>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</si>
  <si>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</si>
  <si>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</si>
  <si>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</si>
  <si>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</si>
  <si>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</si>
  <si>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</si>
  <si>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</si>
  <si>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</si>
  <si>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</si>
  <si>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</si>
  <si>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</si>
  <si>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</si>
  <si>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</si>
  <si>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</si>
  <si>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</si>
  <si>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</si>
  <si>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</si>
  <si>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</si>
  <si>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</si>
  <si>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</si>
  <si>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</si>
  <si>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</si>
  <si>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</si>
  <si>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</si>
  <si>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</si>
  <si>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</si>
  <si>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</si>
  <si>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</si>
  <si>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</si>
  <si>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</si>
  <si>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</si>
  <si>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</si>
  <si>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</si>
  <si>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</si>
  <si>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</si>
  <si>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</si>
  <si>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</si>
  <si>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</si>
  <si>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</si>
  <si>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</si>
  <si>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</si>
  <si>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</si>
  <si>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</si>
  <si>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</si>
  <si>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</si>
  <si>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</si>
  <si>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</si>
  <si>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</si>
  <si>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</si>
  <si>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</si>
  <si>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</si>
  <si>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</si>
  <si>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</si>
  <si>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</si>
  <si>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</si>
  <si>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Adama</t>
  </si>
  <si>
    <t>Traoré</t>
  </si>
  <si>
    <t>Andreas</t>
  </si>
  <si>
    <t>Hoelgebaum Pereira</t>
  </si>
  <si>
    <t>Calvin</t>
  </si>
  <si>
    <t>Bassey</t>
  </si>
  <si>
    <t>Tom</t>
  </si>
  <si>
    <t>Cairney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</si>
  <si>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</si>
  <si>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</si>
  <si>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</si>
  <si>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</si>
  <si>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</si>
  <si>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</si>
  <si>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</si>
  <si>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</si>
  <si>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</si>
  <si>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</si>
  <si>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</si>
  <si>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</si>
  <si>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</si>
  <si>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</si>
  <si>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</si>
  <si>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Arijanet</t>
  </si>
  <si>
    <t>Muric</t>
  </si>
  <si>
    <t>Dara</t>
  </si>
  <si>
    <t>O'Shea</t>
  </si>
  <si>
    <t>Facundo</t>
  </si>
  <si>
    <t>Buonanotte</t>
  </si>
  <si>
    <t>Ayew</t>
  </si>
  <si>
    <t>J.Ayew</t>
  </si>
  <si>
    <t>Wout</t>
  </si>
  <si>
    <t>Faes</t>
  </si>
  <si>
    <t>Victor</t>
  </si>
  <si>
    <t>Kristiansen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</si>
  <si>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</si>
  <si>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</si>
  <si>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</si>
  <si>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</si>
  <si>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</si>
  <si>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</si>
  <si>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</si>
  <si>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</si>
  <si>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</si>
  <si>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</si>
  <si>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</si>
  <si>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</si>
  <si>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</si>
  <si>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</si>
  <si>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</si>
  <si>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</si>
  <si>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</si>
  <si>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</si>
  <si>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</si>
  <si>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</si>
  <si>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</si>
  <si>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</si>
  <si>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</si>
  <si>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</si>
  <si>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</si>
  <si>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</si>
  <si>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</si>
  <si>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</si>
  <si>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</si>
  <si>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</si>
  <si>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</si>
  <si>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</si>
  <si>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</si>
  <si>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</si>
  <si>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</si>
  <si>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</si>
  <si>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</si>
  <si>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</si>
  <si>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</si>
  <si>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</si>
  <si>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</si>
  <si>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</si>
  <si>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</si>
  <si>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</si>
  <si>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</si>
  <si>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</si>
  <si>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</si>
  <si>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</si>
  <si>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</si>
  <si>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</si>
  <si>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</si>
  <si>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</si>
  <si>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</si>
  <si>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Kobbie</t>
  </si>
  <si>
    <t>Mainoo</t>
  </si>
  <si>
    <t>Lisandro</t>
  </si>
  <si>
    <t>Martínez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</si>
  <si>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</si>
  <si>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</si>
  <si>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</si>
  <si>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</si>
  <si>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</si>
  <si>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</si>
  <si>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</si>
  <si>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</si>
  <si>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</si>
  <si>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</si>
  <si>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</si>
  <si>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</si>
  <si>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</si>
  <si>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</si>
  <si>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</si>
  <si>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</si>
  <si>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</si>
  <si>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</si>
  <si>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</si>
  <si>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</si>
  <si>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</si>
  <si>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</si>
  <si>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</si>
  <si>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</si>
  <si>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</si>
  <si>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</si>
  <si>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</si>
  <si>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</si>
  <si>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</si>
  <si>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</si>
  <si>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</si>
  <si>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</si>
  <si>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</si>
  <si>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</si>
  <si>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</si>
  <si>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</si>
  <si>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</si>
  <si>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</si>
  <si>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</si>
  <si>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</si>
  <si>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</si>
  <si>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</si>
  <si>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</si>
  <si>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</si>
  <si>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</si>
  <si>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</si>
  <si>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</si>
  <si>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</si>
  <si>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</si>
  <si>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</si>
  <si>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</si>
  <si>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</si>
  <si>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Cameron</t>
  </si>
  <si>
    <t>Archer</t>
  </si>
  <si>
    <t>Armstrong</t>
  </si>
  <si>
    <t>Jan</t>
  </si>
  <si>
    <t>Bednarek</t>
  </si>
  <si>
    <t>Kyle</t>
  </si>
  <si>
    <t>Walker-Peters</t>
  </si>
  <si>
    <t>Flynn</t>
  </si>
  <si>
    <t>Downes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</si>
  <si>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</si>
  <si>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</si>
  <si>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</si>
  <si>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</si>
  <si>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</si>
  <si>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</si>
  <si>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</si>
  <si>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</si>
  <si>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</si>
  <si>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</si>
  <si>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</si>
  <si>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</si>
  <si>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</si>
  <si>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</si>
  <si>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</si>
  <si>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</si>
  <si>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</si>
  <si>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</si>
  <si>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</si>
  <si>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</si>
  <si>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</si>
  <si>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</si>
  <si>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</si>
  <si>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</si>
  <si>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</si>
  <si>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</si>
  <si>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</si>
  <si>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</si>
  <si>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</si>
  <si>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</si>
  <si>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</si>
  <si>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</si>
  <si>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</si>
  <si>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</si>
  <si>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</si>
  <si>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</si>
  <si>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</si>
  <si>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</si>
  <si>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</si>
  <si>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</si>
  <si>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</si>
  <si>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</si>
  <si>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</si>
  <si>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</si>
  <si>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</si>
  <si>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Tommy</t>
  </si>
  <si>
    <t>Doyle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</si>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</sst>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84" totalsRowShown="0">
  <autoFilter ref="A1:AL184" xr:uid="{00000000-0009-0000-0100-000001000000}">
    <filterColumn colId="37">
      <filters>
        <filter val="1"/>
      </filters>
    </filterColumn>
  </autoFilter>
  <sortState xmlns:xlrd2="http://schemas.microsoft.com/office/spreadsheetml/2017/richdata2" ref="A25:AL179">
    <sortCondition descending="1" ref="AI1:AI184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4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47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6.6</v>
      </c>
      <c r="AE2">
        <v>1</v>
      </c>
      <c r="AF2">
        <v>57.21311475409837</v>
      </c>
      <c r="AG2">
        <v>62.811823398586817</v>
      </c>
      <c r="AH2">
        <f>22.5539147782067*1</f>
        <v>22.5539147782067</v>
      </c>
      <c r="AI2">
        <f>1.53422702635825*1</f>
        <v>1.53422702635825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1210.4530479621121</v>
      </c>
      <c r="AP2" t="s">
        <v>1</v>
      </c>
    </row>
    <row r="3" spans="1:43" hidden="1" x14ac:dyDescent="0.2">
      <c r="A3" t="s">
        <v>45</v>
      </c>
      <c r="B3" t="s">
        <v>48</v>
      </c>
      <c r="C3" t="s">
        <v>45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6.4</v>
      </c>
      <c r="AE3">
        <v>2</v>
      </c>
      <c r="AF3">
        <v>59.666159585540683</v>
      </c>
      <c r="AG3">
        <v>57.171300598655151</v>
      </c>
      <c r="AH3">
        <f>43.9112709820553*1</f>
        <v>43.911270982055299</v>
      </c>
      <c r="AI3">
        <f>3.00676343652579*1</f>
        <v>3.00676343652579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7.8</v>
      </c>
      <c r="AE4">
        <v>3</v>
      </c>
      <c r="AF4">
        <v>57.652449798965691</v>
      </c>
      <c r="AG4">
        <v>55.106311879073083</v>
      </c>
      <c r="AH4">
        <f>42.3859917400302*1</f>
        <v>42.3859917400302</v>
      </c>
      <c r="AI4">
        <f>2.95738785708116*1</f>
        <v>2.95738785708116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94.899999999999991</v>
      </c>
      <c r="AP4">
        <v>102</v>
      </c>
    </row>
    <row r="5" spans="1:43" hidden="1" x14ac:dyDescent="0.2">
      <c r="A5" t="s">
        <v>45</v>
      </c>
      <c r="B5" t="s">
        <v>51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6.7</v>
      </c>
      <c r="AE5">
        <v>8</v>
      </c>
      <c r="AF5">
        <v>65.056179775280924</v>
      </c>
      <c r="AG5">
        <v>79.645108656386114</v>
      </c>
      <c r="AH5">
        <f>31.4012191020032*1</f>
        <v>31.4012191020032</v>
      </c>
      <c r="AI5">
        <f>2.04390537050932*1</f>
        <v>2.0439053705093202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55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11</v>
      </c>
      <c r="AF6">
        <v>60.687512013396507</v>
      </c>
      <c r="AG6">
        <v>58.910154298253488</v>
      </c>
      <c r="AH6">
        <f>38.0779829447813*1</f>
        <v>38.077982944781297</v>
      </c>
      <c r="AI6">
        <f>2.14172123452502*1</f>
        <v>2.1417212345250198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52.130932734343077</v>
      </c>
      <c r="AG7">
        <v>42.829068784942422</v>
      </c>
      <c r="AH7">
        <f>25.6088755139248*1</f>
        <v>25.608875513924801</v>
      </c>
      <c r="AI7">
        <f>1.71829733246018*1</f>
        <v>1.71829733246018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6.2</v>
      </c>
      <c r="AE8">
        <v>14</v>
      </c>
      <c r="AF8">
        <v>63.253012048192772</v>
      </c>
      <c r="AG8">
        <v>48.122763916123013</v>
      </c>
      <c r="AH8">
        <f>42.3207465702447*1</f>
        <v>42.320746570244701</v>
      </c>
      <c r="AI8">
        <f>2.8436539619476*1</f>
        <v>2.8436539619476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</v>
      </c>
      <c r="AE9">
        <v>15</v>
      </c>
      <c r="AF9">
        <v>36.108592782750648</v>
      </c>
      <c r="AG9">
        <v>30.4859612381285</v>
      </c>
      <c r="AH9">
        <f>29.3549091123901*1</f>
        <v>29.3549091123901</v>
      </c>
      <c r="AI9">
        <f>1.54010280837703*1</f>
        <v>1.5401028083770301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6.8</v>
      </c>
      <c r="AE10">
        <v>18</v>
      </c>
      <c r="AF10">
        <v>58.164893617021242</v>
      </c>
      <c r="AG10">
        <v>58.667889979438549</v>
      </c>
      <c r="AH10">
        <f>30.9918409657992*1</f>
        <v>30.991840965799199</v>
      </c>
      <c r="AI10">
        <f>2.15216168563975*1</f>
        <v>2.1521616856397499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6.2</v>
      </c>
      <c r="AE11">
        <v>35</v>
      </c>
      <c r="AF11">
        <v>47.163461538461512</v>
      </c>
      <c r="AG11">
        <v>56.451491153291208</v>
      </c>
      <c r="AH11">
        <f>23.9944859524447*1</f>
        <v>23.994485952444698</v>
      </c>
      <c r="AI11">
        <f>1.61854439301583*1</f>
        <v>1.6185443930158301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4.5999999999999996</v>
      </c>
      <c r="AE12">
        <v>43</v>
      </c>
      <c r="AF12">
        <v>37.94048094363287</v>
      </c>
      <c r="AG12">
        <v>49.976275399629991</v>
      </c>
      <c r="AH12">
        <f>23.0701088446133*1</f>
        <v>23.070108844613301</v>
      </c>
      <c r="AI12">
        <f>1.43648495813463*1</f>
        <v>1.43648495813463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70</v>
      </c>
      <c r="D13" t="s">
        <v>6</v>
      </c>
      <c r="E13">
        <v>0</v>
      </c>
      <c r="F13">
        <v>0</v>
      </c>
      <c r="G13">
        <v>0</v>
      </c>
      <c r="H13">
        <v>1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45</v>
      </c>
      <c r="AF13">
        <v>31.090909090909101</v>
      </c>
      <c r="AG13">
        <v>37.018092775668791</v>
      </c>
      <c r="AH13">
        <f>46.8125435762273*1</f>
        <v>46.812543576227299</v>
      </c>
      <c r="AI13">
        <f>2.9299964897638*1</f>
        <v>2.9299964897637998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71</v>
      </c>
      <c r="B14" t="s">
        <v>72</v>
      </c>
      <c r="C14" t="s">
        <v>73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51</v>
      </c>
      <c r="AF14">
        <v>41.207865168539328</v>
      </c>
      <c r="AG14">
        <v>42.519012894416697</v>
      </c>
      <c r="AH14">
        <f>21.7342715928344*1</f>
        <v>21.7342715928344</v>
      </c>
      <c r="AI14">
        <f>1.39394848455191*1</f>
        <v>1.3939484845519099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52</v>
      </c>
      <c r="AF15">
        <v>0</v>
      </c>
      <c r="AG15">
        <v>0</v>
      </c>
      <c r="AH15">
        <f>0*1</f>
        <v>0</v>
      </c>
      <c r="AI15">
        <f>0*1</f>
        <v>0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78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54</v>
      </c>
      <c r="AF16">
        <v>49.239130434782624</v>
      </c>
      <c r="AG16">
        <v>55.229460194077987</v>
      </c>
      <c r="AH16">
        <f>25.5510288844274*1</f>
        <v>25.551028884427399</v>
      </c>
      <c r="AI16">
        <f>1.60450673789971*1</f>
        <v>1.60450673789971</v>
      </c>
      <c r="AJ16">
        <v>1</v>
      </c>
      <c r="AK16">
        <v>0</v>
      </c>
      <c r="AL16">
        <v>0</v>
      </c>
    </row>
    <row r="17" spans="1:42" hidden="1" x14ac:dyDescent="0.2">
      <c r="A17" t="s">
        <v>79</v>
      </c>
      <c r="B17" t="s">
        <v>80</v>
      </c>
      <c r="C17" t="s">
        <v>80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5.2</v>
      </c>
      <c r="AE17">
        <v>55</v>
      </c>
      <c r="AF17">
        <v>44.254143646408828</v>
      </c>
      <c r="AG17">
        <v>45.729297098139241</v>
      </c>
      <c r="AH17">
        <f>22.6332790635178*1</f>
        <v>22.633279063517801</v>
      </c>
      <c r="AI17">
        <f>1.47197969859307*1</f>
        <v>1.47197969859307</v>
      </c>
      <c r="AJ17">
        <v>1</v>
      </c>
      <c r="AK17">
        <v>0</v>
      </c>
      <c r="AL17">
        <v>0</v>
      </c>
      <c r="AN17" t="s">
        <v>11</v>
      </c>
      <c r="AO17">
        <f>AO2-AO15*15</f>
        <v>1210.4530479621121</v>
      </c>
    </row>
    <row r="18" spans="1:42" hidden="1" x14ac:dyDescent="0.2">
      <c r="A18" t="s">
        <v>81</v>
      </c>
      <c r="B18" t="s">
        <v>82</v>
      </c>
      <c r="C18" t="s">
        <v>81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4.2</v>
      </c>
      <c r="AE18">
        <v>59</v>
      </c>
      <c r="AF18">
        <v>37.340425531914882</v>
      </c>
      <c r="AG18">
        <v>35.459973203367348</v>
      </c>
      <c r="AH18">
        <f>12.377580017922*1</f>
        <v>12.377580017922</v>
      </c>
      <c r="AI18">
        <f>0.854946604281591*1</f>
        <v>0.85494660428159097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84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61</v>
      </c>
      <c r="AF19">
        <v>0</v>
      </c>
      <c r="AG19">
        <v>0</v>
      </c>
      <c r="AH19">
        <f>0*1</f>
        <v>0</v>
      </c>
      <c r="AI19">
        <f>0*1</f>
        <v>0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 hidden="1" x14ac:dyDescent="0.2">
      <c r="A20" t="s">
        <v>85</v>
      </c>
      <c r="B20" t="s">
        <v>86</v>
      </c>
      <c r="C20" t="s">
        <v>86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5.5</v>
      </c>
      <c r="AE20">
        <v>64</v>
      </c>
      <c r="AF20">
        <v>41.112194920315673</v>
      </c>
      <c r="AG20">
        <v>51.431598443807758</v>
      </c>
      <c r="AH20">
        <f>24.1553768321153*1</f>
        <v>24.155376832115302</v>
      </c>
      <c r="AI20">
        <f>1.51539333359085*1</f>
        <v>1.51539333359085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87</v>
      </c>
      <c r="B21" t="s">
        <v>88</v>
      </c>
      <c r="C21" t="s">
        <v>88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8.9</v>
      </c>
      <c r="AE21">
        <v>65</v>
      </c>
      <c r="AF21">
        <v>72.147239263803669</v>
      </c>
      <c r="AG21">
        <v>66.083211872004</v>
      </c>
      <c r="AH21">
        <f>48.7290797562586*1</f>
        <v>48.729079756258599</v>
      </c>
      <c r="AI21">
        <f>3.26382409369813*1</f>
        <v>3.2638240936981302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2</v>
      </c>
      <c r="AP21">
        <v>3</v>
      </c>
    </row>
    <row r="22" spans="1:42" hidden="1" x14ac:dyDescent="0.2">
      <c r="A22" t="s">
        <v>89</v>
      </c>
      <c r="B22" t="s">
        <v>90</v>
      </c>
      <c r="C22" t="s">
        <v>90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4.9000000000000004</v>
      </c>
      <c r="AE22">
        <v>80</v>
      </c>
      <c r="AF22">
        <v>33.409090909090899</v>
      </c>
      <c r="AG22">
        <v>25.557213923092959</v>
      </c>
      <c r="AH22">
        <f>25.3875758450297*1</f>
        <v>25.387575845029701</v>
      </c>
      <c r="AI22">
        <f>1.75471398957841*1</f>
        <v>1.7547139895784101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3</v>
      </c>
      <c r="AP22">
        <v>3</v>
      </c>
    </row>
    <row r="23" spans="1:42" hidden="1" x14ac:dyDescent="0.2">
      <c r="A23" t="s">
        <v>91</v>
      </c>
      <c r="B23" t="s">
        <v>92</v>
      </c>
      <c r="C23" t="s">
        <v>92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81</v>
      </c>
      <c r="AF23">
        <v>34.616999215805777</v>
      </c>
      <c r="AG23">
        <v>25.265780577671791</v>
      </c>
      <c r="AH23">
        <f>35.0702871451908*1</f>
        <v>35.070287145190797</v>
      </c>
      <c r="AI23">
        <f>2.39874908723801*1</f>
        <v>2.3987490872380102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93</v>
      </c>
      <c r="B24" t="s">
        <v>94</v>
      </c>
      <c r="C24" t="s">
        <v>95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5.4</v>
      </c>
      <c r="AE24">
        <v>82</v>
      </c>
      <c r="AF24">
        <v>0</v>
      </c>
      <c r="AG24">
        <v>0</v>
      </c>
      <c r="AH24">
        <f>0*1</f>
        <v>0</v>
      </c>
      <c r="AI24">
        <f>0*1</f>
        <v>0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x14ac:dyDescent="0.2">
      <c r="A25" t="s">
        <v>270</v>
      </c>
      <c r="B25" t="s">
        <v>271</v>
      </c>
      <c r="C25" t="s">
        <v>272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23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13.7</v>
      </c>
      <c r="AE25">
        <v>435</v>
      </c>
      <c r="AF25">
        <v>114.34666666666659</v>
      </c>
      <c r="AG25">
        <v>114.9027110689767</v>
      </c>
      <c r="AH25">
        <f>109.408590562584*1</f>
        <v>109.408590562584</v>
      </c>
      <c r="AI25">
        <f>13.4566501675682*1</f>
        <v>13.456650167568201</v>
      </c>
      <c r="AJ25">
        <v>1</v>
      </c>
      <c r="AK25">
        <v>1</v>
      </c>
      <c r="AL25">
        <v>1</v>
      </c>
      <c r="AN25" t="s">
        <v>18</v>
      </c>
      <c r="AO25">
        <f>SUMPRODUCT(Table1[Selected],Table1[CRY])</f>
        <v>0</v>
      </c>
      <c r="AP25">
        <v>3</v>
      </c>
    </row>
    <row r="26" spans="1:42" x14ac:dyDescent="0.2">
      <c r="A26" t="s">
        <v>98</v>
      </c>
      <c r="B26" t="s">
        <v>99</v>
      </c>
      <c r="C26" t="s">
        <v>99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5.7</v>
      </c>
      <c r="AE26">
        <v>88</v>
      </c>
      <c r="AF26">
        <v>135.86835841490381</v>
      </c>
      <c r="AG26">
        <v>41.070485931086239</v>
      </c>
      <c r="AH26">
        <f>145.728518789995*1</f>
        <v>145.72851878999501</v>
      </c>
      <c r="AI26">
        <f>9.83280338137576*1</f>
        <v>9.8328033813757596</v>
      </c>
      <c r="AJ26">
        <v>1</v>
      </c>
      <c r="AK26">
        <v>1</v>
      </c>
      <c r="AL26">
        <v>1</v>
      </c>
      <c r="AN26" t="s">
        <v>19</v>
      </c>
      <c r="AO26">
        <f>SUMPRODUCT(Table1[Selected],Table1[EVE])</f>
        <v>2</v>
      </c>
      <c r="AP26">
        <v>3</v>
      </c>
    </row>
    <row r="27" spans="1:42" hidden="1" x14ac:dyDescent="0.2">
      <c r="A27" t="s">
        <v>100</v>
      </c>
      <c r="B27" t="s">
        <v>101</v>
      </c>
      <c r="C27" t="s">
        <v>102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90</v>
      </c>
      <c r="AF27">
        <v>103.219858449746</v>
      </c>
      <c r="AG27">
        <v>27.93844616355544</v>
      </c>
      <c r="AH27">
        <f>125.385387726511*1</f>
        <v>125.385387726511</v>
      </c>
      <c r="AI27">
        <f>1.91467889139001*1</f>
        <v>1.9146788913900099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103</v>
      </c>
      <c r="B28" t="s">
        <v>104</v>
      </c>
      <c r="C28" t="s">
        <v>104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5.6</v>
      </c>
      <c r="AE28">
        <v>94</v>
      </c>
      <c r="AF28">
        <v>73.072857125664669</v>
      </c>
      <c r="AG28">
        <v>40.414831781352397</v>
      </c>
      <c r="AH28">
        <f>42.7642405113626*1</f>
        <v>42.764240511362601</v>
      </c>
      <c r="AI28">
        <f>2.92785107478023*1</f>
        <v>2.92785107478023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105</v>
      </c>
      <c r="B29" t="s">
        <v>106</v>
      </c>
      <c r="C29" t="s">
        <v>106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4.4000000000000004</v>
      </c>
      <c r="AE29">
        <v>97</v>
      </c>
      <c r="AF29">
        <v>35.7421875</v>
      </c>
      <c r="AG29">
        <v>31.211735809411341</v>
      </c>
      <c r="AH29">
        <f>26.6017445679832*1</f>
        <v>26.6017445679832</v>
      </c>
      <c r="AI29">
        <f>1.81896333534877*1</f>
        <v>1.81896333534877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107</v>
      </c>
      <c r="B30" t="s">
        <v>108</v>
      </c>
      <c r="C30" t="s">
        <v>108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14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4.4000000000000004</v>
      </c>
      <c r="AE30">
        <v>100</v>
      </c>
      <c r="AF30">
        <v>36.428571428571423</v>
      </c>
      <c r="AG30">
        <v>31.850032762768649</v>
      </c>
      <c r="AH30">
        <f>29.889732931426*1</f>
        <v>29.889732931426</v>
      </c>
      <c r="AI30">
        <f>2.0873467068457*1</f>
        <v>2.0873467068456999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109</v>
      </c>
      <c r="B31" t="s">
        <v>110</v>
      </c>
      <c r="C31" t="s">
        <v>110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119</v>
      </c>
      <c r="AF31">
        <v>39.030612244897952</v>
      </c>
      <c r="AG31">
        <v>35.754714928906893</v>
      </c>
      <c r="AH31">
        <f>33.1811944753518*1</f>
        <v>33.181194475351802</v>
      </c>
      <c r="AI31">
        <f>2.17938624186153*1</f>
        <v>2.17938624186153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x14ac:dyDescent="0.2">
      <c r="A32" t="s">
        <v>323</v>
      </c>
      <c r="B32" t="s">
        <v>324</v>
      </c>
      <c r="C32" t="s">
        <v>324</v>
      </c>
      <c r="D32" t="s">
        <v>6</v>
      </c>
      <c r="E32">
        <v>0</v>
      </c>
      <c r="F32">
        <v>0</v>
      </c>
      <c r="G32">
        <v>0</v>
      </c>
      <c r="H32">
        <v>1</v>
      </c>
      <c r="I32" t="s">
        <v>26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9.5</v>
      </c>
      <c r="AE32">
        <v>535</v>
      </c>
      <c r="AF32">
        <v>116.951849544716</v>
      </c>
      <c r="AG32">
        <v>77.006003303227018</v>
      </c>
      <c r="AH32">
        <f>119.235521888044*1</f>
        <v>119.235521888044</v>
      </c>
      <c r="AI32">
        <f>7.69627372164479*1</f>
        <v>7.6962737216447898</v>
      </c>
      <c r="AJ32">
        <v>1</v>
      </c>
      <c r="AK32">
        <v>1</v>
      </c>
      <c r="AL32">
        <v>1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113</v>
      </c>
      <c r="B33" t="s">
        <v>114</v>
      </c>
      <c r="C33" t="s">
        <v>114</v>
      </c>
      <c r="D33" t="s">
        <v>3</v>
      </c>
      <c r="E33">
        <v>1</v>
      </c>
      <c r="F33">
        <v>0</v>
      </c>
      <c r="G33">
        <v>0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122</v>
      </c>
      <c r="AF33">
        <v>47.796610169491522</v>
      </c>
      <c r="AG33">
        <v>47.649883902085683</v>
      </c>
      <c r="AH33">
        <f>16.141337916185*1</f>
        <v>16.141337916185002</v>
      </c>
      <c r="AI33">
        <f>1.08564237929002*1</f>
        <v>1.0856423792900201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3</v>
      </c>
      <c r="AP33">
        <v>3</v>
      </c>
    </row>
    <row r="34" spans="1:42" hidden="1" x14ac:dyDescent="0.2">
      <c r="A34" t="s">
        <v>115</v>
      </c>
      <c r="B34" t="s">
        <v>116</v>
      </c>
      <c r="C34" t="s">
        <v>116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4.9000000000000004</v>
      </c>
      <c r="AE34">
        <v>125</v>
      </c>
      <c r="AF34">
        <v>39.221311475409827</v>
      </c>
      <c r="AG34">
        <v>37.081125522330353</v>
      </c>
      <c r="AH34">
        <f>25.120280698716*1</f>
        <v>25.120280698716002</v>
      </c>
      <c r="AI34">
        <f>1.72408837319777*1</f>
        <v>1.7240883731977701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2</v>
      </c>
      <c r="AP34">
        <v>3</v>
      </c>
    </row>
    <row r="35" spans="1:42" hidden="1" x14ac:dyDescent="0.2">
      <c r="A35" t="s">
        <v>117</v>
      </c>
      <c r="B35" t="s">
        <v>118</v>
      </c>
      <c r="C35" t="s">
        <v>118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129</v>
      </c>
      <c r="AF35">
        <v>35.564516129032249</v>
      </c>
      <c r="AG35">
        <v>31.378889283031821</v>
      </c>
      <c r="AH35">
        <f>31.962758564687*1</f>
        <v>31.962758564687</v>
      </c>
      <c r="AI35">
        <f>2.17724358480357*1</f>
        <v>2.1772435848035698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x14ac:dyDescent="0.2">
      <c r="A36" t="s">
        <v>96</v>
      </c>
      <c r="B36" t="s">
        <v>97</v>
      </c>
      <c r="C36" t="s">
        <v>97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14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4.9000000000000004</v>
      </c>
      <c r="AE36">
        <v>87</v>
      </c>
      <c r="AF36">
        <v>79.022239376093395</v>
      </c>
      <c r="AG36">
        <v>35.639210930742223</v>
      </c>
      <c r="AH36">
        <f>111.162608682214*1</f>
        <v>111.162608682214</v>
      </c>
      <c r="AI36">
        <f>7.24594922460712*1</f>
        <v>7.24594922460712</v>
      </c>
      <c r="AJ36">
        <v>1</v>
      </c>
      <c r="AK36">
        <v>1</v>
      </c>
      <c r="AL36">
        <v>1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121</v>
      </c>
      <c r="B37" t="s">
        <v>122</v>
      </c>
      <c r="C37" t="s">
        <v>122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4.8</v>
      </c>
      <c r="AE37">
        <v>132</v>
      </c>
      <c r="AF37">
        <v>41.796116504854368</v>
      </c>
      <c r="AG37">
        <v>42.889106386885047</v>
      </c>
      <c r="AH37">
        <f>22.5843417840633*1</f>
        <v>22.584341784063302</v>
      </c>
      <c r="AI37">
        <f>1.51182114446985*1</f>
        <v>1.5118211444698499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123</v>
      </c>
      <c r="B38" t="s">
        <v>124</v>
      </c>
      <c r="C38" t="s">
        <v>125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4.3</v>
      </c>
      <c r="AE38">
        <v>136</v>
      </c>
      <c r="AF38">
        <v>29.688361612748391</v>
      </c>
      <c r="AG38">
        <v>31.515638506265201</v>
      </c>
      <c r="AH38">
        <f>18.9027910001197*1</f>
        <v>18.902791000119699</v>
      </c>
      <c r="AI38">
        <f>1.43153343148804*1</f>
        <v>1.4315334314880399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126</v>
      </c>
      <c r="B39" t="s">
        <v>127</v>
      </c>
      <c r="C39" t="s">
        <v>127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5.0999999999999996</v>
      </c>
      <c r="AE39">
        <v>137</v>
      </c>
      <c r="AF39">
        <v>42.35294117647058</v>
      </c>
      <c r="AG39">
        <v>31.733517230683859</v>
      </c>
      <c r="AH39">
        <f>31.3311604683512*1</f>
        <v>31.3311604683512</v>
      </c>
      <c r="AI39">
        <f>2.04175109725577*1</f>
        <v>2.0417510972557702</v>
      </c>
      <c r="AJ39">
        <v>1</v>
      </c>
      <c r="AK39">
        <v>0</v>
      </c>
      <c r="AL39">
        <v>0</v>
      </c>
    </row>
    <row r="40" spans="1:42" x14ac:dyDescent="0.2">
      <c r="A40" t="s">
        <v>111</v>
      </c>
      <c r="B40" t="s">
        <v>112</v>
      </c>
      <c r="C40" t="s">
        <v>112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120</v>
      </c>
      <c r="AF40">
        <v>61.166780344298047</v>
      </c>
      <c r="AG40">
        <v>26.788217329999281</v>
      </c>
      <c r="AH40">
        <f>89.0841404264056*1</f>
        <v>89.084140426405597</v>
      </c>
      <c r="AI40">
        <f>6.63080094142404*1</f>
        <v>6.6308009414240399</v>
      </c>
      <c r="AJ40">
        <v>1</v>
      </c>
      <c r="AK40">
        <v>1</v>
      </c>
      <c r="AL40">
        <v>1</v>
      </c>
    </row>
    <row r="41" spans="1:42" hidden="1" x14ac:dyDescent="0.2">
      <c r="A41" t="s">
        <v>130</v>
      </c>
      <c r="B41" t="s">
        <v>131</v>
      </c>
      <c r="C41" t="s">
        <v>131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155</v>
      </c>
      <c r="AF41">
        <v>0</v>
      </c>
      <c r="AG41">
        <v>0</v>
      </c>
      <c r="AH41">
        <f>0*1</f>
        <v>0</v>
      </c>
      <c r="AI41">
        <f>0*1</f>
        <v>0</v>
      </c>
      <c r="AJ41">
        <v>1</v>
      </c>
      <c r="AK41">
        <v>0</v>
      </c>
      <c r="AL41">
        <v>0</v>
      </c>
    </row>
    <row r="42" spans="1:42" hidden="1" x14ac:dyDescent="0.2">
      <c r="A42" t="s">
        <v>91</v>
      </c>
      <c r="B42" t="s">
        <v>132</v>
      </c>
      <c r="C42" t="s">
        <v>132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4.3</v>
      </c>
      <c r="AE42">
        <v>159</v>
      </c>
      <c r="AF42">
        <v>46.285714285714263</v>
      </c>
      <c r="AG42">
        <v>52.354239689809248</v>
      </c>
      <c r="AH42">
        <f>21.4364717041693*1</f>
        <v>21.4364717041693</v>
      </c>
      <c r="AI42">
        <f>1.31459598429887*1</f>
        <v>1.3145959842988699</v>
      </c>
      <c r="AJ42">
        <v>1</v>
      </c>
      <c r="AK42">
        <v>0</v>
      </c>
      <c r="AL42">
        <v>0</v>
      </c>
    </row>
    <row r="43" spans="1:42" hidden="1" x14ac:dyDescent="0.2">
      <c r="A43" t="s">
        <v>133</v>
      </c>
      <c r="B43" t="s">
        <v>134</v>
      </c>
      <c r="C43" t="s">
        <v>135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</v>
      </c>
      <c r="AE43">
        <v>160</v>
      </c>
      <c r="AF43">
        <v>43.025019479482452</v>
      </c>
      <c r="AG43">
        <v>51.412079197035453</v>
      </c>
      <c r="AH43">
        <f>16.6209831365205*1</f>
        <v>16.620983136520501</v>
      </c>
      <c r="AI43">
        <f>0.880656397050984*1</f>
        <v>0.88065639705098397</v>
      </c>
      <c r="AJ43">
        <v>1</v>
      </c>
      <c r="AK43">
        <v>0</v>
      </c>
      <c r="AL43">
        <v>0</v>
      </c>
    </row>
    <row r="44" spans="1:42" hidden="1" x14ac:dyDescent="0.2">
      <c r="A44" t="s">
        <v>136</v>
      </c>
      <c r="B44" t="s">
        <v>137</v>
      </c>
      <c r="C44" t="s">
        <v>136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5.5</v>
      </c>
      <c r="AE44">
        <v>167</v>
      </c>
      <c r="AF44">
        <v>62.439350250350287</v>
      </c>
      <c r="AG44">
        <v>39.628835913386887</v>
      </c>
      <c r="AH44">
        <f>57.9789670960888*1</f>
        <v>57.978967096088802</v>
      </c>
      <c r="AI44">
        <f>4.5833193197161*1</f>
        <v>4.5833193197161002</v>
      </c>
      <c r="AJ44">
        <v>1</v>
      </c>
      <c r="AK44">
        <v>0</v>
      </c>
      <c r="AL44">
        <v>0</v>
      </c>
    </row>
    <row r="45" spans="1:42" hidden="1" x14ac:dyDescent="0.2">
      <c r="A45" t="s">
        <v>138</v>
      </c>
      <c r="B45" t="s">
        <v>139</v>
      </c>
      <c r="C45" t="s">
        <v>140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182</v>
      </c>
      <c r="AF45">
        <v>32.142857142857139</v>
      </c>
      <c r="AG45">
        <v>25.23730912952821</v>
      </c>
      <c r="AH45">
        <f>22.649345693334*1</f>
        <v>22.649345693333998</v>
      </c>
      <c r="AI45">
        <f>1.5266550748094*1</f>
        <v>1.5266550748094001</v>
      </c>
      <c r="AJ45">
        <v>1</v>
      </c>
      <c r="AK45">
        <v>0</v>
      </c>
      <c r="AL45">
        <v>0</v>
      </c>
    </row>
    <row r="46" spans="1:42" hidden="1" x14ac:dyDescent="0.2">
      <c r="A46" t="s">
        <v>141</v>
      </c>
      <c r="B46" t="s">
        <v>142</v>
      </c>
      <c r="C46" t="s">
        <v>142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4.4000000000000004</v>
      </c>
      <c r="AE46">
        <v>183</v>
      </c>
      <c r="AF46">
        <v>42.576923076923052</v>
      </c>
      <c r="AG46">
        <v>37.706935989203323</v>
      </c>
      <c r="AH46">
        <f>24.2914443888495*1</f>
        <v>24.291444388849499</v>
      </c>
      <c r="AI46">
        <f>1.56109568810197*1</f>
        <v>1.56109568810197</v>
      </c>
      <c r="AJ46">
        <v>1</v>
      </c>
      <c r="AK46">
        <v>0</v>
      </c>
      <c r="AL46">
        <v>0</v>
      </c>
    </row>
    <row r="47" spans="1:42" hidden="1" x14ac:dyDescent="0.2">
      <c r="A47" t="s">
        <v>143</v>
      </c>
      <c r="B47" t="s">
        <v>144</v>
      </c>
      <c r="C47" t="s">
        <v>144</v>
      </c>
      <c r="D47" t="s">
        <v>3</v>
      </c>
      <c r="E47">
        <v>1</v>
      </c>
      <c r="F47">
        <v>0</v>
      </c>
      <c r="G47">
        <v>0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</v>
      </c>
      <c r="AE47">
        <v>184</v>
      </c>
      <c r="AF47">
        <v>0</v>
      </c>
      <c r="AG47">
        <v>0</v>
      </c>
      <c r="AH47">
        <f>0*1</f>
        <v>0</v>
      </c>
      <c r="AI47">
        <f>0*1</f>
        <v>0</v>
      </c>
      <c r="AJ47">
        <v>1</v>
      </c>
      <c r="AK47">
        <v>0</v>
      </c>
      <c r="AL47">
        <v>0</v>
      </c>
    </row>
    <row r="48" spans="1:42" hidden="1" x14ac:dyDescent="0.2">
      <c r="A48" t="s">
        <v>145</v>
      </c>
      <c r="B48" t="s">
        <v>146</v>
      </c>
      <c r="C48" t="s">
        <v>146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5.5</v>
      </c>
      <c r="AE48">
        <v>186</v>
      </c>
      <c r="AF48">
        <v>47.03658980177039</v>
      </c>
      <c r="AG48">
        <v>39.023846099060641</v>
      </c>
      <c r="AH48">
        <f>37.0877592472675*1</f>
        <v>37.087759247267499</v>
      </c>
      <c r="AI48">
        <f>2.40942006231943*1</f>
        <v>2.40942006231943</v>
      </c>
      <c r="AJ48">
        <v>1</v>
      </c>
      <c r="AK48">
        <v>0</v>
      </c>
      <c r="AL48">
        <v>0</v>
      </c>
    </row>
    <row r="49" spans="1:38" hidden="1" x14ac:dyDescent="0.2">
      <c r="A49" t="s">
        <v>147</v>
      </c>
      <c r="B49" t="s">
        <v>148</v>
      </c>
      <c r="C49" t="s">
        <v>147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5.0999999999999996</v>
      </c>
      <c r="AE49">
        <v>192</v>
      </c>
      <c r="AF49">
        <v>0</v>
      </c>
      <c r="AG49">
        <v>0</v>
      </c>
      <c r="AH49">
        <f>0*1</f>
        <v>0</v>
      </c>
      <c r="AI49">
        <f>0*1</f>
        <v>0</v>
      </c>
      <c r="AJ49">
        <v>1</v>
      </c>
      <c r="AK49">
        <v>0</v>
      </c>
      <c r="AL49">
        <v>0</v>
      </c>
    </row>
    <row r="50" spans="1:38" hidden="1" x14ac:dyDescent="0.2">
      <c r="A50" t="s">
        <v>149</v>
      </c>
      <c r="B50" t="s">
        <v>150</v>
      </c>
      <c r="C50" t="s">
        <v>151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4.9000000000000004</v>
      </c>
      <c r="AE50">
        <v>206</v>
      </c>
      <c r="AF50">
        <v>34.62323968853044</v>
      </c>
      <c r="AG50">
        <v>31.347033213574651</v>
      </c>
      <c r="AH50">
        <f>29.0758114773424*1</f>
        <v>29.075811477342398</v>
      </c>
      <c r="AI50">
        <f>1.85932151626386*1</f>
        <v>1.8593215162638601</v>
      </c>
      <c r="AJ50">
        <v>1</v>
      </c>
      <c r="AK50">
        <v>0</v>
      </c>
      <c r="AL50">
        <v>0</v>
      </c>
    </row>
    <row r="51" spans="1:38" hidden="1" x14ac:dyDescent="0.2">
      <c r="A51" t="s">
        <v>152</v>
      </c>
      <c r="B51" t="s">
        <v>153</v>
      </c>
      <c r="C51" t="s">
        <v>153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</v>
      </c>
      <c r="AE51">
        <v>211</v>
      </c>
      <c r="AF51">
        <v>38.000000000000007</v>
      </c>
      <c r="AG51">
        <v>45.687949128447578</v>
      </c>
      <c r="AH51">
        <f>18.9268840984137*1</f>
        <v>18.926884098413701</v>
      </c>
      <c r="AI51">
        <f>1.12950787495203*1</f>
        <v>1.12950787495203</v>
      </c>
      <c r="AJ51">
        <v>1</v>
      </c>
      <c r="AK51">
        <v>0</v>
      </c>
      <c r="AL51">
        <v>0</v>
      </c>
    </row>
    <row r="52" spans="1:38" hidden="1" x14ac:dyDescent="0.2">
      <c r="A52" t="s">
        <v>154</v>
      </c>
      <c r="B52" t="s">
        <v>155</v>
      </c>
      <c r="C52" t="s">
        <v>156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5.0999999999999996</v>
      </c>
      <c r="AE52">
        <v>212</v>
      </c>
      <c r="AF52">
        <v>39.43548387096773</v>
      </c>
      <c r="AG52">
        <v>37.018593170532569</v>
      </c>
      <c r="AH52">
        <f>28.59102914905*1</f>
        <v>28.591029149050001</v>
      </c>
      <c r="AI52">
        <f>1.85340070173146*1</f>
        <v>1.85340070173146</v>
      </c>
      <c r="AJ52">
        <v>1</v>
      </c>
      <c r="AK52">
        <v>0</v>
      </c>
      <c r="AL52">
        <v>0</v>
      </c>
    </row>
    <row r="53" spans="1:38" hidden="1" x14ac:dyDescent="0.2">
      <c r="A53" t="s">
        <v>157</v>
      </c>
      <c r="B53" t="s">
        <v>158</v>
      </c>
      <c r="C53" t="s">
        <v>157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217</v>
      </c>
      <c r="AF53">
        <v>42.753512931737248</v>
      </c>
      <c r="AG53">
        <v>29.49434565731109</v>
      </c>
      <c r="AH53">
        <f>41.2921299808643*1</f>
        <v>41.292129980864303</v>
      </c>
      <c r="AI53">
        <f>2.50382232032031*1</f>
        <v>2.5038223203203098</v>
      </c>
      <c r="AJ53">
        <v>1</v>
      </c>
      <c r="AK53">
        <v>0</v>
      </c>
      <c r="AL53">
        <v>0</v>
      </c>
    </row>
    <row r="54" spans="1:38" hidden="1" x14ac:dyDescent="0.2">
      <c r="A54" t="s">
        <v>159</v>
      </c>
      <c r="B54" t="s">
        <v>160</v>
      </c>
      <c r="C54" t="s">
        <v>160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4.9000000000000004</v>
      </c>
      <c r="AE54">
        <v>220</v>
      </c>
      <c r="AF54">
        <v>0</v>
      </c>
      <c r="AG54">
        <v>0</v>
      </c>
      <c r="AH54">
        <f>0*1</f>
        <v>0</v>
      </c>
      <c r="AI54">
        <f>0*1</f>
        <v>0</v>
      </c>
      <c r="AJ54">
        <v>1</v>
      </c>
      <c r="AK54">
        <v>0</v>
      </c>
      <c r="AL54">
        <v>0</v>
      </c>
    </row>
    <row r="55" spans="1:38" hidden="1" x14ac:dyDescent="0.2">
      <c r="A55" t="s">
        <v>161</v>
      </c>
      <c r="B55" t="s">
        <v>162</v>
      </c>
      <c r="C55" t="s">
        <v>162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6.1</v>
      </c>
      <c r="AE55">
        <v>226</v>
      </c>
      <c r="AF55">
        <v>52.35849056603773</v>
      </c>
      <c r="AG55">
        <v>52.494343903663612</v>
      </c>
      <c r="AH55">
        <f>62.6176369403293*1</f>
        <v>62.617636940329298</v>
      </c>
      <c r="AI55">
        <f>4.00073394162524*1</f>
        <v>4.0007339416252403</v>
      </c>
      <c r="AJ55">
        <v>1</v>
      </c>
      <c r="AK55">
        <v>0</v>
      </c>
      <c r="AL55">
        <v>0</v>
      </c>
    </row>
    <row r="56" spans="1:38" hidden="1" x14ac:dyDescent="0.2">
      <c r="A56" t="s">
        <v>163</v>
      </c>
      <c r="B56" t="s">
        <v>164</v>
      </c>
      <c r="C56" t="s">
        <v>165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7.8</v>
      </c>
      <c r="AE56">
        <v>229</v>
      </c>
      <c r="AF56">
        <v>67.560274312101228</v>
      </c>
      <c r="AG56">
        <v>70.894706426329805</v>
      </c>
      <c r="AH56">
        <f>54.1787811436646*1</f>
        <v>54.178781143664601</v>
      </c>
      <c r="AI56">
        <f>4.29272874750411*1</f>
        <v>4.2927287475041096</v>
      </c>
      <c r="AJ56">
        <v>1</v>
      </c>
      <c r="AK56">
        <v>0</v>
      </c>
      <c r="AL56">
        <v>0</v>
      </c>
    </row>
    <row r="57" spans="1:38" hidden="1" x14ac:dyDescent="0.2">
      <c r="A57" t="s">
        <v>166</v>
      </c>
      <c r="B57" t="s">
        <v>167</v>
      </c>
      <c r="C57" t="s">
        <v>167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5.7</v>
      </c>
      <c r="AE57">
        <v>230</v>
      </c>
      <c r="AF57">
        <v>0</v>
      </c>
      <c r="AG57">
        <v>0</v>
      </c>
      <c r="AH57">
        <f>0*1</f>
        <v>0</v>
      </c>
      <c r="AI57">
        <f>0*1</f>
        <v>0</v>
      </c>
      <c r="AJ57">
        <v>1</v>
      </c>
      <c r="AK57">
        <v>0</v>
      </c>
      <c r="AL57">
        <v>0</v>
      </c>
    </row>
    <row r="58" spans="1:38" hidden="1" x14ac:dyDescent="0.2">
      <c r="A58" t="s">
        <v>168</v>
      </c>
      <c r="B58" t="s">
        <v>169</v>
      </c>
      <c r="C58" t="s">
        <v>169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11.3</v>
      </c>
      <c r="AE58">
        <v>231</v>
      </c>
      <c r="AF58">
        <v>93.954258813955533</v>
      </c>
      <c r="AG58">
        <v>115.7398455768796</v>
      </c>
      <c r="AH58">
        <f>72.4663251242737*1</f>
        <v>72.466325124273695</v>
      </c>
      <c r="AI58">
        <f>4.79095826774307*1</f>
        <v>4.7909582677430702</v>
      </c>
      <c r="AJ58">
        <v>1</v>
      </c>
      <c r="AK58">
        <v>0</v>
      </c>
      <c r="AL58">
        <v>0</v>
      </c>
    </row>
    <row r="59" spans="1:38" hidden="1" x14ac:dyDescent="0.2">
      <c r="A59" t="s">
        <v>170</v>
      </c>
      <c r="B59" t="s">
        <v>171</v>
      </c>
      <c r="C59" t="s">
        <v>171</v>
      </c>
      <c r="D59" t="s">
        <v>3</v>
      </c>
      <c r="E59">
        <v>1</v>
      </c>
      <c r="F59">
        <v>0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4.7</v>
      </c>
      <c r="AE59">
        <v>234</v>
      </c>
      <c r="AF59">
        <v>53.124999999999972</v>
      </c>
      <c r="AG59">
        <v>53.021245463919321</v>
      </c>
      <c r="AH59">
        <f>32.4518224883938*1</f>
        <v>32.451822488393802</v>
      </c>
      <c r="AI59">
        <f>2.13378229904822*1</f>
        <v>2.13378229904822</v>
      </c>
      <c r="AJ59">
        <v>1</v>
      </c>
      <c r="AK59">
        <v>0</v>
      </c>
      <c r="AL59">
        <v>0</v>
      </c>
    </row>
    <row r="60" spans="1:38" hidden="1" x14ac:dyDescent="0.2">
      <c r="A60" t="s">
        <v>172</v>
      </c>
      <c r="B60" t="s">
        <v>173</v>
      </c>
      <c r="C60" t="s">
        <v>173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6.2</v>
      </c>
      <c r="AE60">
        <v>237</v>
      </c>
      <c r="AF60">
        <v>50.785714285714278</v>
      </c>
      <c r="AG60">
        <v>61.071891215061292</v>
      </c>
      <c r="AH60">
        <f>39.3585339993728*1</f>
        <v>39.358533999372803</v>
      </c>
      <c r="AI60">
        <f>2.56054612663181*1</f>
        <v>2.5605461266318099</v>
      </c>
      <c r="AJ60">
        <v>1</v>
      </c>
      <c r="AK60">
        <v>0</v>
      </c>
      <c r="AL60">
        <v>0</v>
      </c>
    </row>
    <row r="61" spans="1:38" hidden="1" x14ac:dyDescent="0.2">
      <c r="A61" t="s">
        <v>174</v>
      </c>
      <c r="B61" t="s">
        <v>175</v>
      </c>
      <c r="C61" t="s">
        <v>176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6.2</v>
      </c>
      <c r="AE61">
        <v>238</v>
      </c>
      <c r="AF61">
        <v>38.114473439268806</v>
      </c>
      <c r="AG61">
        <v>54.090551784399707</v>
      </c>
      <c r="AH61">
        <f>20.2704468532086*1</f>
        <v>20.2704468532086</v>
      </c>
      <c r="AI61">
        <f>1.29433667241564*1</f>
        <v>1.29433667241564</v>
      </c>
      <c r="AJ61">
        <v>1</v>
      </c>
      <c r="AK61">
        <v>0</v>
      </c>
      <c r="AL61">
        <v>0</v>
      </c>
    </row>
    <row r="62" spans="1:38" hidden="1" x14ac:dyDescent="0.2">
      <c r="A62" t="s">
        <v>177</v>
      </c>
      <c r="B62" t="s">
        <v>178</v>
      </c>
      <c r="C62" t="s">
        <v>178</v>
      </c>
      <c r="D62" t="s">
        <v>6</v>
      </c>
      <c r="E62">
        <v>0</v>
      </c>
      <c r="F62">
        <v>0</v>
      </c>
      <c r="G62">
        <v>0</v>
      </c>
      <c r="H62">
        <v>1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5.9</v>
      </c>
      <c r="AE62">
        <v>246</v>
      </c>
      <c r="AF62">
        <v>32.708333333333307</v>
      </c>
      <c r="AG62">
        <v>44.084823425350123</v>
      </c>
      <c r="AH62">
        <f>11.9071339206926*1</f>
        <v>11.907133920692599</v>
      </c>
      <c r="AI62">
        <f>0.767949858720542*1</f>
        <v>0.767949858720542</v>
      </c>
      <c r="AJ62">
        <v>1</v>
      </c>
      <c r="AK62">
        <v>0</v>
      </c>
      <c r="AL62">
        <v>0</v>
      </c>
    </row>
    <row r="63" spans="1:38" hidden="1" x14ac:dyDescent="0.2">
      <c r="A63" t="s">
        <v>179</v>
      </c>
      <c r="B63" t="s">
        <v>180</v>
      </c>
      <c r="C63" t="s">
        <v>180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6.7</v>
      </c>
      <c r="AE63">
        <v>253</v>
      </c>
      <c r="AF63">
        <v>59.040000000000028</v>
      </c>
      <c r="AG63">
        <v>54.994240020149427</v>
      </c>
      <c r="AH63">
        <f>52.7099177853292*1</f>
        <v>52.709917785329203</v>
      </c>
      <c r="AI63">
        <f>3.55403064574622*1</f>
        <v>3.5540306457462201</v>
      </c>
      <c r="AJ63">
        <v>1</v>
      </c>
      <c r="AK63">
        <v>0</v>
      </c>
      <c r="AL63">
        <v>0</v>
      </c>
    </row>
    <row r="64" spans="1:38" hidden="1" x14ac:dyDescent="0.2">
      <c r="A64" t="s">
        <v>154</v>
      </c>
      <c r="B64" t="s">
        <v>181</v>
      </c>
      <c r="C64" t="s">
        <v>181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4.5999999999999996</v>
      </c>
      <c r="AE64">
        <v>254</v>
      </c>
      <c r="AF64">
        <v>45.25862068965516</v>
      </c>
      <c r="AG64">
        <v>37.44671907083481</v>
      </c>
      <c r="AH64">
        <f>31.4593008031163*1</f>
        <v>31.4593008031163</v>
      </c>
      <c r="AI64">
        <f>2.02349268786519*1</f>
        <v>2.0234926878651902</v>
      </c>
      <c r="AJ64">
        <v>1</v>
      </c>
      <c r="AK64">
        <v>0</v>
      </c>
      <c r="AL64">
        <v>0</v>
      </c>
    </row>
    <row r="65" spans="1:38" hidden="1" x14ac:dyDescent="0.2">
      <c r="A65" t="s">
        <v>182</v>
      </c>
      <c r="B65" t="s">
        <v>183</v>
      </c>
      <c r="C65" t="s">
        <v>183</v>
      </c>
      <c r="D65" t="s">
        <v>3</v>
      </c>
      <c r="E65">
        <v>1</v>
      </c>
      <c r="F65">
        <v>0</v>
      </c>
      <c r="G65">
        <v>0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255</v>
      </c>
      <c r="AF65">
        <v>57.285714285714249</v>
      </c>
      <c r="AG65">
        <v>61.76602288749573</v>
      </c>
      <c r="AH65">
        <f>24.6096572032374*1</f>
        <v>24.609657203237401</v>
      </c>
      <c r="AI65">
        <f>1.58735671120586*1</f>
        <v>1.58735671120586</v>
      </c>
      <c r="AJ65">
        <v>1</v>
      </c>
      <c r="AK65">
        <v>0</v>
      </c>
      <c r="AL65">
        <v>0</v>
      </c>
    </row>
    <row r="66" spans="1:38" hidden="1" x14ac:dyDescent="0.2">
      <c r="A66" t="s">
        <v>184</v>
      </c>
      <c r="B66" t="s">
        <v>185</v>
      </c>
      <c r="C66" t="s">
        <v>185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4.9000000000000004</v>
      </c>
      <c r="AE66">
        <v>257</v>
      </c>
      <c r="AF66">
        <v>31.88741721854305</v>
      </c>
      <c r="AG66">
        <v>31.358999380190539</v>
      </c>
      <c r="AH66">
        <f>20.0660419452047*1</f>
        <v>20.066041945204699</v>
      </c>
      <c r="AI66">
        <f>1.33493719497699*1</f>
        <v>1.3349371949769899</v>
      </c>
      <c r="AJ66">
        <v>1</v>
      </c>
      <c r="AK66">
        <v>0</v>
      </c>
      <c r="AL66">
        <v>0</v>
      </c>
    </row>
    <row r="67" spans="1:38" hidden="1" x14ac:dyDescent="0.2">
      <c r="A67" t="s">
        <v>186</v>
      </c>
      <c r="B67" t="s">
        <v>187</v>
      </c>
      <c r="C67" t="s">
        <v>188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4.8</v>
      </c>
      <c r="AE67">
        <v>259</v>
      </c>
      <c r="AF67">
        <v>29.73674644936753</v>
      </c>
      <c r="AG67">
        <v>35.979396296452101</v>
      </c>
      <c r="AH67">
        <f>12.5799122026148*1</f>
        <v>12.5799122026148</v>
      </c>
      <c r="AI67">
        <f>0.810756400828621*1</f>
        <v>0.81075640082862099</v>
      </c>
      <c r="AJ67">
        <v>1</v>
      </c>
      <c r="AK67">
        <v>0</v>
      </c>
      <c r="AL67">
        <v>0</v>
      </c>
    </row>
    <row r="68" spans="1:38" hidden="1" x14ac:dyDescent="0.2">
      <c r="A68" t="s">
        <v>189</v>
      </c>
      <c r="B68" t="s">
        <v>190</v>
      </c>
      <c r="C68" t="s">
        <v>190</v>
      </c>
      <c r="D68" t="s">
        <v>6</v>
      </c>
      <c r="E68">
        <v>0</v>
      </c>
      <c r="F68">
        <v>0</v>
      </c>
      <c r="G68">
        <v>0</v>
      </c>
      <c r="H68">
        <v>1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7.4</v>
      </c>
      <c r="AE68">
        <v>260</v>
      </c>
      <c r="AF68">
        <v>71.165568416967517</v>
      </c>
      <c r="AG68">
        <v>45.51019472774621</v>
      </c>
      <c r="AH68">
        <f>33.8812501630942*1</f>
        <v>33.881250163094201</v>
      </c>
      <c r="AI68">
        <f>2.2921939531098*1</f>
        <v>2.2921939531098001</v>
      </c>
      <c r="AJ68">
        <v>1</v>
      </c>
      <c r="AK68">
        <v>0</v>
      </c>
      <c r="AL68">
        <v>0</v>
      </c>
    </row>
    <row r="69" spans="1:38" hidden="1" x14ac:dyDescent="0.2">
      <c r="A69" t="s">
        <v>191</v>
      </c>
      <c r="B69" t="s">
        <v>192</v>
      </c>
      <c r="C69" t="s">
        <v>192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4.8</v>
      </c>
      <c r="AE69">
        <v>263</v>
      </c>
      <c r="AF69">
        <v>44.453320468529057</v>
      </c>
      <c r="AG69">
        <v>43.30266324025353</v>
      </c>
      <c r="AH69">
        <f>30.182566867315*1</f>
        <v>30.182566867315</v>
      </c>
      <c r="AI69">
        <f>1.88545486116819*1</f>
        <v>1.8854548611681901</v>
      </c>
      <c r="AJ69">
        <v>1</v>
      </c>
      <c r="AK69">
        <v>0</v>
      </c>
      <c r="AL69">
        <v>0</v>
      </c>
    </row>
    <row r="70" spans="1:38" hidden="1" x14ac:dyDescent="0.2">
      <c r="A70" t="s">
        <v>193</v>
      </c>
      <c r="B70" t="s">
        <v>194</v>
      </c>
      <c r="C70" t="s">
        <v>194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4.8</v>
      </c>
      <c r="AE70">
        <v>264</v>
      </c>
      <c r="AF70">
        <v>0</v>
      </c>
      <c r="AG70">
        <v>0</v>
      </c>
      <c r="AH70">
        <f>0*1</f>
        <v>0</v>
      </c>
      <c r="AI70">
        <f>0*1</f>
        <v>0</v>
      </c>
      <c r="AJ70">
        <v>1</v>
      </c>
      <c r="AK70">
        <v>0</v>
      </c>
      <c r="AL70">
        <v>0</v>
      </c>
    </row>
    <row r="71" spans="1:38" hidden="1" x14ac:dyDescent="0.2">
      <c r="A71" t="s">
        <v>195</v>
      </c>
      <c r="B71" t="s">
        <v>196</v>
      </c>
      <c r="C71" t="s">
        <v>197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5.7</v>
      </c>
      <c r="AE71">
        <v>271</v>
      </c>
      <c r="AF71">
        <v>53.925619769119841</v>
      </c>
      <c r="AG71">
        <v>46.935546603917828</v>
      </c>
      <c r="AH71">
        <f>25.0359101341529*1</f>
        <v>25.0359101341529</v>
      </c>
      <c r="AI71">
        <f>1.63434435870013*1</f>
        <v>1.6343443587001301</v>
      </c>
      <c r="AJ71">
        <v>1</v>
      </c>
      <c r="AK71">
        <v>0</v>
      </c>
      <c r="AL71">
        <v>0</v>
      </c>
    </row>
    <row r="72" spans="1:38" hidden="1" x14ac:dyDescent="0.2">
      <c r="A72" t="s">
        <v>198</v>
      </c>
      <c r="B72" t="s">
        <v>199</v>
      </c>
      <c r="C72" t="s">
        <v>200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5.0999999999999996</v>
      </c>
      <c r="AE72">
        <v>282</v>
      </c>
      <c r="AF72">
        <v>49.212121212121218</v>
      </c>
      <c r="AG72">
        <v>53.261031540149247</v>
      </c>
      <c r="AH72">
        <f>26.8986607906829*1</f>
        <v>26.8986607906829</v>
      </c>
      <c r="AI72">
        <f>3.35769792302155*1</f>
        <v>3.3576979230215498</v>
      </c>
      <c r="AJ72">
        <v>1</v>
      </c>
      <c r="AK72">
        <v>0</v>
      </c>
      <c r="AL72">
        <v>0</v>
      </c>
    </row>
    <row r="73" spans="1:38" hidden="1" x14ac:dyDescent="0.2">
      <c r="A73" t="s">
        <v>201</v>
      </c>
      <c r="B73" t="s">
        <v>202</v>
      </c>
      <c r="C73" t="s">
        <v>202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5.4</v>
      </c>
      <c r="AE73">
        <v>285</v>
      </c>
      <c r="AF73">
        <v>53.002979135512462</v>
      </c>
      <c r="AG73">
        <v>58.5038493245642</v>
      </c>
      <c r="AH73">
        <f>24.6466441928974*1</f>
        <v>24.646644192897401</v>
      </c>
      <c r="AI73">
        <f>2.80413162011781*1</f>
        <v>2.8041316201178099</v>
      </c>
      <c r="AJ73">
        <v>1</v>
      </c>
      <c r="AK73">
        <v>0</v>
      </c>
      <c r="AL73">
        <v>0</v>
      </c>
    </row>
    <row r="74" spans="1:38" hidden="1" x14ac:dyDescent="0.2">
      <c r="A74" t="s">
        <v>203</v>
      </c>
      <c r="B74" t="s">
        <v>204</v>
      </c>
      <c r="C74" t="s">
        <v>205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287</v>
      </c>
      <c r="AF74">
        <v>37.236363636363627</v>
      </c>
      <c r="AG74">
        <v>29.97499293636838</v>
      </c>
      <c r="AH74">
        <f>33.6781076253263*1</f>
        <v>33.678107625326298</v>
      </c>
      <c r="AI74">
        <f>4.19574816504807*1</f>
        <v>4.1957481650480704</v>
      </c>
      <c r="AJ74">
        <v>1</v>
      </c>
      <c r="AK74">
        <v>0</v>
      </c>
      <c r="AL74">
        <v>0</v>
      </c>
    </row>
    <row r="75" spans="1:38" hidden="1" x14ac:dyDescent="0.2">
      <c r="A75" t="s">
        <v>206</v>
      </c>
      <c r="B75" t="s">
        <v>207</v>
      </c>
      <c r="C75" t="s">
        <v>207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5.2</v>
      </c>
      <c r="AE75">
        <v>289</v>
      </c>
      <c r="AF75">
        <v>57.03401360544219</v>
      </c>
      <c r="AG75">
        <v>58.906291406157031</v>
      </c>
      <c r="AH75">
        <f>16.9000672831133*1</f>
        <v>16.900067283113302</v>
      </c>
      <c r="AI75">
        <f>2.09506021233741*1</f>
        <v>2.09506021233741</v>
      </c>
      <c r="AJ75">
        <v>1</v>
      </c>
      <c r="AK75">
        <v>0</v>
      </c>
      <c r="AL75">
        <v>0</v>
      </c>
    </row>
    <row r="76" spans="1:38" hidden="1" x14ac:dyDescent="0.2">
      <c r="A76" t="s">
        <v>208</v>
      </c>
      <c r="B76" t="s">
        <v>209</v>
      </c>
      <c r="C76" t="s">
        <v>209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4.4000000000000004</v>
      </c>
      <c r="AE76">
        <v>296</v>
      </c>
      <c r="AF76">
        <v>48.013981867589749</v>
      </c>
      <c r="AG76">
        <v>43.085200645722637</v>
      </c>
      <c r="AH76">
        <f>24.7832763336025*1</f>
        <v>24.783276333602501</v>
      </c>
      <c r="AI76">
        <f>3.19679959231946*1</f>
        <v>3.1967995923194601</v>
      </c>
      <c r="AJ76">
        <v>1</v>
      </c>
      <c r="AK76">
        <v>0</v>
      </c>
      <c r="AL76">
        <v>0</v>
      </c>
    </row>
    <row r="77" spans="1:38" x14ac:dyDescent="0.2">
      <c r="A77" t="s">
        <v>210</v>
      </c>
      <c r="B77" t="s">
        <v>211</v>
      </c>
      <c r="C77" t="s">
        <v>211</v>
      </c>
      <c r="D77" t="s">
        <v>3</v>
      </c>
      <c r="E77">
        <v>1</v>
      </c>
      <c r="F77">
        <v>0</v>
      </c>
      <c r="G77">
        <v>0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5.0999999999999996</v>
      </c>
      <c r="AE77">
        <v>299</v>
      </c>
      <c r="AF77">
        <v>58.666666666666622</v>
      </c>
      <c r="AG77">
        <v>58.940090013586072</v>
      </c>
      <c r="AH77">
        <f>49.1526575957439*1</f>
        <v>49.152657595743896</v>
      </c>
      <c r="AI77">
        <f>6.10588495116217*1</f>
        <v>6.10588495116217</v>
      </c>
      <c r="AJ77">
        <v>1</v>
      </c>
      <c r="AK77">
        <v>1</v>
      </c>
      <c r="AL77">
        <v>1</v>
      </c>
    </row>
    <row r="78" spans="1:38" x14ac:dyDescent="0.2">
      <c r="A78" t="s">
        <v>119</v>
      </c>
      <c r="B78" t="s">
        <v>120</v>
      </c>
      <c r="C78" t="s">
        <v>120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15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7.8</v>
      </c>
      <c r="AE78">
        <v>130</v>
      </c>
      <c r="AF78">
        <v>86.518113726691141</v>
      </c>
      <c r="AG78">
        <v>56.598579494734622</v>
      </c>
      <c r="AH78">
        <f>90.4681019891707*1</f>
        <v>90.468101989170705</v>
      </c>
      <c r="AI78">
        <f>5.9866971769906*1</f>
        <v>5.9866971769906003</v>
      </c>
      <c r="AJ78">
        <v>1</v>
      </c>
      <c r="AK78">
        <v>1</v>
      </c>
      <c r="AL78">
        <v>1</v>
      </c>
    </row>
    <row r="79" spans="1:38" hidden="1" x14ac:dyDescent="0.2">
      <c r="A79" t="s">
        <v>214</v>
      </c>
      <c r="B79" t="s">
        <v>215</v>
      </c>
      <c r="C79" t="s">
        <v>215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4.5999999999999996</v>
      </c>
      <c r="AE79">
        <v>302</v>
      </c>
      <c r="AF79">
        <v>41.485714285714273</v>
      </c>
      <c r="AG79">
        <v>36.066063121405037</v>
      </c>
      <c r="AH79">
        <f>41.752589151228*1</f>
        <v>41.752589151228001</v>
      </c>
      <c r="AI79">
        <f>5.15897385513178*1</f>
        <v>5.1589738551317801</v>
      </c>
      <c r="AJ79">
        <v>1</v>
      </c>
      <c r="AK79">
        <v>0</v>
      </c>
      <c r="AL79">
        <v>0</v>
      </c>
    </row>
    <row r="80" spans="1:38" hidden="1" x14ac:dyDescent="0.2">
      <c r="A80" t="s">
        <v>216</v>
      </c>
      <c r="B80" t="s">
        <v>217</v>
      </c>
      <c r="C80" t="s">
        <v>217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</v>
      </c>
      <c r="AE80">
        <v>309</v>
      </c>
      <c r="AF80">
        <v>31.261538461538471</v>
      </c>
      <c r="AG80">
        <v>27.14551847745647</v>
      </c>
      <c r="AH80">
        <f>23.8935138889564*1</f>
        <v>23.893513888956399</v>
      </c>
      <c r="AI80">
        <f>2.98444477403644*1</f>
        <v>2.9844447740364402</v>
      </c>
      <c r="AJ80">
        <v>1</v>
      </c>
      <c r="AK80">
        <v>0</v>
      </c>
      <c r="AL80">
        <v>0</v>
      </c>
    </row>
    <row r="81" spans="1:38" hidden="1" x14ac:dyDescent="0.2">
      <c r="A81" t="s">
        <v>218</v>
      </c>
      <c r="B81" t="s">
        <v>219</v>
      </c>
      <c r="C81" t="s">
        <v>219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5.2</v>
      </c>
      <c r="AE81">
        <v>314</v>
      </c>
      <c r="AF81">
        <v>48.402061855670091</v>
      </c>
      <c r="AG81">
        <v>46.400506321553202</v>
      </c>
      <c r="AH81">
        <f>27.5954644779985*1</f>
        <v>27.595464477998501</v>
      </c>
      <c r="AI81">
        <f>1.77570322766416*1</f>
        <v>1.77570322766416</v>
      </c>
      <c r="AJ81">
        <v>1</v>
      </c>
      <c r="AK81">
        <v>0</v>
      </c>
      <c r="AL81">
        <v>0</v>
      </c>
    </row>
    <row r="82" spans="1:38" hidden="1" x14ac:dyDescent="0.2">
      <c r="A82" t="s">
        <v>220</v>
      </c>
      <c r="B82" t="s">
        <v>221</v>
      </c>
      <c r="C82" t="s">
        <v>220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4.7</v>
      </c>
      <c r="AE82">
        <v>316</v>
      </c>
      <c r="AF82">
        <v>27.424129763783672</v>
      </c>
      <c r="AG82">
        <v>39.845896750944434</v>
      </c>
      <c r="AH82">
        <f>19.3161654975733*1</f>
        <v>19.316165497573301</v>
      </c>
      <c r="AI82">
        <f>1.24000252100576*1</f>
        <v>1.2400025210057599</v>
      </c>
      <c r="AJ82">
        <v>1</v>
      </c>
      <c r="AK82">
        <v>0</v>
      </c>
      <c r="AL82">
        <v>0</v>
      </c>
    </row>
    <row r="83" spans="1:38" hidden="1" x14ac:dyDescent="0.2">
      <c r="A83" t="s">
        <v>222</v>
      </c>
      <c r="B83" t="s">
        <v>223</v>
      </c>
      <c r="C83" t="s">
        <v>222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317</v>
      </c>
      <c r="AF83">
        <v>50.561797752808992</v>
      </c>
      <c r="AG83">
        <v>53.705603203540718</v>
      </c>
      <c r="AH83">
        <f>27.8446265259472*1</f>
        <v>27.844626525947199</v>
      </c>
      <c r="AI83">
        <f>1.82813659633457*1</f>
        <v>1.8281365963345699</v>
      </c>
      <c r="AJ83">
        <v>1</v>
      </c>
      <c r="AK83">
        <v>0</v>
      </c>
      <c r="AL83">
        <v>0</v>
      </c>
    </row>
    <row r="84" spans="1:38" hidden="1" x14ac:dyDescent="0.2">
      <c r="A84" t="s">
        <v>224</v>
      </c>
      <c r="B84" t="s">
        <v>225</v>
      </c>
      <c r="C84" t="s">
        <v>225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</v>
      </c>
      <c r="AE84">
        <v>318</v>
      </c>
      <c r="AF84">
        <v>32.796178612111973</v>
      </c>
      <c r="AG84">
        <v>33.199622122437198</v>
      </c>
      <c r="AH84">
        <f>21.7153791505917*1</f>
        <v>21.715379150591701</v>
      </c>
      <c r="AI84">
        <f>0.98486906148297*1</f>
        <v>0.98486906148297004</v>
      </c>
      <c r="AJ84">
        <v>1</v>
      </c>
      <c r="AK84">
        <v>0</v>
      </c>
      <c r="AL84">
        <v>0</v>
      </c>
    </row>
    <row r="85" spans="1:38" hidden="1" x14ac:dyDescent="0.2">
      <c r="A85" t="s">
        <v>226</v>
      </c>
      <c r="B85" t="s">
        <v>227</v>
      </c>
      <c r="C85" t="s">
        <v>227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4.8</v>
      </c>
      <c r="AE85">
        <v>320</v>
      </c>
      <c r="AF85">
        <v>28.98708408821204</v>
      </c>
      <c r="AG85">
        <v>31.768167444892448</v>
      </c>
      <c r="AH85">
        <f>11.8574384596902*1</f>
        <v>11.857438459690201</v>
      </c>
      <c r="AI85">
        <f>0.72832271626443*1</f>
        <v>0.72832271626443001</v>
      </c>
      <c r="AJ85">
        <v>1</v>
      </c>
      <c r="AK85">
        <v>0</v>
      </c>
      <c r="AL85">
        <v>0</v>
      </c>
    </row>
    <row r="86" spans="1:38" hidden="1" x14ac:dyDescent="0.2">
      <c r="A86" t="s">
        <v>228</v>
      </c>
      <c r="B86" t="s">
        <v>229</v>
      </c>
      <c r="C86" t="s">
        <v>229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5.8</v>
      </c>
      <c r="AE86">
        <v>324</v>
      </c>
      <c r="AF86">
        <v>59.125236059246298</v>
      </c>
      <c r="AG86">
        <v>40.932379675883453</v>
      </c>
      <c r="AH86">
        <f>62.6452067599118*1</f>
        <v>62.645206759911801</v>
      </c>
      <c r="AI86">
        <f>4.41163666830274*1</f>
        <v>4.4116366683027399</v>
      </c>
      <c r="AJ86">
        <v>1</v>
      </c>
      <c r="AK86">
        <v>0</v>
      </c>
      <c r="AL86">
        <v>0</v>
      </c>
    </row>
    <row r="87" spans="1:38" hidden="1" x14ac:dyDescent="0.2">
      <c r="A87" t="s">
        <v>230</v>
      </c>
      <c r="B87" t="s">
        <v>231</v>
      </c>
      <c r="C87" t="s">
        <v>231</v>
      </c>
      <c r="D87" t="s">
        <v>3</v>
      </c>
      <c r="E87">
        <v>1</v>
      </c>
      <c r="F87">
        <v>0</v>
      </c>
      <c r="G87">
        <v>0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</v>
      </c>
      <c r="AE87">
        <v>325</v>
      </c>
      <c r="AF87">
        <v>53.471998037778619</v>
      </c>
      <c r="AG87">
        <v>52.469219987036787</v>
      </c>
      <c r="AH87">
        <f>31.2963597005805*1</f>
        <v>31.296359700580499</v>
      </c>
      <c r="AI87">
        <f>2.17328754583258*1</f>
        <v>2.1732875458325802</v>
      </c>
      <c r="AJ87">
        <v>1</v>
      </c>
      <c r="AK87">
        <v>0</v>
      </c>
      <c r="AL87">
        <v>0</v>
      </c>
    </row>
    <row r="88" spans="1:38" hidden="1" x14ac:dyDescent="0.2">
      <c r="A88" t="s">
        <v>232</v>
      </c>
      <c r="B88" t="s">
        <v>233</v>
      </c>
      <c r="C88" t="s">
        <v>233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4.8</v>
      </c>
      <c r="AE88">
        <v>326</v>
      </c>
      <c r="AF88">
        <v>0</v>
      </c>
      <c r="AG88">
        <v>0</v>
      </c>
      <c r="AH88">
        <f>0*1</f>
        <v>0</v>
      </c>
      <c r="AI88">
        <f>0*1</f>
        <v>0</v>
      </c>
      <c r="AJ88">
        <v>1</v>
      </c>
      <c r="AK88">
        <v>0</v>
      </c>
      <c r="AL88">
        <v>0</v>
      </c>
    </row>
    <row r="89" spans="1:38" hidden="1" x14ac:dyDescent="0.2">
      <c r="A89" t="s">
        <v>234</v>
      </c>
      <c r="B89" t="s">
        <v>235</v>
      </c>
      <c r="C89" t="s">
        <v>236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5.5</v>
      </c>
      <c r="AE89">
        <v>328</v>
      </c>
      <c r="AF89">
        <v>42.660384424259611</v>
      </c>
      <c r="AG89">
        <v>58.955187578017792</v>
      </c>
      <c r="AH89">
        <f>12.7253290876526*1</f>
        <v>12.7253290876526</v>
      </c>
      <c r="AI89">
        <f>0.691134585745999*1</f>
        <v>0.69113458574599895</v>
      </c>
      <c r="AJ89">
        <v>1</v>
      </c>
      <c r="AK89">
        <v>0</v>
      </c>
      <c r="AL89">
        <v>0</v>
      </c>
    </row>
    <row r="90" spans="1:38" hidden="1" x14ac:dyDescent="0.2">
      <c r="A90" t="s">
        <v>237</v>
      </c>
      <c r="B90" t="s">
        <v>238</v>
      </c>
      <c r="C90" t="s">
        <v>237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5.6</v>
      </c>
      <c r="AE90">
        <v>329</v>
      </c>
      <c r="AF90">
        <v>59.0046149566762</v>
      </c>
      <c r="AG90">
        <v>66.101443652537043</v>
      </c>
      <c r="AH90">
        <f>42.7348819255048*1</f>
        <v>42.734881925504801</v>
      </c>
      <c r="AI90">
        <f>3.08041472356543*1</f>
        <v>3.08041472356543</v>
      </c>
      <c r="AJ90">
        <v>1</v>
      </c>
      <c r="AK90">
        <v>0</v>
      </c>
      <c r="AL90">
        <v>0</v>
      </c>
    </row>
    <row r="91" spans="1:38" hidden="1" x14ac:dyDescent="0.2">
      <c r="A91" t="s">
        <v>239</v>
      </c>
      <c r="B91" t="s">
        <v>240</v>
      </c>
      <c r="C91" t="s">
        <v>240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5.0999999999999996</v>
      </c>
      <c r="AE91">
        <v>332</v>
      </c>
      <c r="AF91">
        <v>49.053981581102313</v>
      </c>
      <c r="AG91">
        <v>35.678505775966109</v>
      </c>
      <c r="AH91">
        <f>53.7940800079738*1</f>
        <v>53.794080007973797</v>
      </c>
      <c r="AI91">
        <f>3.72104945970082*1</f>
        <v>3.7210494597008199</v>
      </c>
      <c r="AJ91">
        <v>1</v>
      </c>
      <c r="AK91">
        <v>0</v>
      </c>
      <c r="AL91">
        <v>0</v>
      </c>
    </row>
    <row r="92" spans="1:38" hidden="1" x14ac:dyDescent="0.2">
      <c r="A92" t="s">
        <v>241</v>
      </c>
      <c r="B92" t="s">
        <v>242</v>
      </c>
      <c r="C92" t="s">
        <v>242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5.2</v>
      </c>
      <c r="AE92">
        <v>336</v>
      </c>
      <c r="AF92">
        <v>41.517857142857153</v>
      </c>
      <c r="AG92">
        <v>33.559607242826729</v>
      </c>
      <c r="AH92">
        <f>40.1434390605886*1</f>
        <v>40.143439060588598</v>
      </c>
      <c r="AI92">
        <f>2.65467208342334*1</f>
        <v>2.6546720834233399</v>
      </c>
      <c r="AJ92">
        <v>1</v>
      </c>
      <c r="AK92">
        <v>0</v>
      </c>
      <c r="AL92">
        <v>0</v>
      </c>
    </row>
    <row r="93" spans="1:38" hidden="1" x14ac:dyDescent="0.2">
      <c r="A93" t="s">
        <v>243</v>
      </c>
      <c r="B93" t="s">
        <v>244</v>
      </c>
      <c r="C93" t="s">
        <v>244</v>
      </c>
      <c r="D93" t="s">
        <v>3</v>
      </c>
      <c r="E93">
        <v>1</v>
      </c>
      <c r="F93">
        <v>0</v>
      </c>
      <c r="G93">
        <v>0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4.4000000000000004</v>
      </c>
      <c r="AE93">
        <v>371</v>
      </c>
      <c r="AF93">
        <v>0</v>
      </c>
      <c r="AG93">
        <v>0</v>
      </c>
      <c r="AH93">
        <f>0*1</f>
        <v>0</v>
      </c>
      <c r="AI93">
        <f>0*1</f>
        <v>0</v>
      </c>
      <c r="AJ93">
        <v>1</v>
      </c>
      <c r="AK93">
        <v>0</v>
      </c>
      <c r="AL93">
        <v>0</v>
      </c>
    </row>
    <row r="94" spans="1:38" hidden="1" x14ac:dyDescent="0.2">
      <c r="A94" t="s">
        <v>245</v>
      </c>
      <c r="B94" t="s">
        <v>246</v>
      </c>
      <c r="C94" t="s">
        <v>246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</v>
      </c>
      <c r="AE94">
        <v>376</v>
      </c>
      <c r="AF94">
        <v>24.683544303797461</v>
      </c>
      <c r="AG94">
        <v>25.695658551086531</v>
      </c>
      <c r="AH94">
        <f>14.7493401270565*1</f>
        <v>14.749340127056501</v>
      </c>
      <c r="AI94">
        <f>0.933564817227922*1</f>
        <v>0.93356481722792195</v>
      </c>
      <c r="AJ94">
        <v>1</v>
      </c>
      <c r="AK94">
        <v>0</v>
      </c>
      <c r="AL94">
        <v>0</v>
      </c>
    </row>
    <row r="95" spans="1:38" hidden="1" x14ac:dyDescent="0.2">
      <c r="A95" t="s">
        <v>247</v>
      </c>
      <c r="B95" t="s">
        <v>248</v>
      </c>
      <c r="C95" t="s">
        <v>248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4.7</v>
      </c>
      <c r="AE95">
        <v>381</v>
      </c>
      <c r="AF95">
        <v>36.696428571428562</v>
      </c>
      <c r="AG95">
        <v>46.702860933686722</v>
      </c>
      <c r="AH95">
        <f>26.7773705761141*1</f>
        <v>26.777370576114102</v>
      </c>
      <c r="AI95">
        <f>1.73146129222981*1</f>
        <v>1.73146129222981</v>
      </c>
      <c r="AJ95">
        <v>1</v>
      </c>
      <c r="AK95">
        <v>0</v>
      </c>
      <c r="AL95">
        <v>0</v>
      </c>
    </row>
    <row r="96" spans="1:38" hidden="1" x14ac:dyDescent="0.2">
      <c r="A96" t="s">
        <v>210</v>
      </c>
      <c r="B96" t="s">
        <v>249</v>
      </c>
      <c r="C96" t="s">
        <v>250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5.2</v>
      </c>
      <c r="AE96">
        <v>382</v>
      </c>
      <c r="AF96">
        <v>41.626794258373216</v>
      </c>
      <c r="AG96">
        <v>39.015311572266732</v>
      </c>
      <c r="AH96">
        <f>23.9030402841302*1</f>
        <v>23.903040284130199</v>
      </c>
      <c r="AI96">
        <f>1.59016527317583*1</f>
        <v>1.59016527317583</v>
      </c>
      <c r="AJ96">
        <v>1</v>
      </c>
      <c r="AK96">
        <v>0</v>
      </c>
      <c r="AL96">
        <v>0</v>
      </c>
    </row>
    <row r="97" spans="1:38" hidden="1" x14ac:dyDescent="0.2">
      <c r="A97" t="s">
        <v>251</v>
      </c>
      <c r="B97" t="s">
        <v>252</v>
      </c>
      <c r="C97" t="s">
        <v>252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3.9</v>
      </c>
      <c r="AE97">
        <v>390</v>
      </c>
      <c r="AF97">
        <v>32.100000000000009</v>
      </c>
      <c r="AG97">
        <v>20.652878674950141</v>
      </c>
      <c r="AH97">
        <f>20.3700619408062*1</f>
        <v>20.370061940806199</v>
      </c>
      <c r="AI97">
        <f>1.34544321369268*1</f>
        <v>1.3454432136926799</v>
      </c>
      <c r="AJ97">
        <v>1</v>
      </c>
      <c r="AK97">
        <v>0</v>
      </c>
      <c r="AL97">
        <v>0</v>
      </c>
    </row>
    <row r="98" spans="1:38" hidden="1" x14ac:dyDescent="0.2">
      <c r="A98" t="s">
        <v>253</v>
      </c>
      <c r="B98" t="s">
        <v>254</v>
      </c>
      <c r="C98" t="s">
        <v>254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4.5</v>
      </c>
      <c r="AE98">
        <v>395</v>
      </c>
      <c r="AF98">
        <v>0</v>
      </c>
      <c r="AG98">
        <v>0</v>
      </c>
      <c r="AH98">
        <f>0*1</f>
        <v>0</v>
      </c>
      <c r="AI98">
        <f>0*1</f>
        <v>0</v>
      </c>
      <c r="AJ98">
        <v>1</v>
      </c>
      <c r="AK98">
        <v>0</v>
      </c>
      <c r="AL98">
        <v>0</v>
      </c>
    </row>
    <row r="99" spans="1:38" hidden="1" x14ac:dyDescent="0.2">
      <c r="A99" t="s">
        <v>255</v>
      </c>
      <c r="B99" t="s">
        <v>256</v>
      </c>
      <c r="C99" t="s">
        <v>256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5.4</v>
      </c>
      <c r="AE99">
        <v>405</v>
      </c>
      <c r="AF99">
        <v>56.64118338472796</v>
      </c>
      <c r="AG99">
        <v>68.997587706890982</v>
      </c>
      <c r="AH99">
        <f>26.797397497205*1</f>
        <v>26.797397497205001</v>
      </c>
      <c r="AI99">
        <f>1.5415574012978*1</f>
        <v>1.5415574012977999</v>
      </c>
      <c r="AJ99">
        <v>1</v>
      </c>
      <c r="AK99">
        <v>0</v>
      </c>
      <c r="AL99">
        <v>0</v>
      </c>
    </row>
    <row r="100" spans="1:38" hidden="1" x14ac:dyDescent="0.2">
      <c r="A100" t="s">
        <v>241</v>
      </c>
      <c r="B100" t="s">
        <v>257</v>
      </c>
      <c r="C100" t="s">
        <v>257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4.4000000000000004</v>
      </c>
      <c r="AE100">
        <v>408</v>
      </c>
      <c r="AF100">
        <v>26.199418462450961</v>
      </c>
      <c r="AG100">
        <v>25.242898567768329</v>
      </c>
      <c r="AH100">
        <f>19.2075309472674*1</f>
        <v>19.207530947267401</v>
      </c>
      <c r="AI100">
        <f>1.27316994024396*1</f>
        <v>1.27316994024396</v>
      </c>
      <c r="AJ100">
        <v>1</v>
      </c>
      <c r="AK100">
        <v>0</v>
      </c>
      <c r="AL100">
        <v>0</v>
      </c>
    </row>
    <row r="101" spans="1:38" hidden="1" x14ac:dyDescent="0.2">
      <c r="A101" t="s">
        <v>258</v>
      </c>
      <c r="B101" t="s">
        <v>259</v>
      </c>
      <c r="C101" t="s">
        <v>259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7.3</v>
      </c>
      <c r="AE101">
        <v>419</v>
      </c>
      <c r="AF101">
        <v>82.007127731589634</v>
      </c>
      <c r="AG101">
        <v>98.87653994109165</v>
      </c>
      <c r="AH101">
        <f>48.1431376344619*1</f>
        <v>48.143137634461901</v>
      </c>
      <c r="AI101">
        <f>6.10706314251732*1</f>
        <v>6.1070631425173199</v>
      </c>
      <c r="AJ101">
        <v>1</v>
      </c>
      <c r="AK101">
        <v>0</v>
      </c>
      <c r="AL101">
        <v>0</v>
      </c>
    </row>
    <row r="102" spans="1:38" hidden="1" x14ac:dyDescent="0.2">
      <c r="A102" t="s">
        <v>260</v>
      </c>
      <c r="B102" t="s">
        <v>261</v>
      </c>
      <c r="C102" t="s">
        <v>260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</v>
      </c>
      <c r="AE102">
        <v>423</v>
      </c>
      <c r="AF102">
        <v>55.493670886075947</v>
      </c>
      <c r="AG102">
        <v>71.69319935327195</v>
      </c>
      <c r="AH102">
        <f>26.1107535227323*1</f>
        <v>26.110753522732299</v>
      </c>
      <c r="AI102">
        <f>3.10881506064192*1</f>
        <v>3.1088150606419198</v>
      </c>
      <c r="AJ102">
        <v>1</v>
      </c>
      <c r="AK102">
        <v>0</v>
      </c>
      <c r="AL102">
        <v>0</v>
      </c>
    </row>
    <row r="103" spans="1:38" hidden="1" x14ac:dyDescent="0.2">
      <c r="A103" t="s">
        <v>262</v>
      </c>
      <c r="B103" t="s">
        <v>263</v>
      </c>
      <c r="C103" t="s">
        <v>263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7.6</v>
      </c>
      <c r="AE103">
        <v>428</v>
      </c>
      <c r="AF103">
        <v>56.000000000000028</v>
      </c>
      <c r="AG103">
        <v>44.496199097249459</v>
      </c>
      <c r="AH103">
        <f>42.2787674571889*1</f>
        <v>42.278767457188899</v>
      </c>
      <c r="AI103">
        <f>5.24080634698985*1</f>
        <v>5.2408063469898503</v>
      </c>
      <c r="AJ103">
        <v>1</v>
      </c>
      <c r="AK103">
        <v>0</v>
      </c>
      <c r="AL103">
        <v>0</v>
      </c>
    </row>
    <row r="104" spans="1:38" hidden="1" x14ac:dyDescent="0.2">
      <c r="A104" t="s">
        <v>89</v>
      </c>
      <c r="B104" t="s">
        <v>264</v>
      </c>
      <c r="C104" t="s">
        <v>264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</v>
      </c>
      <c r="AE104">
        <v>430</v>
      </c>
      <c r="AF104">
        <v>38.185381238874747</v>
      </c>
      <c r="AG104">
        <v>27.175438360421492</v>
      </c>
      <c r="AH104">
        <f>36.7753821535227*1</f>
        <v>36.775382153522699</v>
      </c>
      <c r="AI104">
        <f>4.63809074249958*1</f>
        <v>4.6380907424995801</v>
      </c>
      <c r="AJ104">
        <v>1</v>
      </c>
      <c r="AK104">
        <v>0</v>
      </c>
      <c r="AL104">
        <v>0</v>
      </c>
    </row>
    <row r="105" spans="1:38" hidden="1" x14ac:dyDescent="0.2">
      <c r="A105" t="s">
        <v>265</v>
      </c>
      <c r="B105" t="s">
        <v>266</v>
      </c>
      <c r="C105" t="s">
        <v>266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5.3</v>
      </c>
      <c r="AE105">
        <v>431</v>
      </c>
      <c r="AF105">
        <v>37.386138613861398</v>
      </c>
      <c r="AG105">
        <v>28.32521514727037</v>
      </c>
      <c r="AH105">
        <f>28.0439922017691*1</f>
        <v>28.0439922017691</v>
      </c>
      <c r="AI105">
        <f>3.49114673568769*1</f>
        <v>3.49114673568769</v>
      </c>
      <c r="AJ105">
        <v>1</v>
      </c>
      <c r="AK105">
        <v>0</v>
      </c>
      <c r="AL105">
        <v>0</v>
      </c>
    </row>
    <row r="106" spans="1:38" hidden="1" x14ac:dyDescent="0.2">
      <c r="A106" t="s">
        <v>267</v>
      </c>
      <c r="B106" t="s">
        <v>268</v>
      </c>
      <c r="C106" t="s">
        <v>269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7.5</v>
      </c>
      <c r="AE106">
        <v>434</v>
      </c>
      <c r="AF106">
        <v>63.804878048780473</v>
      </c>
      <c r="AG106">
        <v>69.26028179706492</v>
      </c>
      <c r="AH106">
        <f>66.7563026248932*1</f>
        <v>66.756302624893195</v>
      </c>
      <c r="AI106">
        <f>8.53921913742976*1</f>
        <v>8.5392191374297592</v>
      </c>
      <c r="AJ106">
        <v>1</v>
      </c>
      <c r="AK106">
        <v>0</v>
      </c>
      <c r="AL106">
        <v>0</v>
      </c>
    </row>
    <row r="107" spans="1:38" x14ac:dyDescent="0.2">
      <c r="A107" t="s">
        <v>325</v>
      </c>
      <c r="B107" t="s">
        <v>326</v>
      </c>
      <c r="C107" t="s">
        <v>327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5.0999999999999996</v>
      </c>
      <c r="AE107">
        <v>536</v>
      </c>
      <c r="AF107">
        <v>64.080299917260589</v>
      </c>
      <c r="AG107">
        <v>30.03034772872083</v>
      </c>
      <c r="AH107">
        <f>86.505879134444*1</f>
        <v>86.505879134444001</v>
      </c>
      <c r="AI107">
        <f>5.80828193763966*1</f>
        <v>5.8082819376396602</v>
      </c>
      <c r="AJ107">
        <v>1</v>
      </c>
      <c r="AK107">
        <v>1</v>
      </c>
      <c r="AL107">
        <v>1</v>
      </c>
    </row>
    <row r="108" spans="1:38" hidden="1" x14ac:dyDescent="0.2">
      <c r="A108" t="s">
        <v>273</v>
      </c>
      <c r="B108" t="s">
        <v>274</v>
      </c>
      <c r="C108" t="s">
        <v>274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6.2</v>
      </c>
      <c r="AE108">
        <v>436</v>
      </c>
      <c r="AF108">
        <v>48.076883396140708</v>
      </c>
      <c r="AG108">
        <v>52.427675818539768</v>
      </c>
      <c r="AH108">
        <f>38.5830435326579*1</f>
        <v>38.583043532657904</v>
      </c>
      <c r="AI108">
        <f>4.85604803535792*1</f>
        <v>4.8560480353579196</v>
      </c>
      <c r="AJ108">
        <v>1</v>
      </c>
      <c r="AK108">
        <v>0</v>
      </c>
      <c r="AL108">
        <v>0</v>
      </c>
    </row>
    <row r="109" spans="1:38" hidden="1" x14ac:dyDescent="0.2">
      <c r="A109" t="s">
        <v>275</v>
      </c>
      <c r="B109" t="s">
        <v>276</v>
      </c>
      <c r="C109" t="s">
        <v>276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5.9</v>
      </c>
      <c r="AE109">
        <v>442</v>
      </c>
      <c r="AF109">
        <v>43.749179238506379</v>
      </c>
      <c r="AG109">
        <v>75.024964641348959</v>
      </c>
      <c r="AH109">
        <f>22.9382125981051*1</f>
        <v>22.9382125981051</v>
      </c>
      <c r="AI109">
        <f>2.93899396070271*1</f>
        <v>2.9389939607027098</v>
      </c>
      <c r="AJ109">
        <v>1</v>
      </c>
      <c r="AK109">
        <v>0</v>
      </c>
      <c r="AL109">
        <v>0</v>
      </c>
    </row>
    <row r="110" spans="1:38" hidden="1" x14ac:dyDescent="0.2">
      <c r="A110" t="s">
        <v>277</v>
      </c>
      <c r="B110" t="s">
        <v>278</v>
      </c>
      <c r="C110" t="s">
        <v>278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6.3</v>
      </c>
      <c r="AE110">
        <v>443</v>
      </c>
      <c r="AF110">
        <v>52.445023209151429</v>
      </c>
      <c r="AG110">
        <v>46.719974144044421</v>
      </c>
      <c r="AH110">
        <f>31.3534850130152*1</f>
        <v>31.353485013015199</v>
      </c>
      <c r="AI110">
        <f>2.61905177277654*1</f>
        <v>2.6190517727765399</v>
      </c>
      <c r="AJ110">
        <v>1</v>
      </c>
      <c r="AK110">
        <v>0</v>
      </c>
      <c r="AL110">
        <v>0</v>
      </c>
    </row>
    <row r="111" spans="1:38" hidden="1" x14ac:dyDescent="0.2">
      <c r="A111" t="s">
        <v>279</v>
      </c>
      <c r="B111" t="s">
        <v>280</v>
      </c>
      <c r="C111" t="s">
        <v>279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6.4</v>
      </c>
      <c r="AE111">
        <v>445</v>
      </c>
      <c r="AF111">
        <v>59.477310738700453</v>
      </c>
      <c r="AG111">
        <v>75.788448213620029</v>
      </c>
      <c r="AH111">
        <f>29.2929724284876*1</f>
        <v>29.292972428487602</v>
      </c>
      <c r="AI111">
        <f>3.69476327673332*1</f>
        <v>3.6947632767333198</v>
      </c>
      <c r="AJ111">
        <v>1</v>
      </c>
      <c r="AK111">
        <v>0</v>
      </c>
      <c r="AL111">
        <v>0</v>
      </c>
    </row>
    <row r="112" spans="1:38" hidden="1" x14ac:dyDescent="0.2">
      <c r="A112" t="s">
        <v>281</v>
      </c>
      <c r="B112" t="s">
        <v>282</v>
      </c>
      <c r="C112" t="s">
        <v>282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5.3</v>
      </c>
      <c r="AE112">
        <v>453</v>
      </c>
      <c r="AF112">
        <v>46.438356164383613</v>
      </c>
      <c r="AG112">
        <v>54.734265976491443</v>
      </c>
      <c r="AH112">
        <f>26.3379873402988*1</f>
        <v>26.337987340298799</v>
      </c>
      <c r="AI112">
        <f>1.6775841635554*1</f>
        <v>1.6775841635554001</v>
      </c>
      <c r="AJ112">
        <v>1</v>
      </c>
      <c r="AK112">
        <v>0</v>
      </c>
      <c r="AL112">
        <v>0</v>
      </c>
    </row>
    <row r="113" spans="1:38" hidden="1" x14ac:dyDescent="0.2">
      <c r="A113" t="s">
        <v>283</v>
      </c>
      <c r="B113" t="s">
        <v>284</v>
      </c>
      <c r="C113" t="s">
        <v>283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6.2</v>
      </c>
      <c r="AE113">
        <v>455</v>
      </c>
      <c r="AF113">
        <v>53.750000000000007</v>
      </c>
      <c r="AG113">
        <v>69.33096969845748</v>
      </c>
      <c r="AH113">
        <f>27.0064915509914*1</f>
        <v>27.006491550991399</v>
      </c>
      <c r="AI113">
        <f>1.72962755847773*1</f>
        <v>1.7296275584777301</v>
      </c>
      <c r="AJ113">
        <v>1</v>
      </c>
      <c r="AK113">
        <v>0</v>
      </c>
      <c r="AL113">
        <v>0</v>
      </c>
    </row>
    <row r="114" spans="1:38" hidden="1" x14ac:dyDescent="0.2">
      <c r="A114" t="s">
        <v>285</v>
      </c>
      <c r="B114" t="s">
        <v>286</v>
      </c>
      <c r="C114" t="s">
        <v>286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9.3000000000000007</v>
      </c>
      <c r="AE114">
        <v>461</v>
      </c>
      <c r="AF114">
        <v>92.566092482028765</v>
      </c>
      <c r="AG114">
        <v>55.201604444357052</v>
      </c>
      <c r="AH114">
        <f>61.4290558021019*1</f>
        <v>61.4290558021019</v>
      </c>
      <c r="AI114">
        <f>2.9961192275491*1</f>
        <v>2.9961192275491002</v>
      </c>
      <c r="AJ114">
        <v>1</v>
      </c>
      <c r="AK114">
        <v>0</v>
      </c>
      <c r="AL114">
        <v>0</v>
      </c>
    </row>
    <row r="115" spans="1:38" hidden="1" x14ac:dyDescent="0.2">
      <c r="A115" t="s">
        <v>287</v>
      </c>
      <c r="B115" t="s">
        <v>288</v>
      </c>
      <c r="C115" t="s">
        <v>288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5.9</v>
      </c>
      <c r="AE115">
        <v>463</v>
      </c>
      <c r="AF115">
        <v>58.469387755102062</v>
      </c>
      <c r="AG115">
        <v>61.765455502736778</v>
      </c>
      <c r="AH115">
        <f>49.8833079664707*1</f>
        <v>49.883307966470703</v>
      </c>
      <c r="AI115">
        <f>3.41951628697003*1</f>
        <v>3.4195162869700302</v>
      </c>
      <c r="AJ115">
        <v>1</v>
      </c>
      <c r="AK115">
        <v>0</v>
      </c>
      <c r="AL115">
        <v>0</v>
      </c>
    </row>
    <row r="116" spans="1:38" hidden="1" x14ac:dyDescent="0.2">
      <c r="A116" t="s">
        <v>289</v>
      </c>
      <c r="B116" t="s">
        <v>290</v>
      </c>
      <c r="C116" t="s">
        <v>290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14.7</v>
      </c>
      <c r="AE116">
        <v>464</v>
      </c>
      <c r="AF116">
        <v>110.7831325301205</v>
      </c>
      <c r="AG116">
        <v>156.34511347343229</v>
      </c>
      <c r="AH116">
        <f>54.8487277860419*1</f>
        <v>54.848727786041898</v>
      </c>
      <c r="AI116">
        <f>3.64429048504494*1</f>
        <v>3.64429048504494</v>
      </c>
      <c r="AJ116">
        <v>1</v>
      </c>
      <c r="AK116">
        <v>0</v>
      </c>
      <c r="AL116">
        <v>0</v>
      </c>
    </row>
    <row r="117" spans="1:38" hidden="1" x14ac:dyDescent="0.2">
      <c r="A117" t="s">
        <v>291</v>
      </c>
      <c r="B117" t="s">
        <v>292</v>
      </c>
      <c r="C117" t="s">
        <v>292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5.4</v>
      </c>
      <c r="AE117">
        <v>467</v>
      </c>
      <c r="AF117">
        <v>49.414024197363801</v>
      </c>
      <c r="AG117">
        <v>30.619140204612972</v>
      </c>
      <c r="AH117">
        <f>59.9958779618906*1</f>
        <v>59.995877961890599</v>
      </c>
      <c r="AI117">
        <f>4.06087995711458*1</f>
        <v>4.0608799571145804</v>
      </c>
      <c r="AJ117">
        <v>1</v>
      </c>
      <c r="AK117">
        <v>0</v>
      </c>
      <c r="AL117">
        <v>0</v>
      </c>
    </row>
    <row r="118" spans="1:38" hidden="1" x14ac:dyDescent="0.2">
      <c r="A118" t="s">
        <v>293</v>
      </c>
      <c r="B118" t="s">
        <v>91</v>
      </c>
      <c r="C118" t="s">
        <v>91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4.5</v>
      </c>
      <c r="AE118">
        <v>468</v>
      </c>
      <c r="AF118">
        <v>38.125000000000028</v>
      </c>
      <c r="AG118">
        <v>41.549739314923237</v>
      </c>
      <c r="AH118">
        <f>22.7753952438334*1</f>
        <v>22.775395243833401</v>
      </c>
      <c r="AI118">
        <f>1.67654338263981*1</f>
        <v>1.67654338263981</v>
      </c>
      <c r="AJ118">
        <v>1</v>
      </c>
      <c r="AK118">
        <v>0</v>
      </c>
      <c r="AL118">
        <v>0</v>
      </c>
    </row>
    <row r="119" spans="1:38" hidden="1" x14ac:dyDescent="0.2">
      <c r="A119" t="s">
        <v>294</v>
      </c>
      <c r="B119" t="s">
        <v>295</v>
      </c>
      <c r="C119" t="s">
        <v>295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6.4</v>
      </c>
      <c r="AE119">
        <v>478</v>
      </c>
      <c r="AF119">
        <v>53.048094627347552</v>
      </c>
      <c r="AG119">
        <v>70.354371641333501</v>
      </c>
      <c r="AH119">
        <f>18.6586207681929*1</f>
        <v>18.6586207681929</v>
      </c>
      <c r="AI119">
        <f>1.05918929610868*1</f>
        <v>1.05918929610868</v>
      </c>
      <c r="AJ119">
        <v>1</v>
      </c>
      <c r="AK119">
        <v>0</v>
      </c>
      <c r="AL119">
        <v>0</v>
      </c>
    </row>
    <row r="120" spans="1:38" hidden="1" x14ac:dyDescent="0.2">
      <c r="A120" t="s">
        <v>296</v>
      </c>
      <c r="B120" t="s">
        <v>297</v>
      </c>
      <c r="C120" t="s">
        <v>296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5.6</v>
      </c>
      <c r="AE120">
        <v>490</v>
      </c>
      <c r="AF120">
        <v>0</v>
      </c>
      <c r="AG120">
        <v>0</v>
      </c>
      <c r="AH120">
        <f>0*1</f>
        <v>0</v>
      </c>
      <c r="AI120">
        <f>0*1</f>
        <v>0</v>
      </c>
      <c r="AJ120">
        <v>1</v>
      </c>
      <c r="AK120">
        <v>0</v>
      </c>
      <c r="AL120">
        <v>0</v>
      </c>
    </row>
    <row r="121" spans="1:38" hidden="1" x14ac:dyDescent="0.2">
      <c r="A121" t="s">
        <v>298</v>
      </c>
      <c r="B121" t="s">
        <v>299</v>
      </c>
      <c r="C121" t="s">
        <v>300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8.4</v>
      </c>
      <c r="AE121">
        <v>492</v>
      </c>
      <c r="AF121">
        <v>69.101123595505612</v>
      </c>
      <c r="AG121">
        <v>70.875834846797616</v>
      </c>
      <c r="AH121">
        <f>56.3352546267183*1</f>
        <v>56.335254626718303</v>
      </c>
      <c r="AI121">
        <f>3.64245351137936*1</f>
        <v>3.6424535113793599</v>
      </c>
      <c r="AJ121">
        <v>1</v>
      </c>
      <c r="AK121">
        <v>0</v>
      </c>
      <c r="AL121">
        <v>0</v>
      </c>
    </row>
    <row r="122" spans="1:38" hidden="1" x14ac:dyDescent="0.2">
      <c r="A122" t="s">
        <v>301</v>
      </c>
      <c r="B122" t="s">
        <v>302</v>
      </c>
      <c r="C122" t="s">
        <v>303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</v>
      </c>
      <c r="AE122">
        <v>495</v>
      </c>
      <c r="AF122">
        <v>49.080560884685077</v>
      </c>
      <c r="AG122">
        <v>61.245170115546209</v>
      </c>
      <c r="AH122">
        <f>26.6100970337161*1</f>
        <v>26.610097033716102</v>
      </c>
      <c r="AI122">
        <f>2.25112084491431*1</f>
        <v>2.2511208449143099</v>
      </c>
      <c r="AJ122">
        <v>1</v>
      </c>
      <c r="AK122">
        <v>0</v>
      </c>
      <c r="AL122">
        <v>0</v>
      </c>
    </row>
    <row r="123" spans="1:38" hidden="1" x14ac:dyDescent="0.2">
      <c r="A123" t="s">
        <v>304</v>
      </c>
      <c r="B123" t="s">
        <v>305</v>
      </c>
      <c r="C123" t="s">
        <v>305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5.9</v>
      </c>
      <c r="AE123">
        <v>498</v>
      </c>
      <c r="AF123">
        <v>38.470733184275758</v>
      </c>
      <c r="AG123">
        <v>50.92411546021723</v>
      </c>
      <c r="AH123">
        <f>25.5028688526149*1</f>
        <v>25.502868852614899</v>
      </c>
      <c r="AI123">
        <f>1.36287958325075*1</f>
        <v>1.3628795832507501</v>
      </c>
      <c r="AJ123">
        <v>1</v>
      </c>
      <c r="AK123">
        <v>0</v>
      </c>
      <c r="AL123">
        <v>0</v>
      </c>
    </row>
    <row r="124" spans="1:38" hidden="1" x14ac:dyDescent="0.2">
      <c r="A124" t="s">
        <v>306</v>
      </c>
      <c r="B124" t="s">
        <v>307</v>
      </c>
      <c r="C124" t="s">
        <v>307</v>
      </c>
      <c r="D124" t="s">
        <v>6</v>
      </c>
      <c r="E124">
        <v>0</v>
      </c>
      <c r="F124">
        <v>0</v>
      </c>
      <c r="G124">
        <v>0</v>
      </c>
      <c r="H124">
        <v>1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6.9</v>
      </c>
      <c r="AE124">
        <v>501</v>
      </c>
      <c r="AF124">
        <v>46.630138584772951</v>
      </c>
      <c r="AG124">
        <v>51.772826289717663</v>
      </c>
      <c r="AH124">
        <f>20.2627113608037*1</f>
        <v>20.262711360803699</v>
      </c>
      <c r="AI124">
        <f>1.05336202128218*1</f>
        <v>1.0533620212821799</v>
      </c>
      <c r="AJ124">
        <v>1</v>
      </c>
      <c r="AK124">
        <v>0</v>
      </c>
      <c r="AL124">
        <v>0</v>
      </c>
    </row>
    <row r="125" spans="1:38" hidden="1" x14ac:dyDescent="0.2">
      <c r="A125" t="s">
        <v>308</v>
      </c>
      <c r="B125" t="s">
        <v>309</v>
      </c>
      <c r="C125" t="s">
        <v>309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5.2</v>
      </c>
      <c r="AE125">
        <v>504</v>
      </c>
      <c r="AF125">
        <v>0</v>
      </c>
      <c r="AG125">
        <v>0</v>
      </c>
      <c r="AH125">
        <f>0*1</f>
        <v>0</v>
      </c>
      <c r="AI125">
        <f>0*1</f>
        <v>0</v>
      </c>
      <c r="AJ125">
        <v>1</v>
      </c>
      <c r="AK125">
        <v>0</v>
      </c>
      <c r="AL125">
        <v>0</v>
      </c>
    </row>
    <row r="126" spans="1:38" hidden="1" x14ac:dyDescent="0.2">
      <c r="A126" t="s">
        <v>310</v>
      </c>
      <c r="B126" t="s">
        <v>311</v>
      </c>
      <c r="C126" t="s">
        <v>78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4.4000000000000004</v>
      </c>
      <c r="AE126">
        <v>506</v>
      </c>
      <c r="AF126">
        <v>43.611111111111107</v>
      </c>
      <c r="AG126">
        <v>36.758009499875932</v>
      </c>
      <c r="AH126">
        <f>38.2962378691129*1</f>
        <v>38.2962378691129</v>
      </c>
      <c r="AI126">
        <f>2.53296407380501*1</f>
        <v>2.5329640738050099</v>
      </c>
      <c r="AJ126">
        <v>1</v>
      </c>
      <c r="AK126">
        <v>0</v>
      </c>
      <c r="AL126">
        <v>0</v>
      </c>
    </row>
    <row r="127" spans="1:38" x14ac:dyDescent="0.2">
      <c r="A127" t="s">
        <v>354</v>
      </c>
      <c r="B127" t="s">
        <v>355</v>
      </c>
      <c r="C127" t="s">
        <v>354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4.7</v>
      </c>
      <c r="AE127">
        <v>574</v>
      </c>
      <c r="AF127">
        <v>38.611111111111107</v>
      </c>
      <c r="AG127">
        <v>37.064104643306123</v>
      </c>
      <c r="AH127">
        <f>74.4366331125772*1</f>
        <v>74.436633112577198</v>
      </c>
      <c r="AI127">
        <f>5.05068192128965*1</f>
        <v>5.0506819212896499</v>
      </c>
      <c r="AJ127">
        <v>1</v>
      </c>
      <c r="AK127">
        <v>1</v>
      </c>
      <c r="AL127">
        <v>1</v>
      </c>
    </row>
    <row r="128" spans="1:38" hidden="1" x14ac:dyDescent="0.2">
      <c r="A128" t="s">
        <v>314</v>
      </c>
      <c r="B128" t="s">
        <v>315</v>
      </c>
      <c r="C128" t="s">
        <v>315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5.9</v>
      </c>
      <c r="AE128">
        <v>527</v>
      </c>
      <c r="AF128">
        <v>57.050561797752792</v>
      </c>
      <c r="AG128">
        <v>64.733836009357148</v>
      </c>
      <c r="AH128">
        <f>31.3611044996895*1</f>
        <v>31.3611044996895</v>
      </c>
      <c r="AI128">
        <f>2.01318714325942*1</f>
        <v>2.0131871432594202</v>
      </c>
      <c r="AJ128">
        <v>1</v>
      </c>
      <c r="AK128">
        <v>0</v>
      </c>
      <c r="AL128">
        <v>0</v>
      </c>
    </row>
    <row r="129" spans="1:38" hidden="1" x14ac:dyDescent="0.2">
      <c r="A129" t="s">
        <v>298</v>
      </c>
      <c r="B129" t="s">
        <v>316</v>
      </c>
      <c r="C129" t="s">
        <v>317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6.1</v>
      </c>
      <c r="AE129">
        <v>529</v>
      </c>
      <c r="AF129">
        <v>56.796116504854332</v>
      </c>
      <c r="AG129">
        <v>62.278292641330822</v>
      </c>
      <c r="AH129">
        <f>44.3904872086608*1</f>
        <v>44.390487208660801</v>
      </c>
      <c r="AI129">
        <f>2.94511665578337*1</f>
        <v>2.9451166557833699</v>
      </c>
      <c r="AJ129">
        <v>1</v>
      </c>
      <c r="AK129">
        <v>0</v>
      </c>
      <c r="AL129">
        <v>0</v>
      </c>
    </row>
    <row r="130" spans="1:38" hidden="1" x14ac:dyDescent="0.2">
      <c r="A130" t="s">
        <v>318</v>
      </c>
      <c r="B130" t="s">
        <v>319</v>
      </c>
      <c r="C130" t="s">
        <v>319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4.4000000000000004</v>
      </c>
      <c r="AE130">
        <v>530</v>
      </c>
      <c r="AF130">
        <v>44.668511633778941</v>
      </c>
      <c r="AG130">
        <v>42.251117881447712</v>
      </c>
      <c r="AH130">
        <f>31.4282151982666*1</f>
        <v>31.428215198266599</v>
      </c>
      <c r="AI130">
        <f>2.10844228911213*1</f>
        <v>2.1084422891121299</v>
      </c>
      <c r="AJ130">
        <v>1</v>
      </c>
      <c r="AK130">
        <v>0</v>
      </c>
      <c r="AL130">
        <v>0</v>
      </c>
    </row>
    <row r="131" spans="1:38" hidden="1" x14ac:dyDescent="0.2">
      <c r="A131" t="s">
        <v>320</v>
      </c>
      <c r="B131" t="s">
        <v>321</v>
      </c>
      <c r="C131" t="s">
        <v>321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7.7</v>
      </c>
      <c r="AE131">
        <v>532</v>
      </c>
      <c r="AF131">
        <v>88.470208441414698</v>
      </c>
      <c r="AG131">
        <v>43.405156482223873</v>
      </c>
      <c r="AH131">
        <f>43.8413528190735*1</f>
        <v>43.841352819073499</v>
      </c>
      <c r="AI131">
        <f>3.2976556292175*1</f>
        <v>3.2976556292175001</v>
      </c>
      <c r="AJ131">
        <v>1</v>
      </c>
      <c r="AK131">
        <v>0</v>
      </c>
      <c r="AL131">
        <v>0</v>
      </c>
    </row>
    <row r="132" spans="1:38" x14ac:dyDescent="0.2">
      <c r="A132" t="s">
        <v>415</v>
      </c>
      <c r="B132" t="s">
        <v>416</v>
      </c>
      <c r="C132" t="s">
        <v>417</v>
      </c>
      <c r="D132" t="s">
        <v>6</v>
      </c>
      <c r="E132">
        <v>0</v>
      </c>
      <c r="F132">
        <v>0</v>
      </c>
      <c r="G132">
        <v>0</v>
      </c>
      <c r="H132">
        <v>1</v>
      </c>
      <c r="I132" t="s">
        <v>31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6.8</v>
      </c>
      <c r="AE132">
        <v>722</v>
      </c>
      <c r="AF132">
        <v>73.292523740859849</v>
      </c>
      <c r="AG132">
        <v>54.447834277070847</v>
      </c>
      <c r="AH132">
        <f>73.6803931633672*1</f>
        <v>73.680393163367199</v>
      </c>
      <c r="AI132">
        <f>5.01814237615569*1</f>
        <v>5.0181423761556898</v>
      </c>
      <c r="AJ132">
        <v>1</v>
      </c>
      <c r="AK132">
        <v>1</v>
      </c>
      <c r="AL132">
        <v>1</v>
      </c>
    </row>
    <row r="133" spans="1:38" x14ac:dyDescent="0.2">
      <c r="A133" t="s">
        <v>91</v>
      </c>
      <c r="B133" t="s">
        <v>322</v>
      </c>
      <c r="C133" t="s">
        <v>322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5.0999999999999996</v>
      </c>
      <c r="AE133">
        <v>533</v>
      </c>
      <c r="AF133">
        <v>69.598272036584419</v>
      </c>
      <c r="AG133">
        <v>34.842533963073834</v>
      </c>
      <c r="AH133">
        <f>67.7331486780486*1</f>
        <v>67.733148678048593</v>
      </c>
      <c r="AI133">
        <f>4.4421084963886*1</f>
        <v>4.4421084963885997</v>
      </c>
      <c r="AJ133">
        <v>1</v>
      </c>
      <c r="AK133">
        <v>1</v>
      </c>
      <c r="AL133">
        <v>1</v>
      </c>
    </row>
    <row r="134" spans="1:38" x14ac:dyDescent="0.2">
      <c r="A134" t="s">
        <v>341</v>
      </c>
      <c r="B134" t="s">
        <v>342</v>
      </c>
      <c r="C134" t="s">
        <v>342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5.4</v>
      </c>
      <c r="AE134">
        <v>560</v>
      </c>
      <c r="AF134">
        <v>55.882352941176478</v>
      </c>
      <c r="AG134">
        <v>47.537532948858122</v>
      </c>
      <c r="AH134">
        <f>64.924957214239*1</f>
        <v>64.924957214239001</v>
      </c>
      <c r="AI134">
        <f>4.20313519664942*1</f>
        <v>4.2031351966494199</v>
      </c>
      <c r="AJ134">
        <v>1</v>
      </c>
      <c r="AK134">
        <v>1</v>
      </c>
      <c r="AL134">
        <v>1</v>
      </c>
    </row>
    <row r="135" spans="1:38" hidden="1" x14ac:dyDescent="0.2">
      <c r="A135" t="s">
        <v>328</v>
      </c>
      <c r="B135" t="s">
        <v>329</v>
      </c>
      <c r="C135" t="s">
        <v>330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</v>
      </c>
      <c r="AE135">
        <v>537</v>
      </c>
      <c r="AF135">
        <v>48.040965588031497</v>
      </c>
      <c r="AG135">
        <v>36.420618816071709</v>
      </c>
      <c r="AH135">
        <f>42.1300498900685*1</f>
        <v>42.130049890068499</v>
      </c>
      <c r="AI135">
        <f>2.28360763298963*1</f>
        <v>2.28360763298963</v>
      </c>
      <c r="AJ135">
        <v>1</v>
      </c>
      <c r="AK135">
        <v>0</v>
      </c>
      <c r="AL135">
        <v>0</v>
      </c>
    </row>
    <row r="136" spans="1:38" hidden="1" x14ac:dyDescent="0.2">
      <c r="A136" t="s">
        <v>331</v>
      </c>
      <c r="B136" t="s">
        <v>332</v>
      </c>
      <c r="C136" t="s">
        <v>332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4.5</v>
      </c>
      <c r="AE136">
        <v>543</v>
      </c>
      <c r="AF136">
        <v>34.014868315535963</v>
      </c>
      <c r="AG136">
        <v>41.795888591772623</v>
      </c>
      <c r="AH136">
        <f>23.6502350389173*1</f>
        <v>23.650235038917302</v>
      </c>
      <c r="AI136">
        <f>1.44105130626489*1</f>
        <v>1.44105130626489</v>
      </c>
      <c r="AJ136">
        <v>1</v>
      </c>
      <c r="AK136">
        <v>0</v>
      </c>
      <c r="AL136">
        <v>0</v>
      </c>
    </row>
    <row r="137" spans="1:38" hidden="1" x14ac:dyDescent="0.2">
      <c r="A137" t="s">
        <v>333</v>
      </c>
      <c r="B137" t="s">
        <v>334</v>
      </c>
      <c r="C137" t="s">
        <v>334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4.5999999999999996</v>
      </c>
      <c r="AE137">
        <v>544</v>
      </c>
      <c r="AF137">
        <v>35.031055900621091</v>
      </c>
      <c r="AG137">
        <v>34.470293673131337</v>
      </c>
      <c r="AH137">
        <f>18.3975987430475*1</f>
        <v>18.397598743047499</v>
      </c>
      <c r="AI137">
        <f>1.22277619204628*1</f>
        <v>1.2227761920462801</v>
      </c>
      <c r="AJ137">
        <v>1</v>
      </c>
      <c r="AK137">
        <v>0</v>
      </c>
      <c r="AL137">
        <v>0</v>
      </c>
    </row>
    <row r="138" spans="1:38" hidden="1" x14ac:dyDescent="0.2">
      <c r="A138" t="s">
        <v>335</v>
      </c>
      <c r="B138" t="s">
        <v>336</v>
      </c>
      <c r="C138" t="s">
        <v>336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5.4</v>
      </c>
      <c r="AE138">
        <v>549</v>
      </c>
      <c r="AF138">
        <v>49.154573078512009</v>
      </c>
      <c r="AG138">
        <v>46.150618637906398</v>
      </c>
      <c r="AH138">
        <f>26.7158195287059*1</f>
        <v>26.7158195287059</v>
      </c>
      <c r="AI138">
        <f>2.31789173203911*1</f>
        <v>2.3178917320391101</v>
      </c>
      <c r="AJ138">
        <v>1</v>
      </c>
      <c r="AK138">
        <v>0</v>
      </c>
      <c r="AL138">
        <v>0</v>
      </c>
    </row>
    <row r="139" spans="1:38" hidden="1" x14ac:dyDescent="0.2">
      <c r="A139" t="s">
        <v>337</v>
      </c>
      <c r="B139" t="s">
        <v>338</v>
      </c>
      <c r="C139" t="s">
        <v>338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5.5</v>
      </c>
      <c r="AE139">
        <v>551</v>
      </c>
      <c r="AF139">
        <v>0</v>
      </c>
      <c r="AG139">
        <v>0</v>
      </c>
      <c r="AH139">
        <f>0*1</f>
        <v>0</v>
      </c>
      <c r="AI139">
        <f>0*1</f>
        <v>0</v>
      </c>
      <c r="AJ139">
        <v>1</v>
      </c>
      <c r="AK139">
        <v>0</v>
      </c>
      <c r="AL139">
        <v>0</v>
      </c>
    </row>
    <row r="140" spans="1:38" hidden="1" x14ac:dyDescent="0.2">
      <c r="A140" t="s">
        <v>339</v>
      </c>
      <c r="B140" t="s">
        <v>340</v>
      </c>
      <c r="C140" t="s">
        <v>340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4.7</v>
      </c>
      <c r="AE140">
        <v>554</v>
      </c>
      <c r="AF140">
        <v>15</v>
      </c>
      <c r="AG140">
        <v>65.314226436338828</v>
      </c>
      <c r="AH140">
        <f>5.79847957445769*1</f>
        <v>5.7984795744576898</v>
      </c>
      <c r="AI140">
        <f>0.288352305297086*1</f>
        <v>0.288352305297086</v>
      </c>
      <c r="AJ140">
        <v>1</v>
      </c>
      <c r="AK140">
        <v>0</v>
      </c>
      <c r="AL140">
        <v>0</v>
      </c>
    </row>
    <row r="141" spans="1:38" x14ac:dyDescent="0.2">
      <c r="A141" t="s">
        <v>212</v>
      </c>
      <c r="B141" t="s">
        <v>213</v>
      </c>
      <c r="C141" t="s">
        <v>213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19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4.8</v>
      </c>
      <c r="AE141">
        <v>300</v>
      </c>
      <c r="AF141">
        <v>47.404563685940317</v>
      </c>
      <c r="AG141">
        <v>45.248934596310541</v>
      </c>
      <c r="AH141">
        <f>32.0994967064849*1</f>
        <v>32.099496706484899</v>
      </c>
      <c r="AI141">
        <f>4.06445917055213*1</f>
        <v>4.06445917055213</v>
      </c>
      <c r="AJ141">
        <v>1</v>
      </c>
      <c r="AK141">
        <v>1</v>
      </c>
      <c r="AL141">
        <v>1</v>
      </c>
    </row>
    <row r="142" spans="1:38" hidden="1" x14ac:dyDescent="0.2">
      <c r="A142" t="s">
        <v>343</v>
      </c>
      <c r="B142" t="s">
        <v>344</v>
      </c>
      <c r="C142" t="s">
        <v>344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5</v>
      </c>
      <c r="AE142">
        <v>561</v>
      </c>
      <c r="AF142">
        <v>43.885429337935747</v>
      </c>
      <c r="AG142">
        <v>23.99129365787773</v>
      </c>
      <c r="AH142">
        <f>33.8836372792153*1</f>
        <v>33.8836372792153</v>
      </c>
      <c r="AI142">
        <f>2.00249853689777*1</f>
        <v>2.0024985368977699</v>
      </c>
      <c r="AJ142">
        <v>1</v>
      </c>
      <c r="AK142">
        <v>0</v>
      </c>
      <c r="AL142">
        <v>0</v>
      </c>
    </row>
    <row r="143" spans="1:38" hidden="1" x14ac:dyDescent="0.2">
      <c r="A143" t="s">
        <v>345</v>
      </c>
      <c r="B143" t="s">
        <v>346</v>
      </c>
      <c r="C143" t="s">
        <v>346</v>
      </c>
      <c r="D143" t="s">
        <v>6</v>
      </c>
      <c r="E143">
        <v>0</v>
      </c>
      <c r="F143">
        <v>0</v>
      </c>
      <c r="G143">
        <v>0</v>
      </c>
      <c r="H143">
        <v>1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5.5</v>
      </c>
      <c r="AE143">
        <v>562</v>
      </c>
      <c r="AF143">
        <v>14.825245672081071</v>
      </c>
      <c r="AG143">
        <v>60.834285957756933</v>
      </c>
      <c r="AH143">
        <f>4.85131342919223*1</f>
        <v>4.8513134291922304</v>
      </c>
      <c r="AI143">
        <f>0.200501561250491*1</f>
        <v>0.20050156125049101</v>
      </c>
      <c r="AJ143">
        <v>1</v>
      </c>
      <c r="AK143">
        <v>0</v>
      </c>
      <c r="AL143">
        <v>0</v>
      </c>
    </row>
    <row r="144" spans="1:38" hidden="1" x14ac:dyDescent="0.2">
      <c r="A144" t="s">
        <v>347</v>
      </c>
      <c r="B144" t="s">
        <v>348</v>
      </c>
      <c r="C144" t="s">
        <v>349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4.8</v>
      </c>
      <c r="AE144">
        <v>569</v>
      </c>
      <c r="AF144">
        <v>0</v>
      </c>
      <c r="AG144">
        <v>0</v>
      </c>
      <c r="AH144">
        <f>0*1</f>
        <v>0</v>
      </c>
      <c r="AI144">
        <f>0*1</f>
        <v>0</v>
      </c>
      <c r="AJ144">
        <v>1</v>
      </c>
      <c r="AK144">
        <v>0</v>
      </c>
      <c r="AL144">
        <v>0</v>
      </c>
    </row>
    <row r="145" spans="1:38" hidden="1" x14ac:dyDescent="0.2">
      <c r="A145" t="s">
        <v>320</v>
      </c>
      <c r="B145" t="s">
        <v>350</v>
      </c>
      <c r="C145" t="s">
        <v>350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5.3</v>
      </c>
      <c r="AE145">
        <v>570</v>
      </c>
      <c r="AF145">
        <v>43.778522846008521</v>
      </c>
      <c r="AG145">
        <v>41.442610606228811</v>
      </c>
      <c r="AH145">
        <f>34.9353445131181*1</f>
        <v>34.935344513118103</v>
      </c>
      <c r="AI145">
        <f>2.24995964837797*1</f>
        <v>2.24995964837797</v>
      </c>
      <c r="AJ145">
        <v>1</v>
      </c>
      <c r="AK145">
        <v>0</v>
      </c>
      <c r="AL145">
        <v>0</v>
      </c>
    </row>
    <row r="146" spans="1:38" hidden="1" x14ac:dyDescent="0.2">
      <c r="A146" t="s">
        <v>83</v>
      </c>
      <c r="B146" t="s">
        <v>351</v>
      </c>
      <c r="C146" t="s">
        <v>351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6.4</v>
      </c>
      <c r="AE146">
        <v>571</v>
      </c>
      <c r="AF146">
        <v>66.265196695212396</v>
      </c>
      <c r="AG146">
        <v>38.565102204058412</v>
      </c>
      <c r="AH146">
        <f>57.6619195054969*1</f>
        <v>57.661919505496897</v>
      </c>
      <c r="AI146">
        <f>3.8291393109334*1</f>
        <v>3.8291393109334</v>
      </c>
      <c r="AJ146">
        <v>1</v>
      </c>
      <c r="AK146">
        <v>0</v>
      </c>
      <c r="AL146">
        <v>0</v>
      </c>
    </row>
    <row r="147" spans="1:38" hidden="1" x14ac:dyDescent="0.2">
      <c r="A147" t="s">
        <v>352</v>
      </c>
      <c r="B147" t="s">
        <v>353</v>
      </c>
      <c r="C147" t="s">
        <v>353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5.2</v>
      </c>
      <c r="AE147">
        <v>572</v>
      </c>
      <c r="AF147">
        <v>53.241367276950598</v>
      </c>
      <c r="AG147">
        <v>38.410972331117428</v>
      </c>
      <c r="AH147">
        <f>46.2924111685106*1</f>
        <v>46.292411168510597</v>
      </c>
      <c r="AI147">
        <f>3.06545072635145*1</f>
        <v>3.0654507263514499</v>
      </c>
      <c r="AJ147">
        <v>1</v>
      </c>
      <c r="AK147">
        <v>0</v>
      </c>
      <c r="AL147">
        <v>0</v>
      </c>
    </row>
    <row r="148" spans="1:38" x14ac:dyDescent="0.2">
      <c r="A148" t="s">
        <v>128</v>
      </c>
      <c r="B148" t="s">
        <v>129</v>
      </c>
      <c r="C148" t="s">
        <v>129</v>
      </c>
      <c r="D148" t="s">
        <v>6</v>
      </c>
      <c r="E148">
        <v>0</v>
      </c>
      <c r="F148">
        <v>0</v>
      </c>
      <c r="G148">
        <v>0</v>
      </c>
      <c r="H148">
        <v>1</v>
      </c>
      <c r="I148" t="s">
        <v>15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6.3</v>
      </c>
      <c r="AE148">
        <v>141</v>
      </c>
      <c r="AF148">
        <v>67.36778342765146</v>
      </c>
      <c r="AG148">
        <v>42.532344996956638</v>
      </c>
      <c r="AH148">
        <f>56.2765490666907*1</f>
        <v>56.276549066690698</v>
      </c>
      <c r="AI148">
        <f>3.70075646496786*1</f>
        <v>3.7007564649678599</v>
      </c>
      <c r="AJ148">
        <v>1</v>
      </c>
      <c r="AK148">
        <v>1</v>
      </c>
      <c r="AL148">
        <v>1</v>
      </c>
    </row>
    <row r="149" spans="1:38" hidden="1" x14ac:dyDescent="0.2">
      <c r="A149" t="s">
        <v>356</v>
      </c>
      <c r="B149" t="s">
        <v>357</v>
      </c>
      <c r="C149" t="s">
        <v>358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4.4000000000000004</v>
      </c>
      <c r="AE149">
        <v>575</v>
      </c>
      <c r="AF149">
        <v>29.4943820224719</v>
      </c>
      <c r="AG149">
        <v>24.925416557475909</v>
      </c>
      <c r="AH149">
        <f>27.2162391580922*1</f>
        <v>27.216239158092201</v>
      </c>
      <c r="AI149">
        <f>1.80251579289699*1</f>
        <v>1.8025157928969899</v>
      </c>
      <c r="AJ149">
        <v>1</v>
      </c>
      <c r="AK149">
        <v>0</v>
      </c>
      <c r="AL149">
        <v>0</v>
      </c>
    </row>
    <row r="150" spans="1:38" hidden="1" x14ac:dyDescent="0.2">
      <c r="A150" t="s">
        <v>359</v>
      </c>
      <c r="B150" t="s">
        <v>360</v>
      </c>
      <c r="C150" t="s">
        <v>360</v>
      </c>
      <c r="D150" t="s">
        <v>3</v>
      </c>
      <c r="E150">
        <v>1</v>
      </c>
      <c r="F150">
        <v>0</v>
      </c>
      <c r="G150">
        <v>0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5</v>
      </c>
      <c r="AE150">
        <v>581</v>
      </c>
      <c r="AF150">
        <v>0</v>
      </c>
      <c r="AG150">
        <v>0</v>
      </c>
      <c r="AH150">
        <f>0*1</f>
        <v>0</v>
      </c>
      <c r="AI150">
        <f>0*1</f>
        <v>0</v>
      </c>
      <c r="AJ150">
        <v>1</v>
      </c>
      <c r="AK150">
        <v>1</v>
      </c>
      <c r="AL150">
        <v>0</v>
      </c>
    </row>
    <row r="151" spans="1:38" hidden="1" x14ac:dyDescent="0.2">
      <c r="A151" t="s">
        <v>361</v>
      </c>
      <c r="B151" t="s">
        <v>362</v>
      </c>
      <c r="C151" t="s">
        <v>362</v>
      </c>
      <c r="D151" t="s">
        <v>6</v>
      </c>
      <c r="E151">
        <v>0</v>
      </c>
      <c r="F151">
        <v>0</v>
      </c>
      <c r="G151">
        <v>0</v>
      </c>
      <c r="H151">
        <v>1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7.1</v>
      </c>
      <c r="AE151">
        <v>584</v>
      </c>
      <c r="AF151">
        <v>56.938563868394063</v>
      </c>
      <c r="AG151">
        <v>50.411050224403724</v>
      </c>
      <c r="AH151">
        <f>59.7738606498654*1</f>
        <v>59.773860649865398</v>
      </c>
      <c r="AI151">
        <f>3.61861936171413*1</f>
        <v>3.61861936171413</v>
      </c>
      <c r="AJ151">
        <v>1</v>
      </c>
      <c r="AK151">
        <v>0</v>
      </c>
      <c r="AL151">
        <v>0</v>
      </c>
    </row>
    <row r="152" spans="1:38" hidden="1" x14ac:dyDescent="0.2">
      <c r="A152" t="s">
        <v>89</v>
      </c>
      <c r="B152" t="s">
        <v>363</v>
      </c>
      <c r="C152" t="s">
        <v>363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4.9000000000000004</v>
      </c>
      <c r="AE152">
        <v>586</v>
      </c>
      <c r="AF152">
        <v>28.554216867469869</v>
      </c>
      <c r="AG152">
        <v>18.333396860576741</v>
      </c>
      <c r="AH152">
        <f>24.6336523946762*1</f>
        <v>24.633652394676201</v>
      </c>
      <c r="AI152">
        <f>1.65501856464791*1</f>
        <v>1.6550185646479101</v>
      </c>
      <c r="AJ152">
        <v>1</v>
      </c>
      <c r="AK152">
        <v>0</v>
      </c>
      <c r="AL152">
        <v>0</v>
      </c>
    </row>
    <row r="153" spans="1:38" hidden="1" x14ac:dyDescent="0.2">
      <c r="A153" t="s">
        <v>364</v>
      </c>
      <c r="B153" t="s">
        <v>365</v>
      </c>
      <c r="C153" t="s">
        <v>365</v>
      </c>
      <c r="D153" t="s">
        <v>6</v>
      </c>
      <c r="E153">
        <v>0</v>
      </c>
      <c r="F153">
        <v>0</v>
      </c>
      <c r="G153">
        <v>0</v>
      </c>
      <c r="H153">
        <v>1</v>
      </c>
      <c r="I153" t="s">
        <v>28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5</v>
      </c>
      <c r="AE153">
        <v>596</v>
      </c>
      <c r="AF153">
        <v>33.050847457627107</v>
      </c>
      <c r="AG153">
        <v>47.420275441523231</v>
      </c>
      <c r="AH153">
        <f>19.9934117251168*1</f>
        <v>19.9934117251168</v>
      </c>
      <c r="AI153">
        <f>1.41483035616717*1</f>
        <v>1.41483035616717</v>
      </c>
      <c r="AJ153">
        <v>1</v>
      </c>
      <c r="AK153">
        <v>0</v>
      </c>
      <c r="AL153">
        <v>0</v>
      </c>
    </row>
    <row r="154" spans="1:38" hidden="1" x14ac:dyDescent="0.2">
      <c r="A154" t="s">
        <v>105</v>
      </c>
      <c r="B154" t="s">
        <v>366</v>
      </c>
      <c r="C154" t="s">
        <v>366</v>
      </c>
      <c r="D154" t="s">
        <v>6</v>
      </c>
      <c r="E154">
        <v>0</v>
      </c>
      <c r="F154">
        <v>0</v>
      </c>
      <c r="G154">
        <v>0</v>
      </c>
      <c r="H154">
        <v>1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5.0999999999999996</v>
      </c>
      <c r="AE154">
        <v>602</v>
      </c>
      <c r="AF154">
        <v>31.862923484117349</v>
      </c>
      <c r="AG154">
        <v>32.062853671711778</v>
      </c>
      <c r="AH154">
        <f>21.1269823118982*1</f>
        <v>21.1269823118982</v>
      </c>
      <c r="AI154">
        <f>1.19700475265026*1</f>
        <v>1.1970047526502601</v>
      </c>
      <c r="AJ154">
        <v>1</v>
      </c>
      <c r="AK154">
        <v>0</v>
      </c>
      <c r="AL154">
        <v>0</v>
      </c>
    </row>
    <row r="155" spans="1:38" hidden="1" x14ac:dyDescent="0.2">
      <c r="A155" t="s">
        <v>367</v>
      </c>
      <c r="B155" t="s">
        <v>368</v>
      </c>
      <c r="C155" t="s">
        <v>368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4</v>
      </c>
      <c r="AE155">
        <v>604</v>
      </c>
      <c r="AF155">
        <v>39.584040660102829</v>
      </c>
      <c r="AG155">
        <v>37.257562823796668</v>
      </c>
      <c r="AH155">
        <f>20.3004629774241*1</f>
        <v>20.3004629774241</v>
      </c>
      <c r="AI155">
        <f>1.44812890083211*1</f>
        <v>1.4481289008321101</v>
      </c>
      <c r="AJ155">
        <v>1</v>
      </c>
      <c r="AK155">
        <v>0</v>
      </c>
      <c r="AL155">
        <v>0</v>
      </c>
    </row>
    <row r="156" spans="1:38" hidden="1" x14ac:dyDescent="0.2">
      <c r="A156" t="s">
        <v>369</v>
      </c>
      <c r="B156" t="s">
        <v>370</v>
      </c>
      <c r="C156" t="s">
        <v>370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4.3</v>
      </c>
      <c r="AE156">
        <v>625</v>
      </c>
      <c r="AF156">
        <v>24.64106273462458</v>
      </c>
      <c r="AG156">
        <v>42.204666494786359</v>
      </c>
      <c r="AH156">
        <f>11.4881395130489*1</f>
        <v>11.4881395130489</v>
      </c>
      <c r="AI156">
        <f>0.665628645429417*1</f>
        <v>0.66562864542941702</v>
      </c>
      <c r="AJ156">
        <v>1</v>
      </c>
      <c r="AK156">
        <v>0</v>
      </c>
      <c r="AL156">
        <v>0</v>
      </c>
    </row>
    <row r="157" spans="1:38" hidden="1" x14ac:dyDescent="0.2">
      <c r="A157" t="s">
        <v>371</v>
      </c>
      <c r="B157" t="s">
        <v>372</v>
      </c>
      <c r="C157" t="s">
        <v>372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4.7</v>
      </c>
      <c r="AE157">
        <v>628</v>
      </c>
      <c r="AF157">
        <v>0</v>
      </c>
      <c r="AG157">
        <v>0</v>
      </c>
      <c r="AH157">
        <f>0*1</f>
        <v>0</v>
      </c>
      <c r="AI157">
        <f>0*1</f>
        <v>0</v>
      </c>
      <c r="AJ157">
        <v>1</v>
      </c>
      <c r="AK157">
        <v>0</v>
      </c>
      <c r="AL157">
        <v>0</v>
      </c>
    </row>
    <row r="158" spans="1:38" hidden="1" x14ac:dyDescent="0.2">
      <c r="A158" t="s">
        <v>373</v>
      </c>
      <c r="B158" t="s">
        <v>374</v>
      </c>
      <c r="C158" t="s">
        <v>374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4.8</v>
      </c>
      <c r="AE158">
        <v>642</v>
      </c>
      <c r="AF158">
        <v>28.114285714285689</v>
      </c>
      <c r="AG158">
        <v>26.93401801283801</v>
      </c>
      <c r="AH158">
        <f>18.7877086391882*1</f>
        <v>18.7877086391882</v>
      </c>
      <c r="AI158">
        <f>1.23475125373199*1</f>
        <v>1.23475125373199</v>
      </c>
      <c r="AJ158">
        <v>1</v>
      </c>
      <c r="AK158">
        <v>0</v>
      </c>
      <c r="AL158">
        <v>0</v>
      </c>
    </row>
    <row r="159" spans="1:38" hidden="1" x14ac:dyDescent="0.2">
      <c r="A159" t="s">
        <v>375</v>
      </c>
      <c r="B159" t="s">
        <v>376</v>
      </c>
      <c r="C159" t="s">
        <v>376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6.3</v>
      </c>
      <c r="AE159">
        <v>651</v>
      </c>
      <c r="AF159">
        <v>54.230769230769212</v>
      </c>
      <c r="AG159">
        <v>44.479701560126458</v>
      </c>
      <c r="AH159">
        <f>47.475749337343*1</f>
        <v>47.475749337342997</v>
      </c>
      <c r="AI159">
        <f>3.16966676462048*1</f>
        <v>3.1696667646204801</v>
      </c>
      <c r="AJ159">
        <v>1</v>
      </c>
      <c r="AK159">
        <v>0</v>
      </c>
      <c r="AL159">
        <v>0</v>
      </c>
    </row>
    <row r="160" spans="1:38" hidden="1" x14ac:dyDescent="0.2">
      <c r="A160" t="s">
        <v>377</v>
      </c>
      <c r="B160" t="s">
        <v>378</v>
      </c>
      <c r="C160" t="s">
        <v>378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6.4</v>
      </c>
      <c r="AE160">
        <v>652</v>
      </c>
      <c r="AF160">
        <v>58.811881188118818</v>
      </c>
      <c r="AG160">
        <v>56.195775439713962</v>
      </c>
      <c r="AH160">
        <f>35.6573087696763*1</f>
        <v>35.657308769676298</v>
      </c>
      <c r="AI160">
        <f>2.37227964221399*1</f>
        <v>2.3722796422139898</v>
      </c>
      <c r="AJ160">
        <v>1</v>
      </c>
      <c r="AK160">
        <v>0</v>
      </c>
      <c r="AL160">
        <v>0</v>
      </c>
    </row>
    <row r="161" spans="1:38" hidden="1" x14ac:dyDescent="0.2">
      <c r="A161" t="s">
        <v>212</v>
      </c>
      <c r="B161" t="s">
        <v>379</v>
      </c>
      <c r="C161" t="s">
        <v>379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7.4</v>
      </c>
      <c r="AE161">
        <v>654</v>
      </c>
      <c r="AF161">
        <v>59.540074662726191</v>
      </c>
      <c r="AG161">
        <v>72.948939561067462</v>
      </c>
      <c r="AH161">
        <f>42.7379457740023*1</f>
        <v>42.737945774002299</v>
      </c>
      <c r="AI161">
        <f>2.5808308661861*1</f>
        <v>2.5808308661860999</v>
      </c>
      <c r="AJ161">
        <v>1</v>
      </c>
      <c r="AK161">
        <v>0</v>
      </c>
      <c r="AL161">
        <v>0</v>
      </c>
    </row>
    <row r="162" spans="1:38" hidden="1" x14ac:dyDescent="0.2">
      <c r="A162" t="s">
        <v>174</v>
      </c>
      <c r="B162" t="s">
        <v>380</v>
      </c>
      <c r="C162" t="s">
        <v>381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29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5.4</v>
      </c>
      <c r="AE162">
        <v>655</v>
      </c>
      <c r="AF162">
        <v>56.072647086120078</v>
      </c>
      <c r="AG162">
        <v>57.086492673295737</v>
      </c>
      <c r="AH162">
        <f>27.6723752893344*1</f>
        <v>27.672375289334401</v>
      </c>
      <c r="AI162">
        <f>2.10870084060188*1</f>
        <v>2.1087008406018799</v>
      </c>
      <c r="AJ162">
        <v>1</v>
      </c>
      <c r="AK162">
        <v>0</v>
      </c>
      <c r="AL162">
        <v>0</v>
      </c>
    </row>
    <row r="163" spans="1:38" hidden="1" x14ac:dyDescent="0.2">
      <c r="A163" t="s">
        <v>382</v>
      </c>
      <c r="B163" t="s">
        <v>196</v>
      </c>
      <c r="C163" t="s">
        <v>383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29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4.8</v>
      </c>
      <c r="AE163">
        <v>659</v>
      </c>
      <c r="AF163">
        <v>32.045454545454547</v>
      </c>
      <c r="AG163">
        <v>35.901174657884937</v>
      </c>
      <c r="AH163">
        <f>15.6231041636964*1</f>
        <v>15.6231041636964</v>
      </c>
      <c r="AI163">
        <f>1.01029441280434*1</f>
        <v>1.0102944128043401</v>
      </c>
      <c r="AJ163">
        <v>1</v>
      </c>
      <c r="AK163">
        <v>0</v>
      </c>
      <c r="AL163">
        <v>0</v>
      </c>
    </row>
    <row r="164" spans="1:38" hidden="1" x14ac:dyDescent="0.2">
      <c r="A164" t="s">
        <v>384</v>
      </c>
      <c r="B164" t="s">
        <v>385</v>
      </c>
      <c r="C164" t="s">
        <v>384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9.8000000000000007</v>
      </c>
      <c r="AE164">
        <v>662</v>
      </c>
      <c r="AF164">
        <v>76.870811554649293</v>
      </c>
      <c r="AG164">
        <v>101.7117982667817</v>
      </c>
      <c r="AH164">
        <f>48.9638011388774*1</f>
        <v>48.9638011388774</v>
      </c>
      <c r="AI164">
        <f>3.34633808692871*1</f>
        <v>3.3463380869287098</v>
      </c>
      <c r="AJ164">
        <v>1</v>
      </c>
      <c r="AK164">
        <v>0</v>
      </c>
      <c r="AL164">
        <v>0</v>
      </c>
    </row>
    <row r="165" spans="1:38" hidden="1" x14ac:dyDescent="0.2">
      <c r="A165" t="s">
        <v>386</v>
      </c>
      <c r="B165" t="s">
        <v>387</v>
      </c>
      <c r="C165" t="s">
        <v>387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4.8</v>
      </c>
      <c r="AE165">
        <v>664</v>
      </c>
      <c r="AF165">
        <v>0</v>
      </c>
      <c r="AG165">
        <v>0</v>
      </c>
      <c r="AH165">
        <f>0*1</f>
        <v>0</v>
      </c>
      <c r="AI165">
        <f>0*1</f>
        <v>0</v>
      </c>
      <c r="AJ165">
        <v>1</v>
      </c>
      <c r="AK165">
        <v>0</v>
      </c>
      <c r="AL165">
        <v>0</v>
      </c>
    </row>
    <row r="166" spans="1:38" hidden="1" x14ac:dyDescent="0.2">
      <c r="A166" t="s">
        <v>388</v>
      </c>
      <c r="B166" t="s">
        <v>389</v>
      </c>
      <c r="C166" t="s">
        <v>389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29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6.2</v>
      </c>
      <c r="AE166">
        <v>668</v>
      </c>
      <c r="AF166">
        <v>48.580847813280428</v>
      </c>
      <c r="AG166">
        <v>54.801129410451011</v>
      </c>
      <c r="AH166">
        <f>18.1177977878037*1</f>
        <v>18.117797787803699</v>
      </c>
      <c r="AI166">
        <f>1.07760115946875*1</f>
        <v>1.07760115946875</v>
      </c>
      <c r="AJ166">
        <v>1</v>
      </c>
      <c r="AK166">
        <v>0</v>
      </c>
      <c r="AL166">
        <v>0</v>
      </c>
    </row>
    <row r="167" spans="1:38" hidden="1" x14ac:dyDescent="0.2">
      <c r="A167" t="s">
        <v>390</v>
      </c>
      <c r="B167" t="s">
        <v>391</v>
      </c>
      <c r="C167" t="s">
        <v>391</v>
      </c>
      <c r="D167" t="s">
        <v>4</v>
      </c>
      <c r="E167">
        <v>0</v>
      </c>
      <c r="F167">
        <v>1</v>
      </c>
      <c r="G167">
        <v>0</v>
      </c>
      <c r="H167">
        <v>0</v>
      </c>
      <c r="I167" t="s">
        <v>30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4.5</v>
      </c>
      <c r="AE167">
        <v>682</v>
      </c>
      <c r="AF167">
        <v>48.083333333333307</v>
      </c>
      <c r="AG167">
        <v>45.97842046193972</v>
      </c>
      <c r="AH167">
        <f>27.2699967437299*1</f>
        <v>27.269996743729902</v>
      </c>
      <c r="AI167">
        <f>1.95997620234991*1</f>
        <v>1.9599762023499101</v>
      </c>
      <c r="AJ167">
        <v>1</v>
      </c>
      <c r="AK167">
        <v>0</v>
      </c>
      <c r="AL167">
        <v>0</v>
      </c>
    </row>
    <row r="168" spans="1:38" hidden="1" x14ac:dyDescent="0.2">
      <c r="A168" t="s">
        <v>392</v>
      </c>
      <c r="B168" t="s">
        <v>393</v>
      </c>
      <c r="C168" t="s">
        <v>394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5</v>
      </c>
      <c r="AE168">
        <v>683</v>
      </c>
      <c r="AF168">
        <v>26.100000000000019</v>
      </c>
      <c r="AG168">
        <v>23.71895039371573</v>
      </c>
      <c r="AH168">
        <f>11.2897606419879*1</f>
        <v>11.2897606419879</v>
      </c>
      <c r="AI168">
        <f>0.731029905613497*1</f>
        <v>0.73102990561349701</v>
      </c>
      <c r="AJ168">
        <v>1</v>
      </c>
      <c r="AK168">
        <v>0</v>
      </c>
      <c r="AL168">
        <v>0</v>
      </c>
    </row>
    <row r="169" spans="1:38" hidden="1" x14ac:dyDescent="0.2">
      <c r="A169" t="s">
        <v>395</v>
      </c>
      <c r="B169" t="s">
        <v>396</v>
      </c>
      <c r="C169" t="s">
        <v>396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30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7.3</v>
      </c>
      <c r="AE169">
        <v>686</v>
      </c>
      <c r="AF169">
        <v>68.388740550438683</v>
      </c>
      <c r="AG169">
        <v>69.648698775001918</v>
      </c>
      <c r="AH169">
        <f>47.7592456526765*1</f>
        <v>47.759245652676498</v>
      </c>
      <c r="AI169">
        <f>2.97276154210229*1</f>
        <v>2.9727615421022899</v>
      </c>
      <c r="AJ169">
        <v>1</v>
      </c>
      <c r="AK169">
        <v>0</v>
      </c>
      <c r="AL169">
        <v>0</v>
      </c>
    </row>
    <row r="170" spans="1:38" hidden="1" x14ac:dyDescent="0.2">
      <c r="A170" t="s">
        <v>397</v>
      </c>
      <c r="B170" t="s">
        <v>398</v>
      </c>
      <c r="C170" t="s">
        <v>397</v>
      </c>
      <c r="D170" t="s">
        <v>4</v>
      </c>
      <c r="E170">
        <v>0</v>
      </c>
      <c r="F170">
        <v>1</v>
      </c>
      <c r="G170">
        <v>0</v>
      </c>
      <c r="H170">
        <v>0</v>
      </c>
      <c r="I170" t="s">
        <v>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4.4000000000000004</v>
      </c>
      <c r="AE170">
        <v>690</v>
      </c>
      <c r="AF170">
        <v>33.274777864408406</v>
      </c>
      <c r="AG170">
        <v>28.270520404831061</v>
      </c>
      <c r="AH170">
        <f>30.4326814448419*1</f>
        <v>30.432681444841901</v>
      </c>
      <c r="AI170">
        <f>3.21427588302153*1</f>
        <v>3.2142758830215299</v>
      </c>
      <c r="AJ170">
        <v>1</v>
      </c>
      <c r="AK170">
        <v>0</v>
      </c>
      <c r="AL170">
        <v>0</v>
      </c>
    </row>
    <row r="171" spans="1:38" hidden="1" x14ac:dyDescent="0.2">
      <c r="A171" t="s">
        <v>399</v>
      </c>
      <c r="B171" t="s">
        <v>400</v>
      </c>
      <c r="C171" t="s">
        <v>400</v>
      </c>
      <c r="D171" t="s">
        <v>4</v>
      </c>
      <c r="E171">
        <v>0</v>
      </c>
      <c r="F171">
        <v>1</v>
      </c>
      <c r="G171">
        <v>0</v>
      </c>
      <c r="H171">
        <v>0</v>
      </c>
      <c r="I171" t="s">
        <v>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4.3</v>
      </c>
      <c r="AE171">
        <v>694</v>
      </c>
      <c r="AF171">
        <v>32.189714160837539</v>
      </c>
      <c r="AG171">
        <v>47.175848803433183</v>
      </c>
      <c r="AH171">
        <f>14.2382620503006*1</f>
        <v>14.2382620503006</v>
      </c>
      <c r="AI171">
        <f>0.912279314752346*1</f>
        <v>0.91227931475234603</v>
      </c>
      <c r="AJ171">
        <v>1</v>
      </c>
      <c r="AK171">
        <v>0</v>
      </c>
      <c r="AL171">
        <v>0</v>
      </c>
    </row>
    <row r="172" spans="1:38" hidden="1" x14ac:dyDescent="0.2">
      <c r="A172" t="s">
        <v>401</v>
      </c>
      <c r="B172" t="s">
        <v>402</v>
      </c>
      <c r="C172" t="s">
        <v>402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30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6.2</v>
      </c>
      <c r="AE172">
        <v>695</v>
      </c>
      <c r="AF172">
        <v>55.087644877421603</v>
      </c>
      <c r="AG172">
        <v>62.629939115128963</v>
      </c>
      <c r="AH172">
        <f>23.0477099600553*1</f>
        <v>23.0477099600553</v>
      </c>
      <c r="AI172">
        <f>1.64238922807311*1</f>
        <v>1.6423892280731101</v>
      </c>
      <c r="AJ172">
        <v>1</v>
      </c>
      <c r="AK172">
        <v>0</v>
      </c>
      <c r="AL172">
        <v>0</v>
      </c>
    </row>
    <row r="173" spans="1:38" hidden="1" x14ac:dyDescent="0.2">
      <c r="A173" t="s">
        <v>66</v>
      </c>
      <c r="B173" t="s">
        <v>403</v>
      </c>
      <c r="C173" t="s">
        <v>404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30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5.7</v>
      </c>
      <c r="AE173">
        <v>697</v>
      </c>
      <c r="AF173">
        <v>46.837419748465678</v>
      </c>
      <c r="AG173">
        <v>53.700640272056312</v>
      </c>
      <c r="AH173">
        <f>22.7974965955007*1</f>
        <v>22.7974965955007</v>
      </c>
      <c r="AI173">
        <f>1.46294470106759*1</f>
        <v>1.46294470106759</v>
      </c>
      <c r="AJ173">
        <v>1</v>
      </c>
      <c r="AK173">
        <v>0</v>
      </c>
      <c r="AL173">
        <v>0</v>
      </c>
    </row>
    <row r="174" spans="1:38" hidden="1" x14ac:dyDescent="0.2">
      <c r="A174" t="s">
        <v>405</v>
      </c>
      <c r="B174" t="s">
        <v>406</v>
      </c>
      <c r="C174" t="s">
        <v>406</v>
      </c>
      <c r="D174" t="s">
        <v>4</v>
      </c>
      <c r="E174">
        <v>0</v>
      </c>
      <c r="F174">
        <v>1</v>
      </c>
      <c r="G174">
        <v>0</v>
      </c>
      <c r="H174">
        <v>0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4.3</v>
      </c>
      <c r="AE174">
        <v>698</v>
      </c>
      <c r="AF174">
        <v>0</v>
      </c>
      <c r="AG174">
        <v>0</v>
      </c>
      <c r="AH174">
        <f>0*1</f>
        <v>0</v>
      </c>
      <c r="AI174">
        <f>0*1</f>
        <v>0</v>
      </c>
      <c r="AJ174">
        <v>1</v>
      </c>
      <c r="AK174">
        <v>0</v>
      </c>
      <c r="AL174">
        <v>0</v>
      </c>
    </row>
    <row r="175" spans="1:38" hidden="1" x14ac:dyDescent="0.2">
      <c r="A175" t="s">
        <v>407</v>
      </c>
      <c r="B175" t="s">
        <v>408</v>
      </c>
      <c r="C175" t="s">
        <v>408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4.9000000000000004</v>
      </c>
      <c r="AE175">
        <v>700</v>
      </c>
      <c r="AF175">
        <v>49.137931034482747</v>
      </c>
      <c r="AG175">
        <v>35.876933683829009</v>
      </c>
      <c r="AH175">
        <f>41.7129665548605*1</f>
        <v>41.7129665548605</v>
      </c>
      <c r="AI175">
        <f>2.7743913330244*1</f>
        <v>2.7743913330244001</v>
      </c>
      <c r="AJ175">
        <v>1</v>
      </c>
      <c r="AK175">
        <v>0</v>
      </c>
      <c r="AL175">
        <v>0</v>
      </c>
    </row>
    <row r="176" spans="1:38" hidden="1" x14ac:dyDescent="0.2">
      <c r="A176" t="s">
        <v>409</v>
      </c>
      <c r="B176" t="s">
        <v>410</v>
      </c>
      <c r="C176" t="s">
        <v>410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30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5.6</v>
      </c>
      <c r="AE176">
        <v>703</v>
      </c>
      <c r="AF176">
        <v>31.898615552410579</v>
      </c>
      <c r="AG176">
        <v>64.385884809335309</v>
      </c>
      <c r="AH176">
        <f>11.5392574332647*1</f>
        <v>11.5392574332647</v>
      </c>
      <c r="AI176">
        <f>0.87363950184793*1</f>
        <v>0.87363950184793004</v>
      </c>
      <c r="AJ176">
        <v>1</v>
      </c>
      <c r="AK176">
        <v>0</v>
      </c>
      <c r="AL176">
        <v>0</v>
      </c>
    </row>
    <row r="177" spans="1:38" hidden="1" x14ac:dyDescent="0.2">
      <c r="A177" t="s">
        <v>411</v>
      </c>
      <c r="B177" t="s">
        <v>412</v>
      </c>
      <c r="C177" t="s">
        <v>412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31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4.7</v>
      </c>
      <c r="AE177">
        <v>714</v>
      </c>
      <c r="AF177">
        <v>0</v>
      </c>
      <c r="AG177">
        <v>0</v>
      </c>
      <c r="AH177">
        <f>0*1</f>
        <v>0</v>
      </c>
      <c r="AI177">
        <f>0*1</f>
        <v>0</v>
      </c>
      <c r="AJ177">
        <v>1</v>
      </c>
      <c r="AK177">
        <v>0</v>
      </c>
      <c r="AL177">
        <v>0</v>
      </c>
    </row>
    <row r="178" spans="1:38" hidden="1" x14ac:dyDescent="0.2">
      <c r="A178" t="s">
        <v>413</v>
      </c>
      <c r="B178" t="s">
        <v>414</v>
      </c>
      <c r="C178" t="s">
        <v>414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31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4.9000000000000004</v>
      </c>
      <c r="AE178">
        <v>716</v>
      </c>
      <c r="AF178">
        <v>0</v>
      </c>
      <c r="AG178">
        <v>0</v>
      </c>
      <c r="AH178">
        <f>0*1</f>
        <v>0</v>
      </c>
      <c r="AI178">
        <f>0*1</f>
        <v>0</v>
      </c>
      <c r="AJ178">
        <v>1</v>
      </c>
      <c r="AK178">
        <v>0</v>
      </c>
      <c r="AL178">
        <v>0</v>
      </c>
    </row>
    <row r="179" spans="1:38" x14ac:dyDescent="0.2">
      <c r="A179" t="s">
        <v>312</v>
      </c>
      <c r="B179" t="s">
        <v>313</v>
      </c>
      <c r="C179" t="s">
        <v>313</v>
      </c>
      <c r="D179" t="s">
        <v>3</v>
      </c>
      <c r="E179">
        <v>1</v>
      </c>
      <c r="F179">
        <v>0</v>
      </c>
      <c r="G179">
        <v>0</v>
      </c>
      <c r="H179">
        <v>0</v>
      </c>
      <c r="I179" t="s">
        <v>25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5</v>
      </c>
      <c r="AE179">
        <v>509</v>
      </c>
      <c r="AF179">
        <v>53</v>
      </c>
      <c r="AG179">
        <v>51.090084624415248</v>
      </c>
      <c r="AH179">
        <f>40.5558509521037*1</f>
        <v>40.555850952103697</v>
      </c>
      <c r="AI179">
        <f>2.61016050635505*1</f>
        <v>2.6101605063550499</v>
      </c>
      <c r="AJ179">
        <v>1</v>
      </c>
      <c r="AK179">
        <v>0</v>
      </c>
      <c r="AL179">
        <v>1</v>
      </c>
    </row>
    <row r="180" spans="1:38" hidden="1" x14ac:dyDescent="0.2">
      <c r="A180" t="s">
        <v>418</v>
      </c>
      <c r="B180" t="s">
        <v>419</v>
      </c>
      <c r="C180" t="s">
        <v>419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4.8</v>
      </c>
      <c r="AE180">
        <v>725</v>
      </c>
      <c r="AF180">
        <v>0</v>
      </c>
      <c r="AG180">
        <v>0</v>
      </c>
      <c r="AH180">
        <f>0*1</f>
        <v>0</v>
      </c>
      <c r="AI180">
        <f>0*1</f>
        <v>0</v>
      </c>
      <c r="AJ180">
        <v>1</v>
      </c>
      <c r="AK180">
        <v>0</v>
      </c>
      <c r="AL180">
        <v>0</v>
      </c>
    </row>
    <row r="181" spans="1:38" hidden="1" x14ac:dyDescent="0.2">
      <c r="A181" t="s">
        <v>420</v>
      </c>
      <c r="B181" t="s">
        <v>421</v>
      </c>
      <c r="C181" t="s">
        <v>422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31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5.3</v>
      </c>
      <c r="AE181">
        <v>729</v>
      </c>
      <c r="AF181">
        <v>0</v>
      </c>
      <c r="AG181">
        <v>0</v>
      </c>
      <c r="AH181">
        <f>0*1</f>
        <v>0</v>
      </c>
      <c r="AI181">
        <f>0*1</f>
        <v>0</v>
      </c>
      <c r="AJ181">
        <v>1</v>
      </c>
      <c r="AK181">
        <v>0</v>
      </c>
      <c r="AL181">
        <v>0</v>
      </c>
    </row>
    <row r="182" spans="1:38" hidden="1" x14ac:dyDescent="0.2">
      <c r="A182" t="s">
        <v>423</v>
      </c>
      <c r="B182" t="s">
        <v>424</v>
      </c>
      <c r="C182" t="s">
        <v>425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31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4.9000000000000004</v>
      </c>
      <c r="AE182">
        <v>734</v>
      </c>
      <c r="AF182">
        <v>33.756320745068997</v>
      </c>
      <c r="AG182">
        <v>24.399079872264259</v>
      </c>
      <c r="AH182">
        <f>20.440966615307*1</f>
        <v>20.440966615307001</v>
      </c>
      <c r="AI182">
        <f>1.60503320738292*1</f>
        <v>1.6050332073829201</v>
      </c>
      <c r="AJ182">
        <v>1</v>
      </c>
      <c r="AK182">
        <v>0</v>
      </c>
      <c r="AL182">
        <v>0</v>
      </c>
    </row>
    <row r="183" spans="1:38" hidden="1" x14ac:dyDescent="0.2">
      <c r="A183" t="s">
        <v>426</v>
      </c>
      <c r="B183" t="s">
        <v>427</v>
      </c>
      <c r="C183" t="s">
        <v>428</v>
      </c>
      <c r="D183" t="s">
        <v>5</v>
      </c>
      <c r="E183">
        <v>0</v>
      </c>
      <c r="F183">
        <v>0</v>
      </c>
      <c r="G183">
        <v>1</v>
      </c>
      <c r="H183">
        <v>0</v>
      </c>
      <c r="I183" t="s">
        <v>31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4.8</v>
      </c>
      <c r="AE183">
        <v>738</v>
      </c>
      <c r="AF183">
        <v>34.784482758620697</v>
      </c>
      <c r="AG183">
        <v>29.69491438373721</v>
      </c>
      <c r="AH183">
        <f>33.4131996346307*1</f>
        <v>33.413199634630701</v>
      </c>
      <c r="AI183">
        <f>2.2363494547029*1</f>
        <v>2.2363494547028999</v>
      </c>
      <c r="AJ183">
        <v>1</v>
      </c>
      <c r="AK183">
        <v>0</v>
      </c>
      <c r="AL183">
        <v>0</v>
      </c>
    </row>
    <row r="184" spans="1:38" hidden="1" x14ac:dyDescent="0.2">
      <c r="A184" t="s">
        <v>429</v>
      </c>
      <c r="B184" t="s">
        <v>430</v>
      </c>
      <c r="C184" t="s">
        <v>431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31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4.5</v>
      </c>
      <c r="AE184">
        <v>740</v>
      </c>
      <c r="AF184">
        <v>30.086044692739481</v>
      </c>
      <c r="AG184">
        <v>46.850081728985877</v>
      </c>
      <c r="AH184">
        <f>12.3303913878663*1</f>
        <v>12.3303913878663</v>
      </c>
      <c r="AI184">
        <f>1.43204590696596*1</f>
        <v>1.4320459069659599</v>
      </c>
      <c r="AJ184">
        <v>1</v>
      </c>
      <c r="AK184">
        <v>0</v>
      </c>
      <c r="AL184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2025-01-31T12:42:14Z</dcterms:created>
  <dcterms:modified xsi:type="dcterms:W3CDTF">2025-01-31T12:46:33Z</dcterms:modified>
</cp:coreProperties>
</file>