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ridog/Documents/FPL-predictor/Predictions/2025-26/"/>
    </mc:Choice>
  </mc:AlternateContent>
  <xr:revisionPtr revIDLastSave="0" documentId="13_ncr:1_{2E6A3DF8-711E-2B4D-87AB-96088150CB1E}" xr6:coauthVersionLast="47" xr6:coauthVersionMax="47" xr10:uidLastSave="{00000000-0000-0000-0000-000000000000}"/>
  <bookViews>
    <workbookView xWindow="240" yWindow="500" windowWidth="18420" windowHeight="15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66" i="1" l="1"/>
  <c r="AH166" i="1"/>
  <c r="AI165" i="1"/>
  <c r="AH165" i="1"/>
  <c r="AI164" i="1"/>
  <c r="AH164" i="1"/>
  <c r="AI163" i="1"/>
  <c r="AH163" i="1"/>
  <c r="AI162" i="1"/>
  <c r="AH162" i="1"/>
  <c r="AI161" i="1"/>
  <c r="AH161" i="1"/>
  <c r="AI45" i="1"/>
  <c r="AH45" i="1"/>
  <c r="AI159" i="1"/>
  <c r="AH159" i="1"/>
  <c r="AI158" i="1"/>
  <c r="AH158" i="1"/>
  <c r="AI157" i="1"/>
  <c r="AH157" i="1"/>
  <c r="AI156" i="1"/>
  <c r="AH156" i="1"/>
  <c r="AI140" i="1"/>
  <c r="AH140" i="1"/>
  <c r="AI154" i="1"/>
  <c r="AH154" i="1"/>
  <c r="AI153" i="1"/>
  <c r="AH153" i="1"/>
  <c r="AI152" i="1"/>
  <c r="AH152" i="1"/>
  <c r="AI151" i="1"/>
  <c r="AH151" i="1"/>
  <c r="AI150" i="1"/>
  <c r="AH150" i="1"/>
  <c r="AI149" i="1"/>
  <c r="AH149" i="1"/>
  <c r="AI148" i="1"/>
  <c r="AH148" i="1"/>
  <c r="AI147" i="1"/>
  <c r="AH147" i="1"/>
  <c r="AI146" i="1"/>
  <c r="AH146" i="1"/>
  <c r="AI145" i="1"/>
  <c r="AH145" i="1"/>
  <c r="AI144" i="1"/>
  <c r="AH144" i="1"/>
  <c r="AI143" i="1"/>
  <c r="AH143" i="1"/>
  <c r="AI142" i="1"/>
  <c r="AH142" i="1"/>
  <c r="AI141" i="1"/>
  <c r="AH141" i="1"/>
  <c r="AI117" i="1"/>
  <c r="AH117" i="1"/>
  <c r="AI139" i="1"/>
  <c r="AH139" i="1"/>
  <c r="AI138" i="1"/>
  <c r="AH138" i="1"/>
  <c r="AI137" i="1"/>
  <c r="AH137" i="1"/>
  <c r="AI136" i="1"/>
  <c r="AH136" i="1"/>
  <c r="AI135" i="1"/>
  <c r="AH135" i="1"/>
  <c r="AI134" i="1"/>
  <c r="AH134" i="1"/>
  <c r="AI160" i="1"/>
  <c r="AH160" i="1"/>
  <c r="AI92" i="1"/>
  <c r="AH92" i="1"/>
  <c r="AI131" i="1"/>
  <c r="AH131" i="1"/>
  <c r="AI130" i="1"/>
  <c r="AH130" i="1"/>
  <c r="AI129" i="1"/>
  <c r="AH129" i="1"/>
  <c r="AI128" i="1"/>
  <c r="AH128" i="1"/>
  <c r="AI127" i="1"/>
  <c r="AH127" i="1"/>
  <c r="AI126" i="1"/>
  <c r="AH126" i="1"/>
  <c r="AI125" i="1"/>
  <c r="AH125" i="1"/>
  <c r="AI124" i="1"/>
  <c r="AH124" i="1"/>
  <c r="AI123" i="1"/>
  <c r="AH123" i="1"/>
  <c r="AI122" i="1"/>
  <c r="AH122" i="1"/>
  <c r="AI121" i="1"/>
  <c r="AH121" i="1"/>
  <c r="AI120" i="1"/>
  <c r="AH120" i="1"/>
  <c r="AI119" i="1"/>
  <c r="AH119" i="1"/>
  <c r="AI118" i="1"/>
  <c r="AH118" i="1"/>
  <c r="AI107" i="1"/>
  <c r="AH107" i="1"/>
  <c r="AI116" i="1"/>
  <c r="AH116" i="1"/>
  <c r="AI115" i="1"/>
  <c r="AH115" i="1"/>
  <c r="AI114" i="1"/>
  <c r="AH114" i="1"/>
  <c r="AI113" i="1"/>
  <c r="AH113" i="1"/>
  <c r="AI112" i="1"/>
  <c r="AH112" i="1"/>
  <c r="AI111" i="1"/>
  <c r="AH111" i="1"/>
  <c r="AI110" i="1"/>
  <c r="AH110" i="1"/>
  <c r="AI109" i="1"/>
  <c r="AH109" i="1"/>
  <c r="AI108" i="1"/>
  <c r="AH108" i="1"/>
  <c r="AI48" i="1"/>
  <c r="AH48" i="1"/>
  <c r="AI106" i="1"/>
  <c r="AH106" i="1"/>
  <c r="AI105" i="1"/>
  <c r="AH105" i="1"/>
  <c r="AI104" i="1"/>
  <c r="AH104" i="1"/>
  <c r="AI103" i="1"/>
  <c r="AH103" i="1"/>
  <c r="AI102" i="1"/>
  <c r="AH102" i="1"/>
  <c r="AI101" i="1"/>
  <c r="AH101" i="1"/>
  <c r="AI100" i="1"/>
  <c r="AH100" i="1"/>
  <c r="AI99" i="1"/>
  <c r="AH99" i="1"/>
  <c r="AI98" i="1"/>
  <c r="AH98" i="1"/>
  <c r="AI97" i="1"/>
  <c r="AH97" i="1"/>
  <c r="AI96" i="1"/>
  <c r="AH96" i="1"/>
  <c r="AI95" i="1"/>
  <c r="AH95" i="1"/>
  <c r="AI94" i="1"/>
  <c r="AH94" i="1"/>
  <c r="AI93" i="1"/>
  <c r="AH93" i="1"/>
  <c r="AI10" i="1"/>
  <c r="AH10" i="1"/>
  <c r="AI91" i="1"/>
  <c r="AH91" i="1"/>
  <c r="AI90" i="1"/>
  <c r="AH90" i="1"/>
  <c r="AI89" i="1"/>
  <c r="AH89" i="1"/>
  <c r="AI88" i="1"/>
  <c r="AH88" i="1"/>
  <c r="AI87" i="1"/>
  <c r="AH87" i="1"/>
  <c r="AI86" i="1"/>
  <c r="AH86" i="1"/>
  <c r="AI85" i="1"/>
  <c r="AH85" i="1"/>
  <c r="AI84" i="1"/>
  <c r="AH84" i="1"/>
  <c r="AI83" i="1"/>
  <c r="AH83" i="1"/>
  <c r="AI82" i="1"/>
  <c r="AH82" i="1"/>
  <c r="AI81" i="1"/>
  <c r="AH81" i="1"/>
  <c r="AI80" i="1"/>
  <c r="AH80" i="1"/>
  <c r="AI79" i="1"/>
  <c r="AH79" i="1"/>
  <c r="AI78" i="1"/>
  <c r="AH78" i="1"/>
  <c r="AI77" i="1"/>
  <c r="AH77" i="1"/>
  <c r="AI76" i="1"/>
  <c r="AH76" i="1"/>
  <c r="AI75" i="1"/>
  <c r="AH75" i="1"/>
  <c r="AI74" i="1"/>
  <c r="AH74" i="1"/>
  <c r="AI73" i="1"/>
  <c r="AH73" i="1"/>
  <c r="AI72" i="1"/>
  <c r="AH72" i="1"/>
  <c r="AI71" i="1"/>
  <c r="AH71" i="1"/>
  <c r="AI70" i="1"/>
  <c r="AH70" i="1"/>
  <c r="AI69" i="1"/>
  <c r="AH69" i="1"/>
  <c r="AI68" i="1"/>
  <c r="AH68" i="1"/>
  <c r="AI67" i="1"/>
  <c r="AH67" i="1"/>
  <c r="AI66" i="1"/>
  <c r="AH66" i="1"/>
  <c r="AI65" i="1"/>
  <c r="AH65" i="1"/>
  <c r="AI64" i="1"/>
  <c r="AH64" i="1"/>
  <c r="AI63" i="1"/>
  <c r="AH63" i="1"/>
  <c r="AI62" i="1"/>
  <c r="AH62" i="1"/>
  <c r="AI61" i="1"/>
  <c r="AH61" i="1"/>
  <c r="AI132" i="1"/>
  <c r="AH132" i="1"/>
  <c r="AI133" i="1"/>
  <c r="AH133" i="1"/>
  <c r="AI58" i="1"/>
  <c r="AH58" i="1"/>
  <c r="AI57" i="1"/>
  <c r="AH57" i="1"/>
  <c r="AI56" i="1"/>
  <c r="AH56" i="1"/>
  <c r="AI55" i="1"/>
  <c r="AH55" i="1"/>
  <c r="AI54" i="1"/>
  <c r="AH54" i="1"/>
  <c r="AI53" i="1"/>
  <c r="AH53" i="1"/>
  <c r="AI52" i="1"/>
  <c r="AH52" i="1"/>
  <c r="AI51" i="1"/>
  <c r="AH51" i="1"/>
  <c r="AI50" i="1"/>
  <c r="AH50" i="1"/>
  <c r="AI49" i="1"/>
  <c r="AH49" i="1"/>
  <c r="AI27" i="1"/>
  <c r="AH27" i="1"/>
  <c r="AI47" i="1"/>
  <c r="AH47" i="1"/>
  <c r="AI46" i="1"/>
  <c r="AH46" i="1"/>
  <c r="AI155" i="1"/>
  <c r="AH155" i="1"/>
  <c r="AI44" i="1"/>
  <c r="AH44" i="1"/>
  <c r="AI43" i="1"/>
  <c r="AH43" i="1"/>
  <c r="AI42" i="1"/>
  <c r="AH42" i="1"/>
  <c r="AI41" i="1"/>
  <c r="AH41" i="1"/>
  <c r="AI40" i="1"/>
  <c r="AH40" i="1"/>
  <c r="AI39" i="1"/>
  <c r="AH39" i="1"/>
  <c r="AO38" i="1"/>
  <c r="AI38" i="1"/>
  <c r="AH38" i="1"/>
  <c r="AO37" i="1"/>
  <c r="AI37" i="1"/>
  <c r="AH37" i="1"/>
  <c r="AO36" i="1"/>
  <c r="AI36" i="1"/>
  <c r="AH36" i="1"/>
  <c r="AO35" i="1"/>
  <c r="AI35" i="1"/>
  <c r="AH35" i="1"/>
  <c r="AO34" i="1"/>
  <c r="AI34" i="1"/>
  <c r="AH34" i="1"/>
  <c r="AO33" i="1"/>
  <c r="AI33" i="1"/>
  <c r="AH33" i="1"/>
  <c r="AO32" i="1"/>
  <c r="AI32" i="1"/>
  <c r="AH32" i="1"/>
  <c r="AO31" i="1"/>
  <c r="AI31" i="1"/>
  <c r="AH31" i="1"/>
  <c r="AO30" i="1"/>
  <c r="AI30" i="1"/>
  <c r="AH30" i="1"/>
  <c r="AO29" i="1"/>
  <c r="AI29" i="1"/>
  <c r="AH29" i="1"/>
  <c r="AO28" i="1"/>
  <c r="AI28" i="1"/>
  <c r="AH28" i="1"/>
  <c r="AO27" i="1"/>
  <c r="AI59" i="1"/>
  <c r="AH59" i="1"/>
  <c r="AO26" i="1"/>
  <c r="AI26" i="1"/>
  <c r="AH26" i="1"/>
  <c r="AO25" i="1"/>
  <c r="AI25" i="1"/>
  <c r="AH25" i="1"/>
  <c r="AO24" i="1"/>
  <c r="AI24" i="1"/>
  <c r="AH24" i="1"/>
  <c r="AO23" i="1"/>
  <c r="AI23" i="1"/>
  <c r="AH23" i="1"/>
  <c r="AO22" i="1"/>
  <c r="AI22" i="1"/>
  <c r="AH22" i="1"/>
  <c r="AO21" i="1"/>
  <c r="AI21" i="1"/>
  <c r="AH21" i="1"/>
  <c r="AO20" i="1"/>
  <c r="AI20" i="1"/>
  <c r="AH20" i="1"/>
  <c r="AO19" i="1"/>
  <c r="AI19" i="1"/>
  <c r="AH19" i="1"/>
  <c r="AI18" i="1"/>
  <c r="AH18" i="1"/>
  <c r="AI17" i="1"/>
  <c r="AH17" i="1"/>
  <c r="AI16" i="1"/>
  <c r="AH16" i="1"/>
  <c r="AI15" i="1"/>
  <c r="AH15" i="1"/>
  <c r="AI14" i="1"/>
  <c r="AH14" i="1"/>
  <c r="AI13" i="1"/>
  <c r="AH13" i="1"/>
  <c r="AO12" i="1"/>
  <c r="AO15" i="1" s="1"/>
  <c r="AI12" i="1"/>
  <c r="AH12" i="1"/>
  <c r="AI11" i="1"/>
  <c r="AH11" i="1"/>
  <c r="AP10" i="1"/>
  <c r="AI60" i="1"/>
  <c r="AH60" i="1"/>
  <c r="AP9" i="1"/>
  <c r="AI9" i="1"/>
  <c r="AH9" i="1"/>
  <c r="AP8" i="1"/>
  <c r="AI8" i="1"/>
  <c r="AH8" i="1"/>
  <c r="AP7" i="1"/>
  <c r="AI7" i="1"/>
  <c r="AH7" i="1"/>
  <c r="AP6" i="1"/>
  <c r="AI6" i="1"/>
  <c r="AH6" i="1"/>
  <c r="AI5" i="1"/>
  <c r="AH5" i="1"/>
  <c r="AO4" i="1"/>
  <c r="AI4" i="1"/>
  <c r="AH4" i="1"/>
  <c r="AI3" i="1"/>
  <c r="AH3" i="1"/>
  <c r="AI2" i="1"/>
  <c r="AH2" i="1"/>
  <c r="AO2" i="1" s="1"/>
  <c r="AO17" i="1" l="1"/>
</calcChain>
</file>

<file path=xl/sharedStrings.xml><?xml version="1.0" encoding="utf-8"?>
<sst xmlns="http://schemas.openxmlformats.org/spreadsheetml/2006/main" count="895" uniqueCount="381">
  <si>
    <t>Total Points</t>
  </si>
  <si>
    <t>MAX</t>
  </si>
  <si>
    <t>Total Cost</t>
  </si>
  <si>
    <t>GKP</t>
  </si>
  <si>
    <t>DEF</t>
  </si>
  <si>
    <t>MID</t>
  </si>
  <si>
    <t>FWD</t>
  </si>
  <si>
    <t>TOTAL</t>
  </si>
  <si>
    <t>Transfers</t>
  </si>
  <si>
    <t>Free</t>
  </si>
  <si>
    <t>Cost</t>
  </si>
  <si>
    <t>Profit</t>
  </si>
  <si>
    <t>ARS</t>
  </si>
  <si>
    <t>AVL</t>
  </si>
  <si>
    <t>BUR</t>
  </si>
  <si>
    <t>BOU</t>
  </si>
  <si>
    <t>BRE</t>
  </si>
  <si>
    <t>BHA</t>
  </si>
  <si>
    <t>CHE</t>
  </si>
  <si>
    <t>CRY</t>
  </si>
  <si>
    <t>EVE</t>
  </si>
  <si>
    <t>FUL</t>
  </si>
  <si>
    <t>LEE</t>
  </si>
  <si>
    <t>LIV</t>
  </si>
  <si>
    <t>MCI</t>
  </si>
  <si>
    <t>MUN</t>
  </si>
  <si>
    <t>NEW</t>
  </si>
  <si>
    <t>NFO</t>
  </si>
  <si>
    <t>SUN</t>
  </si>
  <si>
    <t>TOT</t>
  </si>
  <si>
    <t>WHU</t>
  </si>
  <si>
    <t>WOL</t>
  </si>
  <si>
    <t>First Name</t>
  </si>
  <si>
    <t>Surname</t>
  </si>
  <si>
    <t>Web Name</t>
  </si>
  <si>
    <t>Position</t>
  </si>
  <si>
    <t>Team</t>
  </si>
  <si>
    <t>ID</t>
  </si>
  <si>
    <t>ARIMA</t>
  </si>
  <si>
    <t>LSTM</t>
  </si>
  <si>
    <t>PP</t>
  </si>
  <si>
    <t>NEXT</t>
  </si>
  <si>
    <t>Health</t>
  </si>
  <si>
    <t>PREV</t>
  </si>
  <si>
    <t>Selected</t>
  </si>
  <si>
    <t>Gabriel</t>
  </si>
  <si>
    <t>dos Santos Magalhães</t>
  </si>
  <si>
    <t>William</t>
  </si>
  <si>
    <t>Saliba</t>
  </si>
  <si>
    <t>Martin</t>
  </si>
  <si>
    <t>Ødegaard</t>
  </si>
  <si>
    <t>Noni</t>
  </si>
  <si>
    <t>Madueke</t>
  </si>
  <si>
    <t>Martinelli Silva</t>
  </si>
  <si>
    <t>Martinelli</t>
  </si>
  <si>
    <t>Leandro</t>
  </si>
  <si>
    <t>Trossard</t>
  </si>
  <si>
    <t>Declan</t>
  </si>
  <si>
    <t>Rice</t>
  </si>
  <si>
    <t>Christian</t>
  </si>
  <si>
    <t>Nørgaard</t>
  </si>
  <si>
    <t>Eberechi</t>
  </si>
  <si>
    <t>Eze</t>
  </si>
  <si>
    <t>Emiliano</t>
  </si>
  <si>
    <t>Martínez Romero</t>
  </si>
  <si>
    <t>Martinez</t>
  </si>
  <si>
    <t>Matty</t>
  </si>
  <si>
    <t>Cash</t>
  </si>
  <si>
    <t>Lucas</t>
  </si>
  <si>
    <t>Digne</t>
  </si>
  <si>
    <t>Ezri</t>
  </si>
  <si>
    <t>Konsa Ngoyo</t>
  </si>
  <si>
    <t>Konsa</t>
  </si>
  <si>
    <t>Ian</t>
  </si>
  <si>
    <t>Maatsen</t>
  </si>
  <si>
    <t>Morgan</t>
  </si>
  <si>
    <t>Rogers</t>
  </si>
  <si>
    <t>Youri</t>
  </si>
  <si>
    <t>Tielemans</t>
  </si>
  <si>
    <t>John</t>
  </si>
  <si>
    <t>McGinn</t>
  </si>
  <si>
    <t>Boubacar</t>
  </si>
  <si>
    <t>Kamara</t>
  </si>
  <si>
    <t>Amadou</t>
  </si>
  <si>
    <t>Onana</t>
  </si>
  <si>
    <t>Ollie</t>
  </si>
  <si>
    <t>Watkins</t>
  </si>
  <si>
    <t>Jadon</t>
  </si>
  <si>
    <t>Sancho</t>
  </si>
  <si>
    <t>Lesley</t>
  </si>
  <si>
    <t>Ugochukwu</t>
  </si>
  <si>
    <t>Illia</t>
  </si>
  <si>
    <t>Zabarnyi</t>
  </si>
  <si>
    <t>Adam</t>
  </si>
  <si>
    <t>Smith</t>
  </si>
  <si>
    <t>Justin</t>
  </si>
  <si>
    <t>Kluivert</t>
  </si>
  <si>
    <t>Antoine</t>
  </si>
  <si>
    <t>Semenyo</t>
  </si>
  <si>
    <t>Marcus</t>
  </si>
  <si>
    <t>Tavernier</t>
  </si>
  <si>
    <t>Tyler</t>
  </si>
  <si>
    <t>Adams</t>
  </si>
  <si>
    <t>David</t>
  </si>
  <si>
    <t>Brooks</t>
  </si>
  <si>
    <t>Ryan</t>
  </si>
  <si>
    <t>Christie</t>
  </si>
  <si>
    <t>Lewis</t>
  </si>
  <si>
    <t>Cook</t>
  </si>
  <si>
    <t>Dango</t>
  </si>
  <si>
    <t>Ouattara</t>
  </si>
  <si>
    <t>O.Dango</t>
  </si>
  <si>
    <t>Nathan</t>
  </si>
  <si>
    <t>Collins</t>
  </si>
  <si>
    <t>Keane</t>
  </si>
  <si>
    <t>Lewis-Potter</t>
  </si>
  <si>
    <t>Kevin</t>
  </si>
  <si>
    <t>Schade</t>
  </si>
  <si>
    <t>Mikkel</t>
  </si>
  <si>
    <t>Damsgaard</t>
  </si>
  <si>
    <t>Vitaly</t>
  </si>
  <si>
    <t>Janelt</t>
  </si>
  <si>
    <t>Mathias</t>
  </si>
  <si>
    <t>Jensen</t>
  </si>
  <si>
    <t>Bart</t>
  </si>
  <si>
    <t>Verbruggen</t>
  </si>
  <si>
    <t>Dunk</t>
  </si>
  <si>
    <t>Jan Paul</t>
  </si>
  <si>
    <t>van Hecke</t>
  </si>
  <si>
    <t>Van Hecke</t>
  </si>
  <si>
    <t>Jack</t>
  </si>
  <si>
    <t>Hinshelwood</t>
  </si>
  <si>
    <t>Carlos</t>
  </si>
  <si>
    <t>Baleba</t>
  </si>
  <si>
    <t>Danny</t>
  </si>
  <si>
    <t>Welbeck</t>
  </si>
  <si>
    <t>Facundo</t>
  </si>
  <si>
    <t>Buonanotte</t>
  </si>
  <si>
    <t>Marc</t>
  </si>
  <si>
    <t>Cucurella Saseta</t>
  </si>
  <si>
    <t>Cucurella</t>
  </si>
  <si>
    <t>Trevoh</t>
  </si>
  <si>
    <t>Chalobah</t>
  </si>
  <si>
    <t>Malo</t>
  </si>
  <si>
    <t>Gusto</t>
  </si>
  <si>
    <t>Cole</t>
  </si>
  <si>
    <t>Palmer</t>
  </si>
  <si>
    <t>Pedro</t>
  </si>
  <si>
    <t>Lomba Neto</t>
  </si>
  <si>
    <t>Neto</t>
  </si>
  <si>
    <t>Enzo</t>
  </si>
  <si>
    <t>Fernández</t>
  </si>
  <si>
    <t>Moisés</t>
  </si>
  <si>
    <t>Caicedo Corozo</t>
  </si>
  <si>
    <t>Caicedo</t>
  </si>
  <si>
    <t>João Pedro</t>
  </si>
  <si>
    <t>Junqueira de Jesus</t>
  </si>
  <si>
    <t>Liam</t>
  </si>
  <si>
    <t>Delap</t>
  </si>
  <si>
    <t>Nicolas</t>
  </si>
  <si>
    <t>Jackson</t>
  </si>
  <si>
    <t>N.Jackson</t>
  </si>
  <si>
    <t>Dean</t>
  </si>
  <si>
    <t>Henderson</t>
  </si>
  <si>
    <t>Tyrick</t>
  </si>
  <si>
    <t>Mitchell</t>
  </si>
  <si>
    <t>Guéhi</t>
  </si>
  <si>
    <t>Chris</t>
  </si>
  <si>
    <t>Richards</t>
  </si>
  <si>
    <t>Ismaïla</t>
  </si>
  <si>
    <t>Sarr</t>
  </si>
  <si>
    <t>Will</t>
  </si>
  <si>
    <t>Hughes</t>
  </si>
  <si>
    <t>Jefferson</t>
  </si>
  <si>
    <t>Lerma Solís</t>
  </si>
  <si>
    <t>Lerma</t>
  </si>
  <si>
    <t>Jean-Philippe</t>
  </si>
  <si>
    <t>Mateta</t>
  </si>
  <si>
    <t>Eddie</t>
  </si>
  <si>
    <t>Nketiah</t>
  </si>
  <si>
    <t>Jordan</t>
  </si>
  <si>
    <t>Pickford</t>
  </si>
  <si>
    <t>Jarrad</t>
  </si>
  <si>
    <t>Branthwaite</t>
  </si>
  <si>
    <t>James</t>
  </si>
  <si>
    <t>Tarkowski</t>
  </si>
  <si>
    <t>Vitalii</t>
  </si>
  <si>
    <t>Mykolenko</t>
  </si>
  <si>
    <t>Norberto Bercique</t>
  </si>
  <si>
    <t>Gomes Betuncal</t>
  </si>
  <si>
    <t>Beto</t>
  </si>
  <si>
    <t>Bernd</t>
  </si>
  <si>
    <t>Leno</t>
  </si>
  <si>
    <t>Antonee</t>
  </si>
  <si>
    <t>Robinson</t>
  </si>
  <si>
    <t>Joachim</t>
  </si>
  <si>
    <t>Andersen</t>
  </si>
  <si>
    <t>Calvin</t>
  </si>
  <si>
    <t>Bassey</t>
  </si>
  <si>
    <t>Timothy</t>
  </si>
  <si>
    <t>Castagne</t>
  </si>
  <si>
    <t>Alex</t>
  </si>
  <si>
    <t>Iwobi</t>
  </si>
  <si>
    <t>Emile</t>
  </si>
  <si>
    <t>Smith Rowe</t>
  </si>
  <si>
    <t>Andreas</t>
  </si>
  <si>
    <t>Hoelgebaum Pereira</t>
  </si>
  <si>
    <t>Harry</t>
  </si>
  <si>
    <t>Wilson</t>
  </si>
  <si>
    <t>Sander</t>
  </si>
  <si>
    <t>Berge</t>
  </si>
  <si>
    <t>Tom</t>
  </si>
  <si>
    <t>Cairney</t>
  </si>
  <si>
    <t>Saša</t>
  </si>
  <si>
    <t>Lukić</t>
  </si>
  <si>
    <t>Rodrigo</t>
  </si>
  <si>
    <t>Muniz Carvalho</t>
  </si>
  <si>
    <t>Muniz</t>
  </si>
  <si>
    <t>Harrison</t>
  </si>
  <si>
    <t>Sean</t>
  </si>
  <si>
    <t>Longstaff</t>
  </si>
  <si>
    <t>Dominic</t>
  </si>
  <si>
    <t>Calvert-Lewin</t>
  </si>
  <si>
    <t>Milos</t>
  </si>
  <si>
    <t>Kerkez</t>
  </si>
  <si>
    <t>Andrew</t>
  </si>
  <si>
    <t>Robertson</t>
  </si>
  <si>
    <t>Virgil</t>
  </si>
  <si>
    <t>van Dijk</t>
  </si>
  <si>
    <t>Ibrahima</t>
  </si>
  <si>
    <t>Konaté</t>
  </si>
  <si>
    <t>Mohamed</t>
  </si>
  <si>
    <t>Salah</t>
  </si>
  <si>
    <t>M.Salah</t>
  </si>
  <si>
    <t>Cody</t>
  </si>
  <si>
    <t>Gakpo</t>
  </si>
  <si>
    <t>Alexis</t>
  </si>
  <si>
    <t>Mac Allister</t>
  </si>
  <si>
    <t>Dominik</t>
  </si>
  <si>
    <t>Szoboszlai</t>
  </si>
  <si>
    <t>Curtis</t>
  </si>
  <si>
    <t>Jones</t>
  </si>
  <si>
    <t>C.Jones</t>
  </si>
  <si>
    <t>Gravenberch</t>
  </si>
  <si>
    <t>Darwin</t>
  </si>
  <si>
    <t>Núñez Ribeiro</t>
  </si>
  <si>
    <t>Alexander</t>
  </si>
  <si>
    <t>Isak</t>
  </si>
  <si>
    <t>Rayan</t>
  </si>
  <si>
    <t>Aït-Nouri</t>
  </si>
  <si>
    <t>Joško</t>
  </si>
  <si>
    <t>Gvardiol</t>
  </si>
  <si>
    <t>Rico</t>
  </si>
  <si>
    <t>Phil</t>
  </si>
  <si>
    <t>Foden</t>
  </si>
  <si>
    <t>Jérémy</t>
  </si>
  <si>
    <t>Doku</t>
  </si>
  <si>
    <t>Mateo</t>
  </si>
  <si>
    <t>Kovačić</t>
  </si>
  <si>
    <t>Erling</t>
  </si>
  <si>
    <t>Haaland</t>
  </si>
  <si>
    <t>Bryan</t>
  </si>
  <si>
    <t>Mbeumo</t>
  </si>
  <si>
    <t>André</t>
  </si>
  <si>
    <t>Diogo</t>
  </si>
  <si>
    <t>Dalot Teixeira</t>
  </si>
  <si>
    <t>Dalot</t>
  </si>
  <si>
    <t>Maguire</t>
  </si>
  <si>
    <t>Bruno</t>
  </si>
  <si>
    <t>Borges Fernandes</t>
  </si>
  <si>
    <t>B.Fernandes</t>
  </si>
  <si>
    <t>Carlos Henrique</t>
  </si>
  <si>
    <t>Casimiro</t>
  </si>
  <si>
    <t>Casemiro</t>
  </si>
  <si>
    <t>Kobbie</t>
  </si>
  <si>
    <t>Mainoo</t>
  </si>
  <si>
    <t>Rasmus</t>
  </si>
  <si>
    <t>Højlund</t>
  </si>
  <si>
    <t>Jacob</t>
  </si>
  <si>
    <t>Ramsey</t>
  </si>
  <si>
    <t>J.Ramsey</t>
  </si>
  <si>
    <t>Yoane</t>
  </si>
  <si>
    <t>Wissa</t>
  </si>
  <si>
    <t>Nick</t>
  </si>
  <si>
    <t>Pope</t>
  </si>
  <si>
    <t>Hall</t>
  </si>
  <si>
    <t>Fabian</t>
  </si>
  <si>
    <t>Schär</t>
  </si>
  <si>
    <t>Dan</t>
  </si>
  <si>
    <t>Burn</t>
  </si>
  <si>
    <t>Tino</t>
  </si>
  <si>
    <t>Livramento</t>
  </si>
  <si>
    <t>Kieran</t>
  </si>
  <si>
    <t>Trippier</t>
  </si>
  <si>
    <t>Anthony</t>
  </si>
  <si>
    <t>Gordon</t>
  </si>
  <si>
    <t>Elanga</t>
  </si>
  <si>
    <t>Harvey</t>
  </si>
  <si>
    <t>Barnes</t>
  </si>
  <si>
    <t>Guimarães Rodriguez Moura</t>
  </si>
  <si>
    <t>Bruno G.</t>
  </si>
  <si>
    <t>Murphy</t>
  </si>
  <si>
    <t>J.Murphy</t>
  </si>
  <si>
    <t>Joelinton Cássio</t>
  </si>
  <si>
    <t>Apolinário de Lira</t>
  </si>
  <si>
    <t>Joelinton</t>
  </si>
  <si>
    <t>Sandro</t>
  </si>
  <si>
    <t>Tonali</t>
  </si>
  <si>
    <t>Joe</t>
  </si>
  <si>
    <t>Willock</t>
  </si>
  <si>
    <t>Aaron</t>
  </si>
  <si>
    <t>Ramsdale</t>
  </si>
  <si>
    <t>Matz</t>
  </si>
  <si>
    <t>Sels</t>
  </si>
  <si>
    <t>Ola</t>
  </si>
  <si>
    <t>Aina</t>
  </si>
  <si>
    <t>Neco</t>
  </si>
  <si>
    <t>Williams</t>
  </si>
  <si>
    <t>N.Williams</t>
  </si>
  <si>
    <t>Gibbs-White</t>
  </si>
  <si>
    <t>Callum</t>
  </si>
  <si>
    <t>Hudson-Odoi</t>
  </si>
  <si>
    <t>Elliot</t>
  </si>
  <si>
    <t>Anderson</t>
  </si>
  <si>
    <t>Nicolás</t>
  </si>
  <si>
    <t>Domínguez</t>
  </si>
  <si>
    <t>Dominguez</t>
  </si>
  <si>
    <t>Yates</t>
  </si>
  <si>
    <t>Wood</t>
  </si>
  <si>
    <t>Taiwo</t>
  </si>
  <si>
    <t>Awoniyi</t>
  </si>
  <si>
    <t>Simon</t>
  </si>
  <si>
    <t>Adingra</t>
  </si>
  <si>
    <t>Guglielmo</t>
  </si>
  <si>
    <t>Vicario</t>
  </si>
  <si>
    <t>Son</t>
  </si>
  <si>
    <t>Heung-min</t>
  </si>
  <si>
    <t>Brennan</t>
  </si>
  <si>
    <t>Johnson</t>
  </si>
  <si>
    <t>Maddison</t>
  </si>
  <si>
    <t>Mohammed</t>
  </si>
  <si>
    <t>Kudus</t>
  </si>
  <si>
    <t>Dejan</t>
  </si>
  <si>
    <t>Kulusevski</t>
  </si>
  <si>
    <t>Bentancur</t>
  </si>
  <si>
    <t>Yves</t>
  </si>
  <si>
    <t>Bissouma</t>
  </si>
  <si>
    <t>Pape Matar</t>
  </si>
  <si>
    <t>P.M.Sarr</t>
  </si>
  <si>
    <t>Alphonse</t>
  </si>
  <si>
    <t>Areola</t>
  </si>
  <si>
    <t>Emerson</t>
  </si>
  <si>
    <t>Palmieri dos Santos</t>
  </si>
  <si>
    <t>Konstantinos</t>
  </si>
  <si>
    <t>Mavropanos</t>
  </si>
  <si>
    <t>Wan-Bissaka</t>
  </si>
  <si>
    <t>Tolentino Coelho de Lima</t>
  </si>
  <si>
    <t>L.Paquetá</t>
  </si>
  <si>
    <t>Tomáš</t>
  </si>
  <si>
    <t>Souček</t>
  </si>
  <si>
    <t>Ward-Prowse</t>
  </si>
  <si>
    <t>Edson</t>
  </si>
  <si>
    <t>Álvarez Velázquez</t>
  </si>
  <si>
    <t>Álvarez</t>
  </si>
  <si>
    <t>Jarrod</t>
  </si>
  <si>
    <t>Bowen</t>
  </si>
  <si>
    <t>Kyle</t>
  </si>
  <si>
    <t>Walker-Peters</t>
  </si>
  <si>
    <t>José</t>
  </si>
  <si>
    <t>Malheiro de Sá</t>
  </si>
  <si>
    <t>José Sá</t>
  </si>
  <si>
    <t>Matt</t>
  </si>
  <si>
    <t>Doherty</t>
  </si>
  <si>
    <t>Jean-Ricner</t>
  </si>
  <si>
    <t>Bellegarde</t>
  </si>
  <si>
    <t>João Victor</t>
  </si>
  <si>
    <t>Gomes da Silva</t>
  </si>
  <si>
    <t>Gomes</t>
  </si>
  <si>
    <t>Gonçalo Manuel</t>
  </si>
  <si>
    <t>Ganchinho Guedes</t>
  </si>
  <si>
    <t>Guedes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</si>
</sst>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L166" totalsRowShown="0">
  <autoFilter ref="A1:AL166" xr:uid="{00000000-0009-0000-0100-000001000000}">
    <filterColumn colId="37">
      <filters>
        <filter val="1"/>
      </filters>
    </filterColumn>
  </autoFilter>
  <sortState xmlns:xlrd2="http://schemas.microsoft.com/office/spreadsheetml/2017/richdata2" ref="A10:AL160">
    <sortCondition descending="1" ref="AI1:AI166"/>
  </sortState>
  <tableColumns count="38">
    <tableColumn id="1" xr3:uid="{00000000-0010-0000-0000-000001000000}" name="First Name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UR"/>
    <tableColumn id="13" xr3:uid="{00000000-0010-0000-0000-00000D000000}" name="BOU"/>
    <tableColumn id="14" xr3:uid="{00000000-0010-0000-0000-00000E000000}" name="BRE"/>
    <tableColumn id="15" xr3:uid="{00000000-0010-0000-0000-00000F000000}" name="BHA"/>
    <tableColumn id="16" xr3:uid="{00000000-0010-0000-0000-000010000000}" name="CHE"/>
    <tableColumn id="17" xr3:uid="{00000000-0010-0000-0000-000011000000}" name="CRY"/>
    <tableColumn id="18" xr3:uid="{00000000-0010-0000-0000-000012000000}" name="EVE"/>
    <tableColumn id="19" xr3:uid="{00000000-0010-0000-0000-000013000000}" name="FUL"/>
    <tableColumn id="20" xr3:uid="{00000000-0010-0000-0000-000014000000}" name="LEE"/>
    <tableColumn id="21" xr3:uid="{00000000-0010-0000-0000-000015000000}" name="LIV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UN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0" xr3:uid="{00000000-0010-0000-0000-00001E000000}" name="Cost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4" xr3:uid="{00000000-0010-0000-0000-000022000000}" name="PP"/>
    <tableColumn id="35" xr3:uid="{00000000-0010-0000-0000-000023000000}" name="NEXT"/>
    <tableColumn id="36" xr3:uid="{00000000-0010-0000-0000-000024000000}" name="Health"/>
    <tableColumn id="37" xr3:uid="{00000000-0010-0000-0000-000025000000}" name="PREV"/>
    <tableColumn id="38" xr3:uid="{00000000-0010-0000-0000-000026000000}" name="Select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66"/>
  <sheetViews>
    <sheetView tabSelected="1" workbookViewId="0">
      <selection activeCell="D92" sqref="D92"/>
    </sheetView>
  </sheetViews>
  <sheetFormatPr baseColWidth="10" defaultColWidth="8.83203125" defaultRowHeight="15" x14ac:dyDescent="0.2"/>
  <cols>
    <col min="5" max="8" width="0" hidden="1" customWidth="1"/>
    <col min="10" max="29" width="0" hidden="1" customWidth="1"/>
    <col min="31" max="33" width="0" hidden="1" customWidth="1"/>
  </cols>
  <sheetData>
    <row r="1" spans="1:43" x14ac:dyDescent="0.2">
      <c r="A1" t="s">
        <v>32</v>
      </c>
      <c r="B1" t="s">
        <v>33</v>
      </c>
      <c r="C1" t="s">
        <v>34</v>
      </c>
      <c r="D1" t="s">
        <v>35</v>
      </c>
      <c r="E1" t="s">
        <v>3</v>
      </c>
      <c r="F1" t="s">
        <v>4</v>
      </c>
      <c r="G1" t="s">
        <v>5</v>
      </c>
      <c r="H1" t="s">
        <v>6</v>
      </c>
      <c r="I1" t="s">
        <v>36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10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</row>
    <row r="2" spans="1:43" hidden="1" x14ac:dyDescent="0.2">
      <c r="A2" t="s">
        <v>45</v>
      </c>
      <c r="B2" t="s">
        <v>46</v>
      </c>
      <c r="C2" t="s">
        <v>45</v>
      </c>
      <c r="D2" t="s">
        <v>4</v>
      </c>
      <c r="E2">
        <v>0</v>
      </c>
      <c r="F2">
        <v>1</v>
      </c>
      <c r="G2">
        <v>0</v>
      </c>
      <c r="H2">
        <v>0</v>
      </c>
      <c r="I2" t="s">
        <v>12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6.1</v>
      </c>
      <c r="AE2">
        <v>4</v>
      </c>
      <c r="AF2">
        <v>144.72972972972971</v>
      </c>
      <c r="AG2">
        <v>144.72972972972971</v>
      </c>
      <c r="AH2">
        <f>64.3243243243243*1</f>
        <v>64.324324324324294</v>
      </c>
      <c r="AI2">
        <f>1.74644249835494*1</f>
        <v>1.74644249835494</v>
      </c>
      <c r="AJ2">
        <v>1</v>
      </c>
      <c r="AK2">
        <v>0</v>
      </c>
      <c r="AL2">
        <v>0</v>
      </c>
      <c r="AN2" t="s">
        <v>0</v>
      </c>
      <c r="AO2">
        <f>SUMPRODUCT(Table1[Selected], Table1[PP])</f>
        <v>1028.4534534534528</v>
      </c>
      <c r="AP2" t="s">
        <v>1</v>
      </c>
    </row>
    <row r="3" spans="1:43" hidden="1" x14ac:dyDescent="0.2">
      <c r="A3" t="s">
        <v>47</v>
      </c>
      <c r="B3" t="s">
        <v>48</v>
      </c>
      <c r="C3" t="s">
        <v>48</v>
      </c>
      <c r="D3" t="s">
        <v>4</v>
      </c>
      <c r="E3">
        <v>0</v>
      </c>
      <c r="F3">
        <v>1</v>
      </c>
      <c r="G3">
        <v>0</v>
      </c>
      <c r="H3">
        <v>0</v>
      </c>
      <c r="I3" t="s">
        <v>12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6.1</v>
      </c>
      <c r="AE3">
        <v>5</v>
      </c>
      <c r="AF3">
        <v>132.43243243243239</v>
      </c>
      <c r="AG3">
        <v>132.43243243243239</v>
      </c>
      <c r="AH3">
        <f>58.8588588588588*1</f>
        <v>58.858858858858802</v>
      </c>
      <c r="AI3">
        <f>1.76418003078807*1</f>
        <v>1.76418003078807</v>
      </c>
      <c r="AJ3">
        <v>1</v>
      </c>
      <c r="AK3">
        <v>0</v>
      </c>
      <c r="AL3">
        <v>0</v>
      </c>
    </row>
    <row r="4" spans="1:43" hidden="1" x14ac:dyDescent="0.2">
      <c r="A4" t="s">
        <v>49</v>
      </c>
      <c r="B4" t="s">
        <v>50</v>
      </c>
      <c r="C4" t="s">
        <v>50</v>
      </c>
      <c r="D4" t="s">
        <v>5</v>
      </c>
      <c r="E4">
        <v>0</v>
      </c>
      <c r="F4">
        <v>0</v>
      </c>
      <c r="G4">
        <v>1</v>
      </c>
      <c r="H4">
        <v>0</v>
      </c>
      <c r="I4" t="s">
        <v>12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7.9</v>
      </c>
      <c r="AE4">
        <v>15</v>
      </c>
      <c r="AF4">
        <v>138.1081081081081</v>
      </c>
      <c r="AG4">
        <v>138.1081081081081</v>
      </c>
      <c r="AH4">
        <f>61.3813813813813*1</f>
        <v>61.381381381381303</v>
      </c>
      <c r="AI4">
        <f>2.02257557751886*1</f>
        <v>2.0225755775188601</v>
      </c>
      <c r="AJ4">
        <v>1</v>
      </c>
      <c r="AK4">
        <v>0</v>
      </c>
      <c r="AL4">
        <v>0</v>
      </c>
      <c r="AN4" t="s">
        <v>2</v>
      </c>
      <c r="AO4">
        <f>SUMPRODUCT(Table1[Selected],Table1[Cost])</f>
        <v>99.3</v>
      </c>
      <c r="AP4">
        <v>100.4</v>
      </c>
    </row>
    <row r="5" spans="1:43" hidden="1" x14ac:dyDescent="0.2">
      <c r="A5" t="s">
        <v>51</v>
      </c>
      <c r="B5" t="s">
        <v>52</v>
      </c>
      <c r="C5" t="s">
        <v>52</v>
      </c>
      <c r="D5" t="s">
        <v>5</v>
      </c>
      <c r="E5">
        <v>0</v>
      </c>
      <c r="F5">
        <v>0</v>
      </c>
      <c r="G5">
        <v>1</v>
      </c>
      <c r="H5">
        <v>0</v>
      </c>
      <c r="I5" t="s">
        <v>12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7</v>
      </c>
      <c r="AE5">
        <v>16</v>
      </c>
      <c r="AF5">
        <v>123.91891891891891</v>
      </c>
      <c r="AG5">
        <v>123.91891891891891</v>
      </c>
      <c r="AH5">
        <f>55.075075075075*1</f>
        <v>55.075075075074999</v>
      </c>
      <c r="AI5">
        <f>1.70572134724041*1</f>
        <v>1.70572134724041</v>
      </c>
      <c r="AJ5">
        <v>1</v>
      </c>
      <c r="AK5">
        <v>0</v>
      </c>
      <c r="AL5">
        <v>0</v>
      </c>
    </row>
    <row r="6" spans="1:43" hidden="1" x14ac:dyDescent="0.2">
      <c r="A6" t="s">
        <v>45</v>
      </c>
      <c r="B6" t="s">
        <v>53</v>
      </c>
      <c r="C6" t="s">
        <v>54</v>
      </c>
      <c r="D6" t="s">
        <v>5</v>
      </c>
      <c r="E6">
        <v>0</v>
      </c>
      <c r="F6">
        <v>0</v>
      </c>
      <c r="G6">
        <v>1</v>
      </c>
      <c r="H6">
        <v>0</v>
      </c>
      <c r="I6" t="s">
        <v>12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6.9</v>
      </c>
      <c r="AE6">
        <v>17</v>
      </c>
      <c r="AF6">
        <v>118.2432432432432</v>
      </c>
      <c r="AG6">
        <v>118.2432432432432</v>
      </c>
      <c r="AH6">
        <f>52.5525525525525*1</f>
        <v>52.552552552552498</v>
      </c>
      <c r="AI6">
        <f>1.59653317973579*1</f>
        <v>1.59653317973579</v>
      </c>
      <c r="AJ6">
        <v>1</v>
      </c>
      <c r="AK6">
        <v>0</v>
      </c>
      <c r="AL6">
        <v>0</v>
      </c>
      <c r="AN6" t="s">
        <v>3</v>
      </c>
      <c r="AO6">
        <v>2</v>
      </c>
      <c r="AP6">
        <f>SUMPRODUCT(Table1[Selected],Table1[GKP])</f>
        <v>2</v>
      </c>
      <c r="AQ6">
        <v>2</v>
      </c>
    </row>
    <row r="7" spans="1:43" hidden="1" x14ac:dyDescent="0.2">
      <c r="A7" t="s">
        <v>55</v>
      </c>
      <c r="B7" t="s">
        <v>56</v>
      </c>
      <c r="C7" t="s">
        <v>56</v>
      </c>
      <c r="D7" t="s">
        <v>5</v>
      </c>
      <c r="E7">
        <v>0</v>
      </c>
      <c r="F7">
        <v>0</v>
      </c>
      <c r="G7">
        <v>1</v>
      </c>
      <c r="H7">
        <v>0</v>
      </c>
      <c r="I7" t="s">
        <v>12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6.9</v>
      </c>
      <c r="AE7">
        <v>18</v>
      </c>
      <c r="AF7">
        <v>128.64864864864859</v>
      </c>
      <c r="AG7">
        <v>128.64864864864859</v>
      </c>
      <c r="AH7">
        <f>57.1771771771771*1</f>
        <v>57.1771771771771</v>
      </c>
      <c r="AI7">
        <f>1.8630234394329*1</f>
        <v>1.8630234394328999</v>
      </c>
      <c r="AJ7">
        <v>1</v>
      </c>
      <c r="AK7">
        <v>0</v>
      </c>
      <c r="AL7">
        <v>0</v>
      </c>
      <c r="AN7" t="s">
        <v>4</v>
      </c>
      <c r="AO7">
        <v>5</v>
      </c>
      <c r="AP7">
        <f>SUMPRODUCT(Table1[Selected],Table1[DEF])</f>
        <v>5</v>
      </c>
      <c r="AQ7">
        <v>5</v>
      </c>
    </row>
    <row r="8" spans="1:43" hidden="1" x14ac:dyDescent="0.2">
      <c r="A8" t="s">
        <v>57</v>
      </c>
      <c r="B8" t="s">
        <v>58</v>
      </c>
      <c r="C8" t="s">
        <v>58</v>
      </c>
      <c r="D8" t="s">
        <v>5</v>
      </c>
      <c r="E8">
        <v>0</v>
      </c>
      <c r="F8">
        <v>0</v>
      </c>
      <c r="G8">
        <v>1</v>
      </c>
      <c r="H8">
        <v>0</v>
      </c>
      <c r="I8" t="s">
        <v>12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6.5</v>
      </c>
      <c r="AE8">
        <v>19</v>
      </c>
      <c r="AF8">
        <v>128.64864864864859</v>
      </c>
      <c r="AG8">
        <v>128.64864864864859</v>
      </c>
      <c r="AH8">
        <f>57.1771771771771*1</f>
        <v>57.1771771771771</v>
      </c>
      <c r="AI8">
        <f>1.64956527146642*1</f>
        <v>1.64956527146642</v>
      </c>
      <c r="AJ8">
        <v>1</v>
      </c>
      <c r="AK8">
        <v>0</v>
      </c>
      <c r="AL8">
        <v>0</v>
      </c>
      <c r="AN8" t="s">
        <v>5</v>
      </c>
      <c r="AO8">
        <v>5</v>
      </c>
      <c r="AP8">
        <f>SUMPRODUCT(Table1[Selected],Table1[MID])</f>
        <v>5</v>
      </c>
      <c r="AQ8">
        <v>5</v>
      </c>
    </row>
    <row r="9" spans="1:43" hidden="1" x14ac:dyDescent="0.2">
      <c r="A9" t="s">
        <v>59</v>
      </c>
      <c r="B9" t="s">
        <v>60</v>
      </c>
      <c r="C9" t="s">
        <v>60</v>
      </c>
      <c r="D9" t="s">
        <v>5</v>
      </c>
      <c r="E9">
        <v>0</v>
      </c>
      <c r="F9">
        <v>0</v>
      </c>
      <c r="G9">
        <v>1</v>
      </c>
      <c r="H9">
        <v>0</v>
      </c>
      <c r="I9" t="s">
        <v>12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5.4</v>
      </c>
      <c r="AE9">
        <v>22</v>
      </c>
      <c r="AF9">
        <v>108.7837837837838</v>
      </c>
      <c r="AG9">
        <v>108.7837837837838</v>
      </c>
      <c r="AH9">
        <f>48.3483483483483*1</f>
        <v>48.348348348348303</v>
      </c>
      <c r="AI9">
        <f>1.23780384262794*1</f>
        <v>1.2378038426279401</v>
      </c>
      <c r="AJ9">
        <v>1</v>
      </c>
      <c r="AK9">
        <v>0</v>
      </c>
      <c r="AL9">
        <v>0</v>
      </c>
      <c r="AN9" t="s">
        <v>6</v>
      </c>
      <c r="AO9">
        <v>3</v>
      </c>
      <c r="AP9">
        <f>SUMPRODUCT(Table1[Selected],Table1[FWD])</f>
        <v>3</v>
      </c>
      <c r="AQ9">
        <v>3</v>
      </c>
    </row>
    <row r="10" spans="1:43" x14ac:dyDescent="0.2">
      <c r="A10" t="s">
        <v>231</v>
      </c>
      <c r="B10" t="s">
        <v>232</v>
      </c>
      <c r="C10" t="s">
        <v>233</v>
      </c>
      <c r="D10" t="s">
        <v>5</v>
      </c>
      <c r="E10">
        <v>0</v>
      </c>
      <c r="F10">
        <v>0</v>
      </c>
      <c r="G10">
        <v>1</v>
      </c>
      <c r="H10">
        <v>0</v>
      </c>
      <c r="I10" t="s">
        <v>23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14.5</v>
      </c>
      <c r="AE10">
        <v>420</v>
      </c>
      <c r="AF10">
        <v>295.1351351351351</v>
      </c>
      <c r="AG10">
        <v>295.1351351351351</v>
      </c>
      <c r="AH10">
        <f>131.171171171171*1</f>
        <v>131.17117117117101</v>
      </c>
      <c r="AI10">
        <f>3.18342835199907*1</f>
        <v>3.18342835199907</v>
      </c>
      <c r="AJ10">
        <v>1</v>
      </c>
      <c r="AK10">
        <v>1</v>
      </c>
      <c r="AL10">
        <v>1</v>
      </c>
      <c r="AN10" t="s">
        <v>7</v>
      </c>
      <c r="AO10">
        <v>15</v>
      </c>
      <c r="AP10">
        <f>SUM(SUMPRODUCT(Table1[Selected],Table1[GKP]), SUMPRODUCT(Table1[Selected],Table1[DEF]), SUMPRODUCT(Table1[Selected],Table1[MID]), SUMPRODUCT(Table1[Selected],Table1[FWD]))</f>
        <v>15</v>
      </c>
      <c r="AQ10">
        <v>15</v>
      </c>
    </row>
    <row r="11" spans="1:43" hidden="1" x14ac:dyDescent="0.2">
      <c r="A11" t="s">
        <v>63</v>
      </c>
      <c r="B11" t="s">
        <v>64</v>
      </c>
      <c r="C11" t="s">
        <v>65</v>
      </c>
      <c r="D11" t="s">
        <v>3</v>
      </c>
      <c r="E11">
        <v>1</v>
      </c>
      <c r="F11">
        <v>0</v>
      </c>
      <c r="G11">
        <v>0</v>
      </c>
      <c r="H11">
        <v>0</v>
      </c>
      <c r="I11" t="s">
        <v>13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5</v>
      </c>
      <c r="AE11">
        <v>35</v>
      </c>
      <c r="AF11">
        <v>102.1621621621622</v>
      </c>
      <c r="AG11">
        <v>102.1621621621622</v>
      </c>
      <c r="AH11">
        <f>45.4054054054053*1</f>
        <v>45.405405405405297</v>
      </c>
      <c r="AI11">
        <f>1.06605754331118*1</f>
        <v>1.0660575433111801</v>
      </c>
      <c r="AJ11">
        <v>1</v>
      </c>
      <c r="AK11">
        <v>0</v>
      </c>
      <c r="AL11">
        <v>0</v>
      </c>
    </row>
    <row r="12" spans="1:43" hidden="1" x14ac:dyDescent="0.2">
      <c r="A12" t="s">
        <v>66</v>
      </c>
      <c r="B12" t="s">
        <v>67</v>
      </c>
      <c r="C12" t="s">
        <v>67</v>
      </c>
      <c r="D12" t="s">
        <v>4</v>
      </c>
      <c r="E12">
        <v>0</v>
      </c>
      <c r="F12">
        <v>1</v>
      </c>
      <c r="G12">
        <v>0</v>
      </c>
      <c r="H12">
        <v>0</v>
      </c>
      <c r="I12" t="s">
        <v>13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4.5</v>
      </c>
      <c r="AE12">
        <v>39</v>
      </c>
      <c r="AF12">
        <v>89.86486486486487</v>
      </c>
      <c r="AG12">
        <v>89.86486486486487</v>
      </c>
      <c r="AH12">
        <f>39.9399399399399*1</f>
        <v>39.939939939939897</v>
      </c>
      <c r="AI12">
        <f>1.03153868666295*1</f>
        <v>1.0315386866629499</v>
      </c>
      <c r="AJ12">
        <v>1</v>
      </c>
      <c r="AK12">
        <v>0</v>
      </c>
      <c r="AL12">
        <v>0</v>
      </c>
      <c r="AN12" t="s">
        <v>8</v>
      </c>
      <c r="AO12">
        <f>SUMPRODUCT(Table1[Selected], -- (Table1[PREV] = 0))</f>
        <v>1</v>
      </c>
    </row>
    <row r="13" spans="1:43" hidden="1" x14ac:dyDescent="0.2">
      <c r="A13" t="s">
        <v>68</v>
      </c>
      <c r="B13" t="s">
        <v>69</v>
      </c>
      <c r="C13" t="s">
        <v>69</v>
      </c>
      <c r="D13" t="s">
        <v>4</v>
      </c>
      <c r="E13">
        <v>0</v>
      </c>
      <c r="F13">
        <v>1</v>
      </c>
      <c r="G13">
        <v>0</v>
      </c>
      <c r="H13">
        <v>0</v>
      </c>
      <c r="I13" t="s">
        <v>13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4.5</v>
      </c>
      <c r="AE13">
        <v>40</v>
      </c>
      <c r="AF13">
        <v>93.64864864864866</v>
      </c>
      <c r="AG13">
        <v>93.64864864864866</v>
      </c>
      <c r="AH13">
        <f>41.6216216216216*1</f>
        <v>41.6216216216216</v>
      </c>
      <c r="AI13">
        <f>1.34111505131504*1</f>
        <v>1.3411150513150401</v>
      </c>
      <c r="AJ13">
        <v>1</v>
      </c>
      <c r="AK13">
        <v>0</v>
      </c>
      <c r="AL13">
        <v>0</v>
      </c>
      <c r="AN13" t="s">
        <v>9</v>
      </c>
      <c r="AO13">
        <v>1</v>
      </c>
    </row>
    <row r="14" spans="1:43" hidden="1" x14ac:dyDescent="0.2">
      <c r="A14" t="s">
        <v>70</v>
      </c>
      <c r="B14" t="s">
        <v>71</v>
      </c>
      <c r="C14" t="s">
        <v>72</v>
      </c>
      <c r="D14" t="s">
        <v>4</v>
      </c>
      <c r="E14">
        <v>0</v>
      </c>
      <c r="F14">
        <v>1</v>
      </c>
      <c r="G14">
        <v>0</v>
      </c>
      <c r="H14">
        <v>0</v>
      </c>
      <c r="I14" t="s">
        <v>13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4.5</v>
      </c>
      <c r="AE14">
        <v>41</v>
      </c>
      <c r="AF14">
        <v>100.2702702702703</v>
      </c>
      <c r="AG14">
        <v>100.2702702702703</v>
      </c>
      <c r="AH14">
        <f>44.5645645645645*1</f>
        <v>44.564564564564499</v>
      </c>
      <c r="AI14">
        <f>1.22264607031378*1</f>
        <v>1.22264607031378</v>
      </c>
      <c r="AJ14">
        <v>1</v>
      </c>
      <c r="AK14">
        <v>0</v>
      </c>
      <c r="AL14">
        <v>0</v>
      </c>
    </row>
    <row r="15" spans="1:43" hidden="1" x14ac:dyDescent="0.2">
      <c r="A15" t="s">
        <v>73</v>
      </c>
      <c r="B15" t="s">
        <v>74</v>
      </c>
      <c r="C15" t="s">
        <v>74</v>
      </c>
      <c r="D15" t="s">
        <v>4</v>
      </c>
      <c r="E15">
        <v>0</v>
      </c>
      <c r="F15">
        <v>1</v>
      </c>
      <c r="G15">
        <v>0</v>
      </c>
      <c r="H15">
        <v>0</v>
      </c>
      <c r="I15" t="s">
        <v>13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4.4000000000000004</v>
      </c>
      <c r="AE15">
        <v>42</v>
      </c>
      <c r="AF15">
        <v>61.486486486486491</v>
      </c>
      <c r="AG15">
        <v>61.486486486486491</v>
      </c>
      <c r="AH15">
        <f>27.3273273273273*1</f>
        <v>27.3273273273273</v>
      </c>
      <c r="AI15">
        <f>0.534766436746049*1</f>
        <v>0.53476643674604896</v>
      </c>
      <c r="AJ15">
        <v>1</v>
      </c>
      <c r="AK15">
        <v>0</v>
      </c>
      <c r="AL15">
        <v>0</v>
      </c>
      <c r="AN15" t="s">
        <v>10</v>
      </c>
      <c r="AO15">
        <f>((AO12-AO13)+ABS((AO12-AO13)))/2*4</f>
        <v>0</v>
      </c>
    </row>
    <row r="16" spans="1:43" hidden="1" x14ac:dyDescent="0.2">
      <c r="A16" t="s">
        <v>75</v>
      </c>
      <c r="B16" t="s">
        <v>76</v>
      </c>
      <c r="C16" t="s">
        <v>76</v>
      </c>
      <c r="D16" t="s">
        <v>5</v>
      </c>
      <c r="E16">
        <v>0</v>
      </c>
      <c r="F16">
        <v>0</v>
      </c>
      <c r="G16">
        <v>1</v>
      </c>
      <c r="H16">
        <v>0</v>
      </c>
      <c r="I16" t="s">
        <v>13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7</v>
      </c>
      <c r="AE16">
        <v>50</v>
      </c>
      <c r="AF16">
        <v>149.45945945945951</v>
      </c>
      <c r="AG16">
        <v>149.45945945945951</v>
      </c>
      <c r="AH16">
        <f>66.4264264264264*1</f>
        <v>66.426426426426403</v>
      </c>
      <c r="AI16">
        <f>1.80404870957932*1</f>
        <v>1.8040487095793201</v>
      </c>
      <c r="AJ16">
        <v>1</v>
      </c>
      <c r="AK16">
        <v>0</v>
      </c>
      <c r="AL16">
        <v>0</v>
      </c>
    </row>
    <row r="17" spans="1:42" hidden="1" x14ac:dyDescent="0.2">
      <c r="A17" t="s">
        <v>77</v>
      </c>
      <c r="B17" t="s">
        <v>78</v>
      </c>
      <c r="C17" t="s">
        <v>78</v>
      </c>
      <c r="D17" t="s">
        <v>5</v>
      </c>
      <c r="E17">
        <v>0</v>
      </c>
      <c r="F17">
        <v>0</v>
      </c>
      <c r="G17">
        <v>1</v>
      </c>
      <c r="H17">
        <v>0</v>
      </c>
      <c r="I17" t="s">
        <v>13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5.9</v>
      </c>
      <c r="AE17">
        <v>51</v>
      </c>
      <c r="AF17">
        <v>112.56756756756759</v>
      </c>
      <c r="AG17">
        <v>112.56756756756759</v>
      </c>
      <c r="AH17">
        <f>50.03003003003*1</f>
        <v>50.030030030029998</v>
      </c>
      <c r="AI17">
        <f>1.37270250239999*1</f>
        <v>1.3727025023999899</v>
      </c>
      <c r="AJ17">
        <v>1</v>
      </c>
      <c r="AK17">
        <v>0</v>
      </c>
      <c r="AL17">
        <v>0</v>
      </c>
      <c r="AN17" t="s">
        <v>11</v>
      </c>
      <c r="AO17">
        <f>AO2-AO15*38</f>
        <v>1028.4534534534528</v>
      </c>
    </row>
    <row r="18" spans="1:42" hidden="1" x14ac:dyDescent="0.2">
      <c r="A18" t="s">
        <v>79</v>
      </c>
      <c r="B18" t="s">
        <v>80</v>
      </c>
      <c r="C18" t="s">
        <v>80</v>
      </c>
      <c r="D18" t="s">
        <v>5</v>
      </c>
      <c r="E18">
        <v>0</v>
      </c>
      <c r="F18">
        <v>0</v>
      </c>
      <c r="G18">
        <v>1</v>
      </c>
      <c r="H18">
        <v>0</v>
      </c>
      <c r="I18" t="s">
        <v>13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5.5</v>
      </c>
      <c r="AE18">
        <v>56</v>
      </c>
      <c r="AF18">
        <v>78.513513513513516</v>
      </c>
      <c r="AG18">
        <v>78.513513513513516</v>
      </c>
      <c r="AH18">
        <f>34.8948948948949*1</f>
        <v>34.894894894894897</v>
      </c>
      <c r="AI18">
        <f>1.32335628366941*1</f>
        <v>1.3233562836694099</v>
      </c>
      <c r="AJ18">
        <v>1</v>
      </c>
      <c r="AK18">
        <v>0</v>
      </c>
      <c r="AL18">
        <v>0</v>
      </c>
    </row>
    <row r="19" spans="1:42" hidden="1" x14ac:dyDescent="0.2">
      <c r="A19" t="s">
        <v>81</v>
      </c>
      <c r="B19" t="s">
        <v>82</v>
      </c>
      <c r="C19" t="s">
        <v>82</v>
      </c>
      <c r="D19" t="s">
        <v>5</v>
      </c>
      <c r="E19">
        <v>0</v>
      </c>
      <c r="F19">
        <v>0</v>
      </c>
      <c r="G19">
        <v>1</v>
      </c>
      <c r="H19">
        <v>0</v>
      </c>
      <c r="I19" t="s">
        <v>13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4.9000000000000004</v>
      </c>
      <c r="AE19">
        <v>60</v>
      </c>
      <c r="AF19">
        <v>73.783783783783775</v>
      </c>
      <c r="AG19">
        <v>73.783783783783775</v>
      </c>
      <c r="AH19">
        <f>32.7927927927927*1</f>
        <v>32.792792792792703</v>
      </c>
      <c r="AI19">
        <f>0.844815089639953*1</f>
        <v>0.844815089639953</v>
      </c>
      <c r="AJ19">
        <v>1</v>
      </c>
      <c r="AK19">
        <v>0</v>
      </c>
      <c r="AL19">
        <v>0</v>
      </c>
      <c r="AN19" t="s">
        <v>12</v>
      </c>
      <c r="AO19">
        <f>SUMPRODUCT(Table1[Selected],Table1[ARS])</f>
        <v>1</v>
      </c>
      <c r="AP19">
        <v>3</v>
      </c>
    </row>
    <row r="20" spans="1:42" hidden="1" x14ac:dyDescent="0.2">
      <c r="A20" t="s">
        <v>83</v>
      </c>
      <c r="B20" t="s">
        <v>84</v>
      </c>
      <c r="C20" t="s">
        <v>84</v>
      </c>
      <c r="D20" t="s">
        <v>5</v>
      </c>
      <c r="E20">
        <v>0</v>
      </c>
      <c r="F20">
        <v>0</v>
      </c>
      <c r="G20">
        <v>1</v>
      </c>
      <c r="H20">
        <v>0</v>
      </c>
      <c r="I20" t="s">
        <v>13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5</v>
      </c>
      <c r="AE20">
        <v>61</v>
      </c>
      <c r="AF20">
        <v>75.675675675675677</v>
      </c>
      <c r="AG20">
        <v>75.675675675675677</v>
      </c>
      <c r="AH20">
        <f>33.6336336336336*1</f>
        <v>33.6336336336336</v>
      </c>
      <c r="AI20">
        <f>1.1576406747056*1</f>
        <v>1.1576406747056001</v>
      </c>
      <c r="AJ20">
        <v>1</v>
      </c>
      <c r="AK20">
        <v>0</v>
      </c>
      <c r="AL20">
        <v>0</v>
      </c>
      <c r="AN20" t="s">
        <v>13</v>
      </c>
      <c r="AO20">
        <f>SUMPRODUCT(Table1[Selected],Table1[AVL])</f>
        <v>0</v>
      </c>
      <c r="AP20">
        <v>3</v>
      </c>
    </row>
    <row r="21" spans="1:42" hidden="1" x14ac:dyDescent="0.2">
      <c r="A21" t="s">
        <v>85</v>
      </c>
      <c r="B21" t="s">
        <v>86</v>
      </c>
      <c r="C21" t="s">
        <v>86</v>
      </c>
      <c r="D21" t="s">
        <v>6</v>
      </c>
      <c r="E21">
        <v>0</v>
      </c>
      <c r="F21">
        <v>0</v>
      </c>
      <c r="G21">
        <v>0</v>
      </c>
      <c r="H21">
        <v>1</v>
      </c>
      <c r="I21" t="s">
        <v>13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8.9</v>
      </c>
      <c r="AE21">
        <v>66</v>
      </c>
      <c r="AF21">
        <v>158.91891891891891</v>
      </c>
      <c r="AG21">
        <v>158.91891891891891</v>
      </c>
      <c r="AH21">
        <f>70.6306306306306*1</f>
        <v>70.630630630630606</v>
      </c>
      <c r="AI21">
        <f>2.08757406543298*1</f>
        <v>2.08757406543298</v>
      </c>
      <c r="AJ21">
        <v>1</v>
      </c>
      <c r="AK21">
        <v>0</v>
      </c>
      <c r="AL21">
        <v>0</v>
      </c>
      <c r="AN21" t="s">
        <v>14</v>
      </c>
      <c r="AO21">
        <f>SUMPRODUCT(Table1[Selected],Table1[BUR])</f>
        <v>0</v>
      </c>
      <c r="AP21">
        <v>3</v>
      </c>
    </row>
    <row r="22" spans="1:42" hidden="1" x14ac:dyDescent="0.2">
      <c r="A22" t="s">
        <v>87</v>
      </c>
      <c r="B22" t="s">
        <v>88</v>
      </c>
      <c r="C22" t="s">
        <v>88</v>
      </c>
      <c r="D22" t="s">
        <v>5</v>
      </c>
      <c r="E22">
        <v>0</v>
      </c>
      <c r="F22">
        <v>0</v>
      </c>
      <c r="G22">
        <v>1</v>
      </c>
      <c r="H22">
        <v>0</v>
      </c>
      <c r="I22" t="s">
        <v>13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5.9</v>
      </c>
      <c r="AE22">
        <v>69</v>
      </c>
      <c r="AF22">
        <v>102.1621621621622</v>
      </c>
      <c r="AG22">
        <v>102.1621621621622</v>
      </c>
      <c r="AH22">
        <f>45.4054054054053*1</f>
        <v>45.405405405405297</v>
      </c>
      <c r="AI22">
        <f>1.36140980817126*1</f>
        <v>1.36140980817126</v>
      </c>
      <c r="AJ22">
        <v>1</v>
      </c>
      <c r="AK22">
        <v>0</v>
      </c>
      <c r="AL22">
        <v>0</v>
      </c>
      <c r="AN22" t="s">
        <v>15</v>
      </c>
      <c r="AO22">
        <f>SUMPRODUCT(Table1[Selected],Table1[BOU])</f>
        <v>1</v>
      </c>
      <c r="AP22">
        <v>3</v>
      </c>
    </row>
    <row r="23" spans="1:42" hidden="1" x14ac:dyDescent="0.2">
      <c r="A23" t="s">
        <v>89</v>
      </c>
      <c r="B23" t="s">
        <v>90</v>
      </c>
      <c r="C23" t="s">
        <v>90</v>
      </c>
      <c r="D23" t="s">
        <v>5</v>
      </c>
      <c r="E23">
        <v>0</v>
      </c>
      <c r="F23">
        <v>0</v>
      </c>
      <c r="G23">
        <v>1</v>
      </c>
      <c r="H23">
        <v>0</v>
      </c>
      <c r="I23" t="s">
        <v>14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5</v>
      </c>
      <c r="AE23">
        <v>115</v>
      </c>
      <c r="AF23">
        <v>56.756756756756758</v>
      </c>
      <c r="AG23">
        <v>56.756756756756758</v>
      </c>
      <c r="AH23">
        <f>25.2252252252252*1</f>
        <v>25.225225225225198</v>
      </c>
      <c r="AI23">
        <f>0.700570483534693*1</f>
        <v>0.70057048353469298</v>
      </c>
      <c r="AJ23">
        <v>1</v>
      </c>
      <c r="AK23">
        <v>0</v>
      </c>
      <c r="AL23">
        <v>0</v>
      </c>
      <c r="AN23" t="s">
        <v>16</v>
      </c>
      <c r="AO23">
        <f>SUMPRODUCT(Table1[Selected],Table1[BRE])</f>
        <v>0</v>
      </c>
      <c r="AP23">
        <v>3</v>
      </c>
    </row>
    <row r="24" spans="1:42" hidden="1" x14ac:dyDescent="0.2">
      <c r="A24" t="s">
        <v>91</v>
      </c>
      <c r="B24" t="s">
        <v>92</v>
      </c>
      <c r="C24" t="s">
        <v>92</v>
      </c>
      <c r="D24" t="s">
        <v>4</v>
      </c>
      <c r="E24">
        <v>0</v>
      </c>
      <c r="F24">
        <v>1</v>
      </c>
      <c r="G24">
        <v>0</v>
      </c>
      <c r="H24">
        <v>0</v>
      </c>
      <c r="I24" t="s">
        <v>15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5</v>
      </c>
      <c r="AE24">
        <v>123</v>
      </c>
      <c r="AF24">
        <v>89.86486486486487</v>
      </c>
      <c r="AG24">
        <v>89.86486486486487</v>
      </c>
      <c r="AH24">
        <f>39.9399399399399*1</f>
        <v>39.939939939939897</v>
      </c>
      <c r="AI24">
        <f>1.06124352614512*1</f>
        <v>1.0612435261451201</v>
      </c>
      <c r="AJ24">
        <v>1</v>
      </c>
      <c r="AK24">
        <v>0</v>
      </c>
      <c r="AL24">
        <v>0</v>
      </c>
      <c r="AN24" t="s">
        <v>17</v>
      </c>
      <c r="AO24">
        <f>SUMPRODUCT(Table1[Selected],Table1[BHA])</f>
        <v>1</v>
      </c>
      <c r="AP24">
        <v>3</v>
      </c>
    </row>
    <row r="25" spans="1:42" hidden="1" x14ac:dyDescent="0.2">
      <c r="A25" t="s">
        <v>93</v>
      </c>
      <c r="B25" t="s">
        <v>94</v>
      </c>
      <c r="C25" t="s">
        <v>94</v>
      </c>
      <c r="D25" t="s">
        <v>4</v>
      </c>
      <c r="E25">
        <v>0</v>
      </c>
      <c r="F25">
        <v>1</v>
      </c>
      <c r="G25">
        <v>0</v>
      </c>
      <c r="H25">
        <v>0</v>
      </c>
      <c r="I25" t="s">
        <v>15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4.5</v>
      </c>
      <c r="AE25">
        <v>125</v>
      </c>
      <c r="AF25">
        <v>94.594594594594597</v>
      </c>
      <c r="AG25">
        <v>94.594594594594597</v>
      </c>
      <c r="AH25">
        <f>42.042042042042*1</f>
        <v>42.042042042041999</v>
      </c>
      <c r="AI25">
        <f>1.03861167679766*1</f>
        <v>1.0386116767976601</v>
      </c>
      <c r="AJ25">
        <v>1</v>
      </c>
      <c r="AK25">
        <v>0</v>
      </c>
      <c r="AL25">
        <v>0</v>
      </c>
      <c r="AN25" t="s">
        <v>18</v>
      </c>
      <c r="AO25">
        <f>SUMPRODUCT(Table1[Selected],Table1[CHE])</f>
        <v>1</v>
      </c>
      <c r="AP25">
        <v>3</v>
      </c>
    </row>
    <row r="26" spans="1:42" hidden="1" x14ac:dyDescent="0.2">
      <c r="A26" t="s">
        <v>95</v>
      </c>
      <c r="B26" t="s">
        <v>96</v>
      </c>
      <c r="C26" t="s">
        <v>96</v>
      </c>
      <c r="D26" t="s">
        <v>5</v>
      </c>
      <c r="E26">
        <v>0</v>
      </c>
      <c r="F26">
        <v>0</v>
      </c>
      <c r="G26">
        <v>1</v>
      </c>
      <c r="H26">
        <v>0</v>
      </c>
      <c r="I26" t="s">
        <v>15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7</v>
      </c>
      <c r="AE26">
        <v>133</v>
      </c>
      <c r="AF26">
        <v>152.29729729729729</v>
      </c>
      <c r="AG26">
        <v>152.29729729729729</v>
      </c>
      <c r="AH26">
        <f>67.6876876876877*1</f>
        <v>67.687687687687699</v>
      </c>
      <c r="AI26">
        <f>1.82535708103649*1</f>
        <v>1.8253570810364901</v>
      </c>
      <c r="AJ26">
        <v>1</v>
      </c>
      <c r="AK26">
        <v>0</v>
      </c>
      <c r="AL26">
        <v>0</v>
      </c>
      <c r="AN26" t="s">
        <v>19</v>
      </c>
      <c r="AO26">
        <f>SUMPRODUCT(Table1[Selected],Table1[CRY])</f>
        <v>2</v>
      </c>
      <c r="AP26">
        <v>3</v>
      </c>
    </row>
    <row r="27" spans="1:42" x14ac:dyDescent="0.2">
      <c r="A27" t="s">
        <v>141</v>
      </c>
      <c r="B27" t="s">
        <v>142</v>
      </c>
      <c r="C27" t="s">
        <v>142</v>
      </c>
      <c r="D27" t="s">
        <v>4</v>
      </c>
      <c r="E27">
        <v>0</v>
      </c>
      <c r="F27">
        <v>1</v>
      </c>
      <c r="G27">
        <v>0</v>
      </c>
      <c r="H27">
        <v>0</v>
      </c>
      <c r="I27" t="s">
        <v>18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5.0999999999999996</v>
      </c>
      <c r="AE27">
        <v>244</v>
      </c>
      <c r="AF27">
        <v>145.67567567567571</v>
      </c>
      <c r="AG27">
        <v>145.67567567567571</v>
      </c>
      <c r="AH27">
        <f>64.7447447447447*1</f>
        <v>64.744744744744693</v>
      </c>
      <c r="AI27">
        <f>2.95791049077738*1</f>
        <v>2.9579104907773801</v>
      </c>
      <c r="AJ27">
        <v>1</v>
      </c>
      <c r="AK27">
        <v>1</v>
      </c>
      <c r="AL27">
        <v>1</v>
      </c>
      <c r="AN27" t="s">
        <v>20</v>
      </c>
      <c r="AO27">
        <f>SUMPRODUCT(Table1[Selected],Table1[EVE])</f>
        <v>0</v>
      </c>
      <c r="AP27">
        <v>3</v>
      </c>
    </row>
    <row r="28" spans="1:42" hidden="1" x14ac:dyDescent="0.2">
      <c r="A28" t="s">
        <v>99</v>
      </c>
      <c r="B28" t="s">
        <v>100</v>
      </c>
      <c r="C28" t="s">
        <v>100</v>
      </c>
      <c r="D28" t="s">
        <v>5</v>
      </c>
      <c r="E28">
        <v>0</v>
      </c>
      <c r="F28">
        <v>0</v>
      </c>
      <c r="G28">
        <v>1</v>
      </c>
      <c r="H28">
        <v>0</v>
      </c>
      <c r="I28" t="s">
        <v>15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5.5</v>
      </c>
      <c r="AE28">
        <v>135</v>
      </c>
      <c r="AF28">
        <v>111.6216216216216</v>
      </c>
      <c r="AG28">
        <v>111.6216216216216</v>
      </c>
      <c r="AH28">
        <f>49.6096096096096*1</f>
        <v>49.609609609609599</v>
      </c>
      <c r="AI28">
        <f>1.66667190077322*1</f>
        <v>1.66667190077322</v>
      </c>
      <c r="AJ28">
        <v>1</v>
      </c>
      <c r="AK28">
        <v>0</v>
      </c>
      <c r="AL28">
        <v>0</v>
      </c>
      <c r="AN28" t="s">
        <v>21</v>
      </c>
      <c r="AO28">
        <f>SUMPRODUCT(Table1[Selected],Table1[FUL])</f>
        <v>0</v>
      </c>
      <c r="AP28">
        <v>3</v>
      </c>
    </row>
    <row r="29" spans="1:42" hidden="1" x14ac:dyDescent="0.2">
      <c r="A29" t="s">
        <v>101</v>
      </c>
      <c r="B29" t="s">
        <v>102</v>
      </c>
      <c r="C29" t="s">
        <v>102</v>
      </c>
      <c r="D29" t="s">
        <v>5</v>
      </c>
      <c r="E29">
        <v>0</v>
      </c>
      <c r="F29">
        <v>0</v>
      </c>
      <c r="G29">
        <v>1</v>
      </c>
      <c r="H29">
        <v>0</v>
      </c>
      <c r="I29" t="s">
        <v>15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5</v>
      </c>
      <c r="AE29">
        <v>136</v>
      </c>
      <c r="AF29">
        <v>75.675675675675677</v>
      </c>
      <c r="AG29">
        <v>75.675675675675677</v>
      </c>
      <c r="AH29">
        <f>33.6336336336336*1</f>
        <v>33.6336336336336</v>
      </c>
      <c r="AI29">
        <f>1.02307061906911*1</f>
        <v>1.0230706190691099</v>
      </c>
      <c r="AJ29">
        <v>1</v>
      </c>
      <c r="AK29">
        <v>0</v>
      </c>
      <c r="AL29">
        <v>0</v>
      </c>
      <c r="AN29" t="s">
        <v>22</v>
      </c>
      <c r="AO29">
        <f>SUMPRODUCT(Table1[Selected],Table1[LEE])</f>
        <v>0</v>
      </c>
      <c r="AP29">
        <v>3</v>
      </c>
    </row>
    <row r="30" spans="1:42" hidden="1" x14ac:dyDescent="0.2">
      <c r="A30" t="s">
        <v>103</v>
      </c>
      <c r="B30" t="s">
        <v>104</v>
      </c>
      <c r="C30" t="s">
        <v>104</v>
      </c>
      <c r="D30" t="s">
        <v>5</v>
      </c>
      <c r="E30">
        <v>0</v>
      </c>
      <c r="F30">
        <v>0</v>
      </c>
      <c r="G30">
        <v>1</v>
      </c>
      <c r="H30">
        <v>0</v>
      </c>
      <c r="I30" t="s">
        <v>15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5</v>
      </c>
      <c r="AE30">
        <v>137</v>
      </c>
      <c r="AF30">
        <v>67.162162162162161</v>
      </c>
      <c r="AG30">
        <v>67.162162162162161</v>
      </c>
      <c r="AH30">
        <f>29.8498498498498*1</f>
        <v>29.8498498498498</v>
      </c>
      <c r="AI30">
        <f>0.640254307468887*1</f>
        <v>0.64025430746888701</v>
      </c>
      <c r="AJ30">
        <v>1</v>
      </c>
      <c r="AK30">
        <v>0</v>
      </c>
      <c r="AL30">
        <v>0</v>
      </c>
      <c r="AN30" t="s">
        <v>23</v>
      </c>
      <c r="AO30">
        <f>SUMPRODUCT(Table1[Selected],Table1[LIV])</f>
        <v>1</v>
      </c>
      <c r="AP30">
        <v>3</v>
      </c>
    </row>
    <row r="31" spans="1:42" hidden="1" x14ac:dyDescent="0.2">
      <c r="A31" t="s">
        <v>105</v>
      </c>
      <c r="B31" t="s">
        <v>106</v>
      </c>
      <c r="C31" t="s">
        <v>106</v>
      </c>
      <c r="D31" t="s">
        <v>5</v>
      </c>
      <c r="E31">
        <v>0</v>
      </c>
      <c r="F31">
        <v>0</v>
      </c>
      <c r="G31">
        <v>1</v>
      </c>
      <c r="H31">
        <v>0</v>
      </c>
      <c r="I31" t="s">
        <v>15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5</v>
      </c>
      <c r="AE31">
        <v>138</v>
      </c>
      <c r="AF31">
        <v>87.027027027027017</v>
      </c>
      <c r="AG31">
        <v>87.027027027027017</v>
      </c>
      <c r="AH31">
        <f>38.6786786786786*1</f>
        <v>38.678678678678601</v>
      </c>
      <c r="AI31">
        <f>0.973468546252364*1</f>
        <v>0.97346854625236401</v>
      </c>
      <c r="AJ31">
        <v>1</v>
      </c>
      <c r="AK31">
        <v>0</v>
      </c>
      <c r="AL31">
        <v>0</v>
      </c>
      <c r="AN31" t="s">
        <v>24</v>
      </c>
      <c r="AO31">
        <f>SUMPRODUCT(Table1[Selected],Table1[MCI])</f>
        <v>0</v>
      </c>
      <c r="AP31">
        <v>3</v>
      </c>
    </row>
    <row r="32" spans="1:42" hidden="1" x14ac:dyDescent="0.2">
      <c r="A32" t="s">
        <v>107</v>
      </c>
      <c r="B32" t="s">
        <v>108</v>
      </c>
      <c r="C32" t="s">
        <v>108</v>
      </c>
      <c r="D32" t="s">
        <v>5</v>
      </c>
      <c r="E32">
        <v>0</v>
      </c>
      <c r="F32">
        <v>0</v>
      </c>
      <c r="G32">
        <v>1</v>
      </c>
      <c r="H32">
        <v>0</v>
      </c>
      <c r="I32" t="s">
        <v>15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4.9000000000000004</v>
      </c>
      <c r="AE32">
        <v>139</v>
      </c>
      <c r="AF32">
        <v>79.459459459459453</v>
      </c>
      <c r="AG32">
        <v>79.459459459459453</v>
      </c>
      <c r="AH32">
        <f>35.3153153153153*1</f>
        <v>35.315315315315303</v>
      </c>
      <c r="AI32">
        <f>0.901644477209749*1</f>
        <v>0.90164447720974905</v>
      </c>
      <c r="AJ32">
        <v>1</v>
      </c>
      <c r="AK32">
        <v>0</v>
      </c>
      <c r="AL32">
        <v>0</v>
      </c>
      <c r="AN32" t="s">
        <v>25</v>
      </c>
      <c r="AO32">
        <f>SUMPRODUCT(Table1[Selected],Table1[MUN])</f>
        <v>1</v>
      </c>
      <c r="AP32">
        <v>3</v>
      </c>
    </row>
    <row r="33" spans="1:42" hidden="1" x14ac:dyDescent="0.2">
      <c r="A33" t="s">
        <v>109</v>
      </c>
      <c r="B33" t="s">
        <v>110</v>
      </c>
      <c r="C33" t="s">
        <v>111</v>
      </c>
      <c r="D33" t="s">
        <v>5</v>
      </c>
      <c r="E33">
        <v>0</v>
      </c>
      <c r="F33">
        <v>0</v>
      </c>
      <c r="G33">
        <v>1</v>
      </c>
      <c r="H33">
        <v>0</v>
      </c>
      <c r="I33" t="s">
        <v>16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6</v>
      </c>
      <c r="AE33">
        <v>159</v>
      </c>
      <c r="AF33">
        <v>123.91891891891891</v>
      </c>
      <c r="AG33">
        <v>123.91891891891891</v>
      </c>
      <c r="AH33">
        <f>55.075075075075*1</f>
        <v>55.075075075074999</v>
      </c>
      <c r="AI33">
        <f>1.46405750603313*1</f>
        <v>1.46405750603313</v>
      </c>
      <c r="AJ33">
        <v>1</v>
      </c>
      <c r="AK33">
        <v>0</v>
      </c>
      <c r="AL33">
        <v>0</v>
      </c>
      <c r="AN33" t="s">
        <v>26</v>
      </c>
      <c r="AO33">
        <f>SUMPRODUCT(Table1[Selected],Table1[NEW])</f>
        <v>2</v>
      </c>
      <c r="AP33">
        <v>3</v>
      </c>
    </row>
    <row r="34" spans="1:42" hidden="1" x14ac:dyDescent="0.2">
      <c r="A34" t="s">
        <v>112</v>
      </c>
      <c r="B34" t="s">
        <v>113</v>
      </c>
      <c r="C34" t="s">
        <v>113</v>
      </c>
      <c r="D34" t="s">
        <v>4</v>
      </c>
      <c r="E34">
        <v>0</v>
      </c>
      <c r="F34">
        <v>1</v>
      </c>
      <c r="G34">
        <v>0</v>
      </c>
      <c r="H34">
        <v>0</v>
      </c>
      <c r="I34" t="s">
        <v>16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5</v>
      </c>
      <c r="AE34">
        <v>165</v>
      </c>
      <c r="AF34">
        <v>120.1351351351351</v>
      </c>
      <c r="AG34">
        <v>120.1351351351351</v>
      </c>
      <c r="AH34">
        <f>53.3933933933933*1</f>
        <v>53.393393393393303</v>
      </c>
      <c r="AI34">
        <f>1.20792448579686*1</f>
        <v>1.2079244857968601</v>
      </c>
      <c r="AJ34">
        <v>1</v>
      </c>
      <c r="AK34">
        <v>0</v>
      </c>
      <c r="AL34">
        <v>0</v>
      </c>
      <c r="AN34" t="s">
        <v>27</v>
      </c>
      <c r="AO34">
        <f>SUMPRODUCT(Table1[Selected],Table1[NFO])</f>
        <v>3</v>
      </c>
      <c r="AP34">
        <v>3</v>
      </c>
    </row>
    <row r="35" spans="1:42" hidden="1" x14ac:dyDescent="0.2">
      <c r="A35" t="s">
        <v>114</v>
      </c>
      <c r="B35" t="s">
        <v>115</v>
      </c>
      <c r="C35" t="s">
        <v>115</v>
      </c>
      <c r="D35" t="s">
        <v>4</v>
      </c>
      <c r="E35">
        <v>0</v>
      </c>
      <c r="F35">
        <v>1</v>
      </c>
      <c r="G35">
        <v>0</v>
      </c>
      <c r="H35">
        <v>0</v>
      </c>
      <c r="I35" t="s">
        <v>16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5</v>
      </c>
      <c r="AE35">
        <v>166</v>
      </c>
      <c r="AF35">
        <v>95.540540540540547</v>
      </c>
      <c r="AG35">
        <v>95.540540540540547</v>
      </c>
      <c r="AH35">
        <f>42.4624624624624*1</f>
        <v>42.462462462462398</v>
      </c>
      <c r="AI35">
        <f>1.04348908564877*1</f>
        <v>1.04348908564877</v>
      </c>
      <c r="AJ35">
        <v>1</v>
      </c>
      <c r="AK35">
        <v>0</v>
      </c>
      <c r="AL35">
        <v>0</v>
      </c>
      <c r="AN35" t="s">
        <v>28</v>
      </c>
      <c r="AO35">
        <f>SUMPRODUCT(Table1[Selected],Table1[SUN])</f>
        <v>0</v>
      </c>
      <c r="AP35">
        <v>3</v>
      </c>
    </row>
    <row r="36" spans="1:42" hidden="1" x14ac:dyDescent="0.2">
      <c r="A36" t="s">
        <v>116</v>
      </c>
      <c r="B36" t="s">
        <v>117</v>
      </c>
      <c r="C36" t="s">
        <v>117</v>
      </c>
      <c r="D36" t="s">
        <v>5</v>
      </c>
      <c r="E36">
        <v>0</v>
      </c>
      <c r="F36">
        <v>0</v>
      </c>
      <c r="G36">
        <v>1</v>
      </c>
      <c r="H36">
        <v>0</v>
      </c>
      <c r="I36" t="s">
        <v>16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7</v>
      </c>
      <c r="AE36">
        <v>178</v>
      </c>
      <c r="AF36">
        <v>135.27027027027029</v>
      </c>
      <c r="AG36">
        <v>135.27027027027029</v>
      </c>
      <c r="AH36">
        <f>60.1201201201201*1</f>
        <v>60.120120120120099</v>
      </c>
      <c r="AI36">
        <f>1.15549621855961*1</f>
        <v>1.15549621855961</v>
      </c>
      <c r="AJ36">
        <v>1</v>
      </c>
      <c r="AK36">
        <v>0</v>
      </c>
      <c r="AL36">
        <v>0</v>
      </c>
      <c r="AN36" t="s">
        <v>29</v>
      </c>
      <c r="AO36">
        <f>SUMPRODUCT(Table1[Selected],Table1[TOT])</f>
        <v>0</v>
      </c>
      <c r="AP36">
        <v>3</v>
      </c>
    </row>
    <row r="37" spans="1:42" hidden="1" x14ac:dyDescent="0.2">
      <c r="A37" t="s">
        <v>118</v>
      </c>
      <c r="B37" t="s">
        <v>119</v>
      </c>
      <c r="C37" t="s">
        <v>119</v>
      </c>
      <c r="D37" t="s">
        <v>5</v>
      </c>
      <c r="E37">
        <v>0</v>
      </c>
      <c r="F37">
        <v>0</v>
      </c>
      <c r="G37">
        <v>1</v>
      </c>
      <c r="H37">
        <v>0</v>
      </c>
      <c r="I37" t="s">
        <v>16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5.9</v>
      </c>
      <c r="AE37">
        <v>179</v>
      </c>
      <c r="AF37">
        <v>125.81081081081081</v>
      </c>
      <c r="AG37">
        <v>125.81081081081081</v>
      </c>
      <c r="AH37">
        <f>55.9159159159159*1</f>
        <v>55.915915915915903</v>
      </c>
      <c r="AI37">
        <f>1.27242796747686*1</f>
        <v>1.2724279674768599</v>
      </c>
      <c r="AJ37">
        <v>1</v>
      </c>
      <c r="AK37">
        <v>0</v>
      </c>
      <c r="AL37">
        <v>0</v>
      </c>
      <c r="AN37" t="s">
        <v>30</v>
      </c>
      <c r="AO37">
        <f>SUMPRODUCT(Table1[Selected],Table1[WHU])</f>
        <v>2</v>
      </c>
      <c r="AP37">
        <v>3</v>
      </c>
    </row>
    <row r="38" spans="1:42" hidden="1" x14ac:dyDescent="0.2">
      <c r="A38" t="s">
        <v>120</v>
      </c>
      <c r="B38" t="s">
        <v>121</v>
      </c>
      <c r="C38" t="s">
        <v>121</v>
      </c>
      <c r="D38" t="s">
        <v>5</v>
      </c>
      <c r="E38">
        <v>0</v>
      </c>
      <c r="F38">
        <v>0</v>
      </c>
      <c r="G38">
        <v>1</v>
      </c>
      <c r="H38">
        <v>0</v>
      </c>
      <c r="I38" t="s">
        <v>16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4.9000000000000004</v>
      </c>
      <c r="AE38">
        <v>183</v>
      </c>
      <c r="AF38">
        <v>87.972972972972983</v>
      </c>
      <c r="AG38">
        <v>87.972972972972983</v>
      </c>
      <c r="AH38">
        <f>39.0990990990991*1</f>
        <v>39.099099099099099</v>
      </c>
      <c r="AI38">
        <f>1.1433884026679*1</f>
        <v>1.1433884026679</v>
      </c>
      <c r="AJ38">
        <v>1</v>
      </c>
      <c r="AK38">
        <v>0</v>
      </c>
      <c r="AL38">
        <v>0</v>
      </c>
      <c r="AN38" t="s">
        <v>31</v>
      </c>
      <c r="AO38">
        <f>SUMPRODUCT(Table1[Selected],Table1[WOL])</f>
        <v>0</v>
      </c>
      <c r="AP38">
        <v>3</v>
      </c>
    </row>
    <row r="39" spans="1:42" hidden="1" x14ac:dyDescent="0.2">
      <c r="A39" t="s">
        <v>122</v>
      </c>
      <c r="B39" t="s">
        <v>123</v>
      </c>
      <c r="C39" t="s">
        <v>123</v>
      </c>
      <c r="D39" t="s">
        <v>5</v>
      </c>
      <c r="E39">
        <v>0</v>
      </c>
      <c r="F39">
        <v>0</v>
      </c>
      <c r="G39">
        <v>1</v>
      </c>
      <c r="H39">
        <v>0</v>
      </c>
      <c r="I39" t="s">
        <v>16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4.9000000000000004</v>
      </c>
      <c r="AE39">
        <v>184</v>
      </c>
      <c r="AF39">
        <v>59.594594594594589</v>
      </c>
      <c r="AG39">
        <v>59.594594594594589</v>
      </c>
      <c r="AH39">
        <f>26.4864864864864*1</f>
        <v>26.486486486486399</v>
      </c>
      <c r="AI39">
        <f>1.04589368131788*1</f>
        <v>1.0458936813178801</v>
      </c>
      <c r="AJ39">
        <v>1</v>
      </c>
      <c r="AK39">
        <v>0</v>
      </c>
      <c r="AL39">
        <v>0</v>
      </c>
    </row>
    <row r="40" spans="1:42" hidden="1" x14ac:dyDescent="0.2">
      <c r="A40" t="s">
        <v>124</v>
      </c>
      <c r="B40" t="s">
        <v>125</v>
      </c>
      <c r="C40" t="s">
        <v>125</v>
      </c>
      <c r="D40" t="s">
        <v>3</v>
      </c>
      <c r="E40">
        <v>1</v>
      </c>
      <c r="F40">
        <v>0</v>
      </c>
      <c r="G40">
        <v>0</v>
      </c>
      <c r="H40">
        <v>0</v>
      </c>
      <c r="I40" t="s">
        <v>17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4.5</v>
      </c>
      <c r="AE40">
        <v>196</v>
      </c>
      <c r="AF40">
        <v>93.64864864864866</v>
      </c>
      <c r="AG40">
        <v>93.64864864864866</v>
      </c>
      <c r="AH40">
        <f>41.6216216216216*1</f>
        <v>41.6216216216216</v>
      </c>
      <c r="AI40">
        <f>1.30807776223539*1</f>
        <v>1.3080777622353901</v>
      </c>
      <c r="AJ40">
        <v>1</v>
      </c>
      <c r="AK40">
        <v>0</v>
      </c>
      <c r="AL40">
        <v>0</v>
      </c>
    </row>
    <row r="41" spans="1:42" hidden="1" x14ac:dyDescent="0.2">
      <c r="A41" t="s">
        <v>107</v>
      </c>
      <c r="B41" t="s">
        <v>126</v>
      </c>
      <c r="C41" t="s">
        <v>126</v>
      </c>
      <c r="D41" t="s">
        <v>4</v>
      </c>
      <c r="E41">
        <v>0</v>
      </c>
      <c r="F41">
        <v>1</v>
      </c>
      <c r="G41">
        <v>0</v>
      </c>
      <c r="H41">
        <v>0</v>
      </c>
      <c r="I41" t="s">
        <v>17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4.5</v>
      </c>
      <c r="AE41">
        <v>203</v>
      </c>
      <c r="AF41">
        <v>74.729729729729726</v>
      </c>
      <c r="AG41">
        <v>74.729729729729726</v>
      </c>
      <c r="AH41">
        <f>33.2132132132132*1</f>
        <v>33.213213213213201</v>
      </c>
      <c r="AI41">
        <f>1.33673793579992*1</f>
        <v>1.3367379357999201</v>
      </c>
      <c r="AJ41">
        <v>1</v>
      </c>
      <c r="AK41">
        <v>0</v>
      </c>
      <c r="AL41">
        <v>0</v>
      </c>
    </row>
    <row r="42" spans="1:42" hidden="1" x14ac:dyDescent="0.2">
      <c r="A42" t="s">
        <v>127</v>
      </c>
      <c r="B42" t="s">
        <v>128</v>
      </c>
      <c r="C42" t="s">
        <v>129</v>
      </c>
      <c r="D42" t="s">
        <v>4</v>
      </c>
      <c r="E42">
        <v>0</v>
      </c>
      <c r="F42">
        <v>1</v>
      </c>
      <c r="G42">
        <v>0</v>
      </c>
      <c r="H42">
        <v>0</v>
      </c>
      <c r="I42" t="s">
        <v>17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4.5</v>
      </c>
      <c r="AE42">
        <v>207</v>
      </c>
      <c r="AF42">
        <v>86.081081081081095</v>
      </c>
      <c r="AG42">
        <v>86.081081081081095</v>
      </c>
      <c r="AH42">
        <f>38.2582582582582*1</f>
        <v>38.258258258258202</v>
      </c>
      <c r="AI42">
        <f>0.933280292458917*1</f>
        <v>0.93328029245891697</v>
      </c>
      <c r="AJ42">
        <v>1</v>
      </c>
      <c r="AK42">
        <v>0</v>
      </c>
      <c r="AL42">
        <v>0</v>
      </c>
    </row>
    <row r="43" spans="1:42" hidden="1" x14ac:dyDescent="0.2">
      <c r="A43" t="s">
        <v>130</v>
      </c>
      <c r="B43" t="s">
        <v>131</v>
      </c>
      <c r="C43" t="s">
        <v>131</v>
      </c>
      <c r="D43" t="s">
        <v>5</v>
      </c>
      <c r="E43">
        <v>0</v>
      </c>
      <c r="F43">
        <v>0</v>
      </c>
      <c r="G43">
        <v>1</v>
      </c>
      <c r="H43">
        <v>0</v>
      </c>
      <c r="I43" t="s">
        <v>17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5.3</v>
      </c>
      <c r="AE43">
        <v>219</v>
      </c>
      <c r="AF43">
        <v>123.91891891891891</v>
      </c>
      <c r="AG43">
        <v>123.91891891891891</v>
      </c>
      <c r="AH43">
        <f>55.075075075075*1</f>
        <v>55.075075075074999</v>
      </c>
      <c r="AI43">
        <f>1.66790600417774*1</f>
        <v>1.66790600417774</v>
      </c>
      <c r="AJ43">
        <v>1</v>
      </c>
      <c r="AK43">
        <v>0</v>
      </c>
      <c r="AL43">
        <v>0</v>
      </c>
    </row>
    <row r="44" spans="1:42" hidden="1" x14ac:dyDescent="0.2">
      <c r="A44" t="s">
        <v>132</v>
      </c>
      <c r="B44" t="s">
        <v>133</v>
      </c>
      <c r="C44" t="s">
        <v>133</v>
      </c>
      <c r="D44" t="s">
        <v>5</v>
      </c>
      <c r="E44">
        <v>0</v>
      </c>
      <c r="F44">
        <v>0</v>
      </c>
      <c r="G44">
        <v>1</v>
      </c>
      <c r="H44">
        <v>0</v>
      </c>
      <c r="I44" t="s">
        <v>17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4.9000000000000004</v>
      </c>
      <c r="AE44">
        <v>223</v>
      </c>
      <c r="AF44">
        <v>87.027027027027017</v>
      </c>
      <c r="AG44">
        <v>87.027027027027017</v>
      </c>
      <c r="AH44">
        <f>38.6786786786786*1</f>
        <v>38.678678678678601</v>
      </c>
      <c r="AI44">
        <f>0.852644512693533*1</f>
        <v>0.85264451269353303</v>
      </c>
      <c r="AJ44">
        <v>1</v>
      </c>
      <c r="AK44">
        <v>0</v>
      </c>
      <c r="AL44">
        <v>0</v>
      </c>
    </row>
    <row r="45" spans="1:42" x14ac:dyDescent="0.2">
      <c r="A45" t="s">
        <v>364</v>
      </c>
      <c r="B45" t="s">
        <v>365</v>
      </c>
      <c r="C45" t="s">
        <v>365</v>
      </c>
      <c r="D45" t="s">
        <v>6</v>
      </c>
      <c r="E45">
        <v>0</v>
      </c>
      <c r="F45">
        <v>0</v>
      </c>
      <c r="G45">
        <v>0</v>
      </c>
      <c r="H45">
        <v>1</v>
      </c>
      <c r="I45" t="s">
        <v>30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1</v>
      </c>
      <c r="AC45">
        <v>0</v>
      </c>
      <c r="AD45">
        <v>7.8</v>
      </c>
      <c r="AE45">
        <v>692</v>
      </c>
      <c r="AF45">
        <v>194.8648648648649</v>
      </c>
      <c r="AG45">
        <v>194.8648648648649</v>
      </c>
      <c r="AH45">
        <f>86.6066066066066*1</f>
        <v>86.606606606606604</v>
      </c>
      <c r="AI45">
        <f>2.58354568398433*1</f>
        <v>2.58354568398433</v>
      </c>
      <c r="AJ45">
        <v>1</v>
      </c>
      <c r="AK45">
        <v>1</v>
      </c>
      <c r="AL45">
        <v>1</v>
      </c>
    </row>
    <row r="46" spans="1:42" hidden="1" x14ac:dyDescent="0.2">
      <c r="A46" t="s">
        <v>136</v>
      </c>
      <c r="B46" t="s">
        <v>137</v>
      </c>
      <c r="C46" t="s">
        <v>137</v>
      </c>
      <c r="D46" t="s">
        <v>5</v>
      </c>
      <c r="E46">
        <v>0</v>
      </c>
      <c r="F46">
        <v>0</v>
      </c>
      <c r="G46">
        <v>1</v>
      </c>
      <c r="H46">
        <v>0</v>
      </c>
      <c r="I46" t="s">
        <v>18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4.9000000000000004</v>
      </c>
      <c r="AE46">
        <v>237</v>
      </c>
      <c r="AF46">
        <v>81.35135135135134</v>
      </c>
      <c r="AG46">
        <v>81.35135135135134</v>
      </c>
      <c r="AH46">
        <f>36.1561561561561*1</f>
        <v>36.156156156156101</v>
      </c>
      <c r="AI46">
        <f>1.0915834913544*1</f>
        <v>1.0915834913544</v>
      </c>
      <c r="AJ46">
        <v>1</v>
      </c>
      <c r="AK46">
        <v>0</v>
      </c>
      <c r="AL46">
        <v>0</v>
      </c>
    </row>
    <row r="47" spans="1:42" hidden="1" x14ac:dyDescent="0.2">
      <c r="A47" t="s">
        <v>138</v>
      </c>
      <c r="B47" t="s">
        <v>139</v>
      </c>
      <c r="C47" t="s">
        <v>140</v>
      </c>
      <c r="D47" t="s">
        <v>4</v>
      </c>
      <c r="E47">
        <v>0</v>
      </c>
      <c r="F47">
        <v>1</v>
      </c>
      <c r="G47">
        <v>0</v>
      </c>
      <c r="H47">
        <v>0</v>
      </c>
      <c r="I47" t="s">
        <v>18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6.1</v>
      </c>
      <c r="AE47">
        <v>242</v>
      </c>
      <c r="AF47">
        <v>141.8918918918919</v>
      </c>
      <c r="AG47">
        <v>141.8918918918919</v>
      </c>
      <c r="AH47">
        <f>63.063063063063*1</f>
        <v>63.063063063062998</v>
      </c>
      <c r="AI47">
        <f>1.92081890059426*1</f>
        <v>1.92081890059426</v>
      </c>
      <c r="AJ47">
        <v>1</v>
      </c>
      <c r="AK47">
        <v>0</v>
      </c>
      <c r="AL47">
        <v>0</v>
      </c>
    </row>
    <row r="48" spans="1:42" x14ac:dyDescent="0.2">
      <c r="A48" t="s">
        <v>261</v>
      </c>
      <c r="B48" t="s">
        <v>262</v>
      </c>
      <c r="C48" t="s">
        <v>262</v>
      </c>
      <c r="D48" t="s">
        <v>5</v>
      </c>
      <c r="E48">
        <v>0</v>
      </c>
      <c r="F48">
        <v>0</v>
      </c>
      <c r="G48">
        <v>1</v>
      </c>
      <c r="H48">
        <v>0</v>
      </c>
      <c r="I48" t="s">
        <v>25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1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8.1</v>
      </c>
      <c r="AE48">
        <v>472</v>
      </c>
      <c r="AF48">
        <v>211.8918918918919</v>
      </c>
      <c r="AG48">
        <v>211.8918918918919</v>
      </c>
      <c r="AH48">
        <f>94.1741741741741*1</f>
        <v>94.174174174174098</v>
      </c>
      <c r="AI48">
        <f>2.37942978661121*1</f>
        <v>2.37942978661121</v>
      </c>
      <c r="AJ48">
        <v>1</v>
      </c>
      <c r="AK48">
        <v>1</v>
      </c>
      <c r="AL48">
        <v>1</v>
      </c>
    </row>
    <row r="49" spans="1:38" hidden="1" x14ac:dyDescent="0.2">
      <c r="A49" t="s">
        <v>143</v>
      </c>
      <c r="B49" t="s">
        <v>144</v>
      </c>
      <c r="C49" t="s">
        <v>144</v>
      </c>
      <c r="D49" t="s">
        <v>4</v>
      </c>
      <c r="E49">
        <v>0</v>
      </c>
      <c r="F49">
        <v>1</v>
      </c>
      <c r="G49">
        <v>0</v>
      </c>
      <c r="H49">
        <v>0</v>
      </c>
      <c r="I49" t="s">
        <v>18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5</v>
      </c>
      <c r="AE49">
        <v>246</v>
      </c>
      <c r="AF49">
        <v>76.621621621621614</v>
      </c>
      <c r="AG49">
        <v>76.621621621621614</v>
      </c>
      <c r="AH49">
        <f>34.054054054054*1</f>
        <v>34.054054054053999</v>
      </c>
      <c r="AI49">
        <f>0.992929212915303*1</f>
        <v>0.99292921291530301</v>
      </c>
      <c r="AJ49">
        <v>1</v>
      </c>
      <c r="AK49">
        <v>0</v>
      </c>
      <c r="AL49">
        <v>0</v>
      </c>
    </row>
    <row r="50" spans="1:38" hidden="1" x14ac:dyDescent="0.2">
      <c r="A50" t="s">
        <v>145</v>
      </c>
      <c r="B50" t="s">
        <v>146</v>
      </c>
      <c r="C50" t="s">
        <v>146</v>
      </c>
      <c r="D50" t="s">
        <v>5</v>
      </c>
      <c r="E50">
        <v>0</v>
      </c>
      <c r="F50">
        <v>0</v>
      </c>
      <c r="G50">
        <v>1</v>
      </c>
      <c r="H50">
        <v>0</v>
      </c>
      <c r="I50" t="s">
        <v>18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10.4</v>
      </c>
      <c r="AE50">
        <v>253</v>
      </c>
      <c r="AF50">
        <v>203.37837837837839</v>
      </c>
      <c r="AG50">
        <v>203.37837837837839</v>
      </c>
      <c r="AH50">
        <f>90.3903903903903*1</f>
        <v>90.390390390390294</v>
      </c>
      <c r="AI50">
        <f>1.73000520006752*1</f>
        <v>1.7300052000675199</v>
      </c>
      <c r="AJ50">
        <v>1</v>
      </c>
      <c r="AK50">
        <v>0</v>
      </c>
      <c r="AL50">
        <v>0</v>
      </c>
    </row>
    <row r="51" spans="1:38" hidden="1" x14ac:dyDescent="0.2">
      <c r="A51" t="s">
        <v>147</v>
      </c>
      <c r="B51" t="s">
        <v>148</v>
      </c>
      <c r="C51" t="s">
        <v>149</v>
      </c>
      <c r="D51" t="s">
        <v>5</v>
      </c>
      <c r="E51">
        <v>0</v>
      </c>
      <c r="F51">
        <v>0</v>
      </c>
      <c r="G51">
        <v>1</v>
      </c>
      <c r="H51">
        <v>0</v>
      </c>
      <c r="I51" t="s">
        <v>18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7</v>
      </c>
      <c r="AE51">
        <v>254</v>
      </c>
      <c r="AF51">
        <v>109.7297297297297</v>
      </c>
      <c r="AG51">
        <v>109.7297297297297</v>
      </c>
      <c r="AH51">
        <f>48.7687687687687*1</f>
        <v>48.768768768768702</v>
      </c>
      <c r="AI51">
        <f>1.43414511443035*1</f>
        <v>1.4341451144303501</v>
      </c>
      <c r="AJ51">
        <v>1</v>
      </c>
      <c r="AK51">
        <v>0</v>
      </c>
      <c r="AL51">
        <v>0</v>
      </c>
    </row>
    <row r="52" spans="1:38" hidden="1" x14ac:dyDescent="0.2">
      <c r="A52" t="s">
        <v>150</v>
      </c>
      <c r="B52" t="s">
        <v>151</v>
      </c>
      <c r="C52" t="s">
        <v>150</v>
      </c>
      <c r="D52" t="s">
        <v>5</v>
      </c>
      <c r="E52">
        <v>0</v>
      </c>
      <c r="F52">
        <v>0</v>
      </c>
      <c r="G52">
        <v>1</v>
      </c>
      <c r="H52">
        <v>0</v>
      </c>
      <c r="I52" t="s">
        <v>18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6.6</v>
      </c>
      <c r="AE52">
        <v>255</v>
      </c>
      <c r="AF52">
        <v>147.56756756756761</v>
      </c>
      <c r="AG52">
        <v>147.56756756756761</v>
      </c>
      <c r="AH52">
        <f>65.5855855855855*1</f>
        <v>65.585585585585505</v>
      </c>
      <c r="AI52">
        <f>2.29649594073025*1</f>
        <v>2.2964959407302499</v>
      </c>
      <c r="AJ52">
        <v>1</v>
      </c>
      <c r="AK52">
        <v>0</v>
      </c>
      <c r="AL52">
        <v>0</v>
      </c>
    </row>
    <row r="53" spans="1:38" hidden="1" x14ac:dyDescent="0.2">
      <c r="A53" t="s">
        <v>152</v>
      </c>
      <c r="B53" t="s">
        <v>153</v>
      </c>
      <c r="C53" t="s">
        <v>154</v>
      </c>
      <c r="D53" t="s">
        <v>5</v>
      </c>
      <c r="E53">
        <v>0</v>
      </c>
      <c r="F53">
        <v>0</v>
      </c>
      <c r="G53">
        <v>1</v>
      </c>
      <c r="H53">
        <v>0</v>
      </c>
      <c r="I53" t="s">
        <v>18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5.5</v>
      </c>
      <c r="AE53">
        <v>259</v>
      </c>
      <c r="AF53">
        <v>101.2162162162162</v>
      </c>
      <c r="AG53">
        <v>101.2162162162162</v>
      </c>
      <c r="AH53">
        <f>44.9849849849849*1</f>
        <v>44.984984984984898</v>
      </c>
      <c r="AI53">
        <f>1.37642059206657*1</f>
        <v>1.37642059206657</v>
      </c>
      <c r="AJ53">
        <v>1</v>
      </c>
      <c r="AK53">
        <v>0</v>
      </c>
      <c r="AL53">
        <v>0</v>
      </c>
    </row>
    <row r="54" spans="1:38" hidden="1" x14ac:dyDescent="0.2">
      <c r="A54" t="s">
        <v>155</v>
      </c>
      <c r="B54" t="s">
        <v>156</v>
      </c>
      <c r="C54" t="s">
        <v>155</v>
      </c>
      <c r="D54" t="s">
        <v>6</v>
      </c>
      <c r="E54">
        <v>0</v>
      </c>
      <c r="F54">
        <v>0</v>
      </c>
      <c r="G54">
        <v>0</v>
      </c>
      <c r="H54">
        <v>1</v>
      </c>
      <c r="I54" t="s">
        <v>18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7.7</v>
      </c>
      <c r="AE54">
        <v>266</v>
      </c>
      <c r="AF54">
        <v>161.7567567567568</v>
      </c>
      <c r="AG54">
        <v>161.7567567567568</v>
      </c>
      <c r="AH54">
        <f>71.8918918918918*1</f>
        <v>71.891891891891802</v>
      </c>
      <c r="AI54">
        <f>0.707646988245033*1</f>
        <v>0.70764698824503303</v>
      </c>
      <c r="AJ54">
        <v>1</v>
      </c>
      <c r="AK54">
        <v>0</v>
      </c>
      <c r="AL54">
        <v>0</v>
      </c>
    </row>
    <row r="55" spans="1:38" hidden="1" x14ac:dyDescent="0.2">
      <c r="A55" t="s">
        <v>157</v>
      </c>
      <c r="B55" t="s">
        <v>158</v>
      </c>
      <c r="C55" t="s">
        <v>158</v>
      </c>
      <c r="D55" t="s">
        <v>6</v>
      </c>
      <c r="E55">
        <v>0</v>
      </c>
      <c r="F55">
        <v>0</v>
      </c>
      <c r="G55">
        <v>0</v>
      </c>
      <c r="H55">
        <v>1</v>
      </c>
      <c r="I55" t="s">
        <v>18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6.3</v>
      </c>
      <c r="AE55">
        <v>267</v>
      </c>
      <c r="AF55">
        <v>118.2432432432432</v>
      </c>
      <c r="AG55">
        <v>118.2432432432432</v>
      </c>
      <c r="AH55">
        <f>52.5525525525525*1</f>
        <v>52.552552552552498</v>
      </c>
      <c r="AI55">
        <f>1.38898963262361*1</f>
        <v>1.38898963262361</v>
      </c>
      <c r="AJ55">
        <v>1</v>
      </c>
      <c r="AK55">
        <v>0</v>
      </c>
      <c r="AL55">
        <v>0</v>
      </c>
    </row>
    <row r="56" spans="1:38" hidden="1" x14ac:dyDescent="0.2">
      <c r="A56" t="s">
        <v>159</v>
      </c>
      <c r="B56" t="s">
        <v>160</v>
      </c>
      <c r="C56" t="s">
        <v>161</v>
      </c>
      <c r="D56" t="s">
        <v>6</v>
      </c>
      <c r="E56">
        <v>0</v>
      </c>
      <c r="F56">
        <v>0</v>
      </c>
      <c r="G56">
        <v>0</v>
      </c>
      <c r="H56">
        <v>1</v>
      </c>
      <c r="I56" t="s">
        <v>18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6.5</v>
      </c>
      <c r="AE56">
        <v>268</v>
      </c>
      <c r="AF56">
        <v>156.08108108108109</v>
      </c>
      <c r="AG56">
        <v>156.08108108108109</v>
      </c>
      <c r="AH56">
        <f>69.3693693693693*0</f>
        <v>0</v>
      </c>
      <c r="AI56">
        <f>1.78760008863717*0</f>
        <v>0</v>
      </c>
      <c r="AJ56">
        <v>0</v>
      </c>
      <c r="AK56">
        <v>0</v>
      </c>
      <c r="AL56">
        <v>0</v>
      </c>
    </row>
    <row r="57" spans="1:38" hidden="1" x14ac:dyDescent="0.2">
      <c r="A57" t="s">
        <v>162</v>
      </c>
      <c r="B57" t="s">
        <v>163</v>
      </c>
      <c r="C57" t="s">
        <v>163</v>
      </c>
      <c r="D57" t="s">
        <v>3</v>
      </c>
      <c r="E57">
        <v>1</v>
      </c>
      <c r="F57">
        <v>0</v>
      </c>
      <c r="G57">
        <v>0</v>
      </c>
      <c r="H57">
        <v>0</v>
      </c>
      <c r="I57" t="s">
        <v>19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5</v>
      </c>
      <c r="AE57">
        <v>272</v>
      </c>
      <c r="AF57">
        <v>129.59459459459461</v>
      </c>
      <c r="AG57">
        <v>129.59459459459461</v>
      </c>
      <c r="AH57">
        <f>57.5975975975975*1</f>
        <v>57.597597597597499</v>
      </c>
      <c r="AI57">
        <f>1.58250625864869*1</f>
        <v>1.58250625864869</v>
      </c>
      <c r="AJ57">
        <v>1</v>
      </c>
      <c r="AK57">
        <v>0</v>
      </c>
      <c r="AL57">
        <v>0</v>
      </c>
    </row>
    <row r="58" spans="1:38" hidden="1" x14ac:dyDescent="0.2">
      <c r="A58" t="s">
        <v>164</v>
      </c>
      <c r="B58" t="s">
        <v>165</v>
      </c>
      <c r="C58" t="s">
        <v>165</v>
      </c>
      <c r="D58" t="s">
        <v>4</v>
      </c>
      <c r="E58">
        <v>0</v>
      </c>
      <c r="F58">
        <v>1</v>
      </c>
      <c r="G58">
        <v>0</v>
      </c>
      <c r="H58">
        <v>0</v>
      </c>
      <c r="I58" t="s">
        <v>19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5</v>
      </c>
      <c r="AE58">
        <v>277</v>
      </c>
      <c r="AF58">
        <v>124.8648648648649</v>
      </c>
      <c r="AG58">
        <v>124.8648648648649</v>
      </c>
      <c r="AH58">
        <f>55.4954954954955*1</f>
        <v>55.495495495495497</v>
      </c>
      <c r="AI58">
        <f>1.27693070111935*1</f>
        <v>1.27693070111935</v>
      </c>
      <c r="AJ58">
        <v>1</v>
      </c>
      <c r="AK58">
        <v>0</v>
      </c>
      <c r="AL58">
        <v>0</v>
      </c>
    </row>
    <row r="59" spans="1:38" x14ac:dyDescent="0.2">
      <c r="A59" t="s">
        <v>97</v>
      </c>
      <c r="B59" t="s">
        <v>98</v>
      </c>
      <c r="C59" t="s">
        <v>98</v>
      </c>
      <c r="D59" t="s">
        <v>5</v>
      </c>
      <c r="E59">
        <v>0</v>
      </c>
      <c r="F59">
        <v>0</v>
      </c>
      <c r="G59">
        <v>1</v>
      </c>
      <c r="H59">
        <v>0</v>
      </c>
      <c r="I59" t="s">
        <v>15</v>
      </c>
      <c r="J59">
        <v>0</v>
      </c>
      <c r="K59">
        <v>0</v>
      </c>
      <c r="L59">
        <v>0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7.4</v>
      </c>
      <c r="AE59">
        <v>134</v>
      </c>
      <c r="AF59">
        <v>159.8648648648649</v>
      </c>
      <c r="AG59">
        <v>159.8648648648649</v>
      </c>
      <c r="AH59">
        <f>71.051051051051*1</f>
        <v>71.051051051051004</v>
      </c>
      <c r="AI59">
        <f>2.11110329803752*1</f>
        <v>2.1111032980375199</v>
      </c>
      <c r="AJ59">
        <v>1</v>
      </c>
      <c r="AK59">
        <v>1</v>
      </c>
      <c r="AL59">
        <v>1</v>
      </c>
    </row>
    <row r="60" spans="1:38" x14ac:dyDescent="0.2">
      <c r="A60" t="s">
        <v>61</v>
      </c>
      <c r="B60" t="s">
        <v>62</v>
      </c>
      <c r="C60" t="s">
        <v>62</v>
      </c>
      <c r="D60" t="s">
        <v>5</v>
      </c>
      <c r="E60">
        <v>0</v>
      </c>
      <c r="F60">
        <v>0</v>
      </c>
      <c r="G60">
        <v>1</v>
      </c>
      <c r="H60">
        <v>0</v>
      </c>
      <c r="I60" t="s">
        <v>12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7.5</v>
      </c>
      <c r="AE60">
        <v>29</v>
      </c>
      <c r="AF60">
        <v>163.64864864864859</v>
      </c>
      <c r="AG60">
        <v>163.64864864864859</v>
      </c>
      <c r="AH60">
        <f>72.7327327327327*1</f>
        <v>72.7327327327327</v>
      </c>
      <c r="AI60">
        <f>1.77235583782249*1</f>
        <v>1.77235583782249</v>
      </c>
      <c r="AJ60">
        <v>1</v>
      </c>
      <c r="AK60">
        <v>1</v>
      </c>
      <c r="AL60">
        <v>1</v>
      </c>
    </row>
    <row r="61" spans="1:38" hidden="1" x14ac:dyDescent="0.2">
      <c r="A61" t="s">
        <v>169</v>
      </c>
      <c r="B61" t="s">
        <v>170</v>
      </c>
      <c r="C61" t="s">
        <v>170</v>
      </c>
      <c r="D61" t="s">
        <v>5</v>
      </c>
      <c r="E61">
        <v>0</v>
      </c>
      <c r="F61">
        <v>0</v>
      </c>
      <c r="G61">
        <v>1</v>
      </c>
      <c r="H61">
        <v>0</v>
      </c>
      <c r="I61" t="s">
        <v>19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6.5</v>
      </c>
      <c r="AE61">
        <v>285</v>
      </c>
      <c r="AF61">
        <v>149.45945945945951</v>
      </c>
      <c r="AG61">
        <v>149.45945945945951</v>
      </c>
      <c r="AH61">
        <f>66.4264264264264*1</f>
        <v>66.426426426426403</v>
      </c>
      <c r="AI61">
        <f>1.63823328371709*1</f>
        <v>1.6382332837170901</v>
      </c>
      <c r="AJ61">
        <v>1</v>
      </c>
      <c r="AK61">
        <v>0</v>
      </c>
      <c r="AL61">
        <v>0</v>
      </c>
    </row>
    <row r="62" spans="1:38" hidden="1" x14ac:dyDescent="0.2">
      <c r="A62" t="s">
        <v>171</v>
      </c>
      <c r="B62" t="s">
        <v>172</v>
      </c>
      <c r="C62" t="s">
        <v>172</v>
      </c>
      <c r="D62" t="s">
        <v>5</v>
      </c>
      <c r="E62">
        <v>0</v>
      </c>
      <c r="F62">
        <v>0</v>
      </c>
      <c r="G62">
        <v>1</v>
      </c>
      <c r="H62">
        <v>0</v>
      </c>
      <c r="I62" t="s">
        <v>19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4.9000000000000004</v>
      </c>
      <c r="AE62">
        <v>288</v>
      </c>
      <c r="AF62">
        <v>69.054054054054049</v>
      </c>
      <c r="AG62">
        <v>69.054054054054049</v>
      </c>
      <c r="AH62">
        <f>30.6906906906906*1</f>
        <v>30.690690690690602</v>
      </c>
      <c r="AI62">
        <f>0.91754365656997*1</f>
        <v>0.91754365656996995</v>
      </c>
      <c r="AJ62">
        <v>1</v>
      </c>
      <c r="AK62">
        <v>0</v>
      </c>
      <c r="AL62">
        <v>0</v>
      </c>
    </row>
    <row r="63" spans="1:38" hidden="1" x14ac:dyDescent="0.2">
      <c r="A63" t="s">
        <v>173</v>
      </c>
      <c r="B63" t="s">
        <v>174</v>
      </c>
      <c r="C63" t="s">
        <v>175</v>
      </c>
      <c r="D63" t="s">
        <v>5</v>
      </c>
      <c r="E63">
        <v>0</v>
      </c>
      <c r="F63">
        <v>0</v>
      </c>
      <c r="G63">
        <v>1</v>
      </c>
      <c r="H63">
        <v>0</v>
      </c>
      <c r="I63" t="s">
        <v>19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5</v>
      </c>
      <c r="AE63">
        <v>290</v>
      </c>
      <c r="AF63">
        <v>61.486486486486491</v>
      </c>
      <c r="AG63">
        <v>61.486486486486491</v>
      </c>
      <c r="AH63">
        <f>27.3273273273273*1</f>
        <v>27.3273273273273</v>
      </c>
      <c r="AI63">
        <f>0.893737527936757*1</f>
        <v>0.89373752793675698</v>
      </c>
      <c r="AJ63">
        <v>1</v>
      </c>
      <c r="AK63">
        <v>0</v>
      </c>
      <c r="AL63">
        <v>0</v>
      </c>
    </row>
    <row r="64" spans="1:38" hidden="1" x14ac:dyDescent="0.2">
      <c r="A64" t="s">
        <v>176</v>
      </c>
      <c r="B64" t="s">
        <v>177</v>
      </c>
      <c r="C64" t="s">
        <v>177</v>
      </c>
      <c r="D64" t="s">
        <v>6</v>
      </c>
      <c r="E64">
        <v>0</v>
      </c>
      <c r="F64">
        <v>0</v>
      </c>
      <c r="G64">
        <v>0</v>
      </c>
      <c r="H64">
        <v>1</v>
      </c>
      <c r="I64" t="s">
        <v>19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7.5</v>
      </c>
      <c r="AE64">
        <v>301</v>
      </c>
      <c r="AF64">
        <v>145.67567567567571</v>
      </c>
      <c r="AG64">
        <v>145.67567567567571</v>
      </c>
      <c r="AH64">
        <f>64.7447447447447*1</f>
        <v>64.744744744744693</v>
      </c>
      <c r="AI64">
        <f>1.57190446840511*1</f>
        <v>1.57190446840511</v>
      </c>
      <c r="AJ64">
        <v>1</v>
      </c>
      <c r="AK64">
        <v>0</v>
      </c>
      <c r="AL64">
        <v>0</v>
      </c>
    </row>
    <row r="65" spans="1:38" hidden="1" x14ac:dyDescent="0.2">
      <c r="A65" t="s">
        <v>178</v>
      </c>
      <c r="B65" t="s">
        <v>179</v>
      </c>
      <c r="C65" t="s">
        <v>179</v>
      </c>
      <c r="D65" t="s">
        <v>6</v>
      </c>
      <c r="E65">
        <v>0</v>
      </c>
      <c r="F65">
        <v>0</v>
      </c>
      <c r="G65">
        <v>0</v>
      </c>
      <c r="H65">
        <v>1</v>
      </c>
      <c r="I65" t="s">
        <v>19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5.4</v>
      </c>
      <c r="AE65">
        <v>302</v>
      </c>
      <c r="AF65">
        <v>61.486486486486491</v>
      </c>
      <c r="AG65">
        <v>61.486486486486491</v>
      </c>
      <c r="AH65">
        <f>27.3273273273273*1</f>
        <v>27.3273273273273</v>
      </c>
      <c r="AI65">
        <f>0.933869756283413*1</f>
        <v>0.93386975628341296</v>
      </c>
      <c r="AJ65">
        <v>1</v>
      </c>
      <c r="AK65">
        <v>0</v>
      </c>
      <c r="AL65">
        <v>0</v>
      </c>
    </row>
    <row r="66" spans="1:38" hidden="1" x14ac:dyDescent="0.2">
      <c r="A66" t="s">
        <v>180</v>
      </c>
      <c r="B66" t="s">
        <v>181</v>
      </c>
      <c r="C66" t="s">
        <v>181</v>
      </c>
      <c r="D66" t="s">
        <v>3</v>
      </c>
      <c r="E66">
        <v>1</v>
      </c>
      <c r="F66">
        <v>0</v>
      </c>
      <c r="G66">
        <v>0</v>
      </c>
      <c r="H66">
        <v>0</v>
      </c>
      <c r="I66" t="s">
        <v>20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5.5</v>
      </c>
      <c r="AE66">
        <v>310</v>
      </c>
      <c r="AF66">
        <v>154.18918918918919</v>
      </c>
      <c r="AG66">
        <v>154.18918918918919</v>
      </c>
      <c r="AH66">
        <f>68.5285285285285*1</f>
        <v>68.528528528528497</v>
      </c>
      <c r="AI66">
        <f>1.6246882981703*1</f>
        <v>1.6246882981702999</v>
      </c>
      <c r="AJ66">
        <v>1</v>
      </c>
      <c r="AK66">
        <v>0</v>
      </c>
      <c r="AL66">
        <v>0</v>
      </c>
    </row>
    <row r="67" spans="1:38" hidden="1" x14ac:dyDescent="0.2">
      <c r="A67" t="s">
        <v>182</v>
      </c>
      <c r="B67" t="s">
        <v>183</v>
      </c>
      <c r="C67" t="s">
        <v>183</v>
      </c>
      <c r="D67" t="s">
        <v>4</v>
      </c>
      <c r="E67">
        <v>0</v>
      </c>
      <c r="F67">
        <v>1</v>
      </c>
      <c r="G67">
        <v>0</v>
      </c>
      <c r="H67">
        <v>0</v>
      </c>
      <c r="I67" t="s">
        <v>20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5.3</v>
      </c>
      <c r="AE67">
        <v>313</v>
      </c>
      <c r="AF67">
        <v>115.4054054054054</v>
      </c>
      <c r="AG67">
        <v>115.4054054054054</v>
      </c>
      <c r="AH67">
        <f>51.2912912912912*1</f>
        <v>51.291291291291202</v>
      </c>
      <c r="AI67">
        <f>1.33051349919414*1</f>
        <v>1.3305134991941401</v>
      </c>
      <c r="AJ67">
        <v>1</v>
      </c>
      <c r="AK67">
        <v>0</v>
      </c>
      <c r="AL67">
        <v>0</v>
      </c>
    </row>
    <row r="68" spans="1:38" hidden="1" x14ac:dyDescent="0.2">
      <c r="A68" t="s">
        <v>184</v>
      </c>
      <c r="B68" t="s">
        <v>185</v>
      </c>
      <c r="C68" t="s">
        <v>185</v>
      </c>
      <c r="D68" t="s">
        <v>4</v>
      </c>
      <c r="E68">
        <v>0</v>
      </c>
      <c r="F68">
        <v>1</v>
      </c>
      <c r="G68">
        <v>0</v>
      </c>
      <c r="H68">
        <v>0</v>
      </c>
      <c r="I68" t="s">
        <v>20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5.5</v>
      </c>
      <c r="AE68">
        <v>314</v>
      </c>
      <c r="AF68">
        <v>112.56756756756759</v>
      </c>
      <c r="AG68">
        <v>112.56756756756759</v>
      </c>
      <c r="AH68">
        <f>50.03003003003*1</f>
        <v>50.030030030029998</v>
      </c>
      <c r="AI68">
        <f>1.13635677611351*1</f>
        <v>1.13635677611351</v>
      </c>
      <c r="AJ68">
        <v>1</v>
      </c>
      <c r="AK68">
        <v>0</v>
      </c>
      <c r="AL68">
        <v>0</v>
      </c>
    </row>
    <row r="69" spans="1:38" hidden="1" x14ac:dyDescent="0.2">
      <c r="A69" t="s">
        <v>186</v>
      </c>
      <c r="B69" t="s">
        <v>187</v>
      </c>
      <c r="C69" t="s">
        <v>187</v>
      </c>
      <c r="D69" t="s">
        <v>4</v>
      </c>
      <c r="E69">
        <v>0</v>
      </c>
      <c r="F69">
        <v>1</v>
      </c>
      <c r="G69">
        <v>0</v>
      </c>
      <c r="H69">
        <v>0</v>
      </c>
      <c r="I69" t="s">
        <v>20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4.9000000000000004</v>
      </c>
      <c r="AE69">
        <v>315</v>
      </c>
      <c r="AF69">
        <v>109.7297297297297</v>
      </c>
      <c r="AG69">
        <v>109.7297297297297</v>
      </c>
      <c r="AH69">
        <f>48.7687687687687*1</f>
        <v>48.768768768768702</v>
      </c>
      <c r="AI69">
        <f>1.46459881438085*1</f>
        <v>1.4645988143808499</v>
      </c>
      <c r="AJ69">
        <v>1</v>
      </c>
      <c r="AK69">
        <v>0</v>
      </c>
      <c r="AL69">
        <v>0</v>
      </c>
    </row>
    <row r="70" spans="1:38" hidden="1" x14ac:dyDescent="0.2">
      <c r="A70" t="s">
        <v>188</v>
      </c>
      <c r="B70" t="s">
        <v>189</v>
      </c>
      <c r="C70" t="s">
        <v>190</v>
      </c>
      <c r="D70" t="s">
        <v>6</v>
      </c>
      <c r="E70">
        <v>0</v>
      </c>
      <c r="F70">
        <v>0</v>
      </c>
      <c r="G70">
        <v>0</v>
      </c>
      <c r="H70">
        <v>1</v>
      </c>
      <c r="I70" t="s">
        <v>20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5.4</v>
      </c>
      <c r="AE70">
        <v>334</v>
      </c>
      <c r="AF70">
        <v>84.189189189189179</v>
      </c>
      <c r="AG70">
        <v>84.189189189189179</v>
      </c>
      <c r="AH70">
        <f>37.4174174174174*1</f>
        <v>37.417417417417397</v>
      </c>
      <c r="AI70">
        <f>1.54687946602015*1</f>
        <v>1.5468794660201499</v>
      </c>
      <c r="AJ70">
        <v>1</v>
      </c>
      <c r="AK70">
        <v>0</v>
      </c>
      <c r="AL70">
        <v>0</v>
      </c>
    </row>
    <row r="71" spans="1:38" hidden="1" x14ac:dyDescent="0.2">
      <c r="A71" t="s">
        <v>191</v>
      </c>
      <c r="B71" t="s">
        <v>192</v>
      </c>
      <c r="C71" t="s">
        <v>192</v>
      </c>
      <c r="D71" t="s">
        <v>3</v>
      </c>
      <c r="E71">
        <v>1</v>
      </c>
      <c r="F71">
        <v>0</v>
      </c>
      <c r="G71">
        <v>0</v>
      </c>
      <c r="H71">
        <v>0</v>
      </c>
      <c r="I71" t="s">
        <v>21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5</v>
      </c>
      <c r="AE71">
        <v>344</v>
      </c>
      <c r="AF71">
        <v>105.94594594594599</v>
      </c>
      <c r="AG71">
        <v>105.94594594594599</v>
      </c>
      <c r="AH71">
        <f>47.087087087087*1</f>
        <v>47.087087087086999</v>
      </c>
      <c r="AI71">
        <f>1.62870707854366*1</f>
        <v>1.6287070785436599</v>
      </c>
      <c r="AJ71">
        <v>1</v>
      </c>
      <c r="AK71">
        <v>0</v>
      </c>
      <c r="AL71">
        <v>0</v>
      </c>
    </row>
    <row r="72" spans="1:38" hidden="1" x14ac:dyDescent="0.2">
      <c r="A72" t="s">
        <v>193</v>
      </c>
      <c r="B72" t="s">
        <v>194</v>
      </c>
      <c r="C72" t="s">
        <v>194</v>
      </c>
      <c r="D72" t="s">
        <v>4</v>
      </c>
      <c r="E72">
        <v>0</v>
      </c>
      <c r="F72">
        <v>1</v>
      </c>
      <c r="G72">
        <v>0</v>
      </c>
      <c r="H72">
        <v>0</v>
      </c>
      <c r="I72" t="s">
        <v>21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5</v>
      </c>
      <c r="AE72">
        <v>346</v>
      </c>
      <c r="AF72">
        <v>100.2702702702703</v>
      </c>
      <c r="AG72">
        <v>100.2702702702703</v>
      </c>
      <c r="AH72">
        <f>44.5645645645645*1</f>
        <v>44.564564564564499</v>
      </c>
      <c r="AI72">
        <f>1.20800499329037*1</f>
        <v>1.20800499329037</v>
      </c>
      <c r="AJ72">
        <v>1</v>
      </c>
      <c r="AK72">
        <v>0</v>
      </c>
      <c r="AL72">
        <v>0</v>
      </c>
    </row>
    <row r="73" spans="1:38" hidden="1" x14ac:dyDescent="0.2">
      <c r="A73" t="s">
        <v>195</v>
      </c>
      <c r="B73" t="s">
        <v>196</v>
      </c>
      <c r="C73" t="s">
        <v>196</v>
      </c>
      <c r="D73" t="s">
        <v>4</v>
      </c>
      <c r="E73">
        <v>0</v>
      </c>
      <c r="F73">
        <v>1</v>
      </c>
      <c r="G73">
        <v>0</v>
      </c>
      <c r="H73">
        <v>0</v>
      </c>
      <c r="I73" t="s">
        <v>21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4.5</v>
      </c>
      <c r="AE73">
        <v>347</v>
      </c>
      <c r="AF73">
        <v>70</v>
      </c>
      <c r="AG73">
        <v>70</v>
      </c>
      <c r="AH73">
        <f>31.1111111111111*1</f>
        <v>31.1111111111111</v>
      </c>
      <c r="AI73">
        <f>1.12024061628651*1</f>
        <v>1.1202406162865099</v>
      </c>
      <c r="AJ73">
        <v>1</v>
      </c>
      <c r="AK73">
        <v>0</v>
      </c>
      <c r="AL73">
        <v>0</v>
      </c>
    </row>
    <row r="74" spans="1:38" hidden="1" x14ac:dyDescent="0.2">
      <c r="A74" t="s">
        <v>197</v>
      </c>
      <c r="B74" t="s">
        <v>198</v>
      </c>
      <c r="C74" t="s">
        <v>198</v>
      </c>
      <c r="D74" t="s">
        <v>4</v>
      </c>
      <c r="E74">
        <v>0</v>
      </c>
      <c r="F74">
        <v>1</v>
      </c>
      <c r="G74">
        <v>0</v>
      </c>
      <c r="H74">
        <v>0</v>
      </c>
      <c r="I74" t="s">
        <v>21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4.5</v>
      </c>
      <c r="AE74">
        <v>348</v>
      </c>
      <c r="AF74">
        <v>73.783783783783775</v>
      </c>
      <c r="AG74">
        <v>73.783783783783775</v>
      </c>
      <c r="AH74">
        <f>32.7927927927927*1</f>
        <v>32.792792792792703</v>
      </c>
      <c r="AI74">
        <f>0.932699984309392*1</f>
        <v>0.93269998430939205</v>
      </c>
      <c r="AJ74">
        <v>1</v>
      </c>
      <c r="AK74">
        <v>0</v>
      </c>
      <c r="AL74">
        <v>0</v>
      </c>
    </row>
    <row r="75" spans="1:38" hidden="1" x14ac:dyDescent="0.2">
      <c r="A75" t="s">
        <v>199</v>
      </c>
      <c r="B75" t="s">
        <v>200</v>
      </c>
      <c r="C75" t="s">
        <v>200</v>
      </c>
      <c r="D75" t="s">
        <v>4</v>
      </c>
      <c r="E75">
        <v>0</v>
      </c>
      <c r="F75">
        <v>1</v>
      </c>
      <c r="G75">
        <v>0</v>
      </c>
      <c r="H75">
        <v>0</v>
      </c>
      <c r="I75" t="s">
        <v>21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4.5</v>
      </c>
      <c r="AE75">
        <v>349</v>
      </c>
      <c r="AF75">
        <v>83.243243243243242</v>
      </c>
      <c r="AG75">
        <v>83.243243243243242</v>
      </c>
      <c r="AH75">
        <f>36.9969969969969*1</f>
        <v>36.996996996996899</v>
      </c>
      <c r="AI75">
        <f>0.975760052674318*1</f>
        <v>0.97576005267431798</v>
      </c>
      <c r="AJ75">
        <v>1</v>
      </c>
      <c r="AK75">
        <v>0</v>
      </c>
      <c r="AL75">
        <v>0</v>
      </c>
    </row>
    <row r="76" spans="1:38" hidden="1" x14ac:dyDescent="0.2">
      <c r="A76" t="s">
        <v>201</v>
      </c>
      <c r="B76" t="s">
        <v>202</v>
      </c>
      <c r="C76" t="s">
        <v>202</v>
      </c>
      <c r="D76" t="s">
        <v>5</v>
      </c>
      <c r="E76">
        <v>0</v>
      </c>
      <c r="F76">
        <v>0</v>
      </c>
      <c r="G76">
        <v>1</v>
      </c>
      <c r="H76">
        <v>0</v>
      </c>
      <c r="I76" t="s">
        <v>21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6.5</v>
      </c>
      <c r="AE76">
        <v>354</v>
      </c>
      <c r="AF76">
        <v>142.83783783783781</v>
      </c>
      <c r="AG76">
        <v>142.83783783783781</v>
      </c>
      <c r="AH76">
        <f>63.4834834834834*1</f>
        <v>63.483483483483397</v>
      </c>
      <c r="AI76">
        <f>1.55138295517721*1</f>
        <v>1.55138295517721</v>
      </c>
      <c r="AJ76">
        <v>1</v>
      </c>
      <c r="AK76">
        <v>0</v>
      </c>
      <c r="AL76">
        <v>0</v>
      </c>
    </row>
    <row r="77" spans="1:38" hidden="1" x14ac:dyDescent="0.2">
      <c r="A77" t="s">
        <v>203</v>
      </c>
      <c r="B77" t="s">
        <v>204</v>
      </c>
      <c r="C77" t="s">
        <v>204</v>
      </c>
      <c r="D77" t="s">
        <v>5</v>
      </c>
      <c r="E77">
        <v>0</v>
      </c>
      <c r="F77">
        <v>0</v>
      </c>
      <c r="G77">
        <v>1</v>
      </c>
      <c r="H77">
        <v>0</v>
      </c>
      <c r="I77" t="s">
        <v>21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5.9</v>
      </c>
      <c r="AE77">
        <v>355</v>
      </c>
      <c r="AF77">
        <v>115.4054054054054</v>
      </c>
      <c r="AG77">
        <v>115.4054054054054</v>
      </c>
      <c r="AH77">
        <f>51.2912912912912*1</f>
        <v>51.291291291291202</v>
      </c>
      <c r="AI77">
        <f>1.37906099492696*1</f>
        <v>1.3790609949269601</v>
      </c>
      <c r="AJ77">
        <v>1</v>
      </c>
      <c r="AK77">
        <v>0</v>
      </c>
      <c r="AL77">
        <v>0</v>
      </c>
    </row>
    <row r="78" spans="1:38" hidden="1" x14ac:dyDescent="0.2">
      <c r="A78" t="s">
        <v>205</v>
      </c>
      <c r="B78" t="s">
        <v>206</v>
      </c>
      <c r="C78" t="s">
        <v>205</v>
      </c>
      <c r="D78" t="s">
        <v>5</v>
      </c>
      <c r="E78">
        <v>0</v>
      </c>
      <c r="F78">
        <v>0</v>
      </c>
      <c r="G78">
        <v>1</v>
      </c>
      <c r="H78">
        <v>0</v>
      </c>
      <c r="I78" t="s">
        <v>21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5.3</v>
      </c>
      <c r="AE78">
        <v>357</v>
      </c>
      <c r="AF78">
        <v>86.081081081081095</v>
      </c>
      <c r="AG78">
        <v>86.081081081081095</v>
      </c>
      <c r="AH78">
        <f>38.2582582582582*1</f>
        <v>38.258258258258202</v>
      </c>
      <c r="AI78">
        <f>1.44188993286441*1</f>
        <v>1.4418899328644099</v>
      </c>
      <c r="AJ78">
        <v>1</v>
      </c>
      <c r="AK78">
        <v>0</v>
      </c>
      <c r="AL78">
        <v>0</v>
      </c>
    </row>
    <row r="79" spans="1:38" hidden="1" x14ac:dyDescent="0.2">
      <c r="A79" t="s">
        <v>207</v>
      </c>
      <c r="B79" t="s">
        <v>208</v>
      </c>
      <c r="C79" t="s">
        <v>208</v>
      </c>
      <c r="D79" t="s">
        <v>5</v>
      </c>
      <c r="E79">
        <v>0</v>
      </c>
      <c r="F79">
        <v>0</v>
      </c>
      <c r="G79">
        <v>1</v>
      </c>
      <c r="H79">
        <v>0</v>
      </c>
      <c r="I79" t="s">
        <v>21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5.4</v>
      </c>
      <c r="AE79">
        <v>359</v>
      </c>
      <c r="AF79">
        <v>102.1621621621622</v>
      </c>
      <c r="AG79">
        <v>102.1621621621622</v>
      </c>
      <c r="AH79">
        <f>45.4054054054053*1</f>
        <v>45.405405405405297</v>
      </c>
      <c r="AI79">
        <f>1.10923716464983*1</f>
        <v>1.10923716464983</v>
      </c>
      <c r="AJ79">
        <v>1</v>
      </c>
      <c r="AK79">
        <v>0</v>
      </c>
      <c r="AL79">
        <v>0</v>
      </c>
    </row>
    <row r="80" spans="1:38" hidden="1" x14ac:dyDescent="0.2">
      <c r="A80" t="s">
        <v>209</v>
      </c>
      <c r="B80" t="s">
        <v>210</v>
      </c>
      <c r="C80" t="s">
        <v>210</v>
      </c>
      <c r="D80" t="s">
        <v>5</v>
      </c>
      <c r="E80">
        <v>0</v>
      </c>
      <c r="F80">
        <v>0</v>
      </c>
      <c r="G80">
        <v>1</v>
      </c>
      <c r="H80">
        <v>0</v>
      </c>
      <c r="I80" t="s">
        <v>21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5</v>
      </c>
      <c r="AE80">
        <v>360</v>
      </c>
      <c r="AF80">
        <v>63.378378378378379</v>
      </c>
      <c r="AG80">
        <v>63.378378378378379</v>
      </c>
      <c r="AH80">
        <f>28.1681681681681*1</f>
        <v>28.168168168168101</v>
      </c>
      <c r="AI80">
        <f>0.883811934461296*1</f>
        <v>0.88381193446129602</v>
      </c>
      <c r="AJ80">
        <v>1</v>
      </c>
      <c r="AK80">
        <v>0</v>
      </c>
      <c r="AL80">
        <v>0</v>
      </c>
    </row>
    <row r="81" spans="1:38" hidden="1" x14ac:dyDescent="0.2">
      <c r="A81" t="s">
        <v>211</v>
      </c>
      <c r="B81" t="s">
        <v>212</v>
      </c>
      <c r="C81" t="s">
        <v>212</v>
      </c>
      <c r="D81" t="s">
        <v>5</v>
      </c>
      <c r="E81">
        <v>0</v>
      </c>
      <c r="F81">
        <v>0</v>
      </c>
      <c r="G81">
        <v>1</v>
      </c>
      <c r="H81">
        <v>0</v>
      </c>
      <c r="I81" t="s">
        <v>21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4.9000000000000004</v>
      </c>
      <c r="AE81">
        <v>361</v>
      </c>
      <c r="AF81">
        <v>42.567567567567558</v>
      </c>
      <c r="AG81">
        <v>42.567567567567558</v>
      </c>
      <c r="AH81">
        <f>18.9189189189189*1</f>
        <v>18.918918918918902</v>
      </c>
      <c r="AI81">
        <f>0.677762782378914*1</f>
        <v>0.67776278237891396</v>
      </c>
      <c r="AJ81">
        <v>1</v>
      </c>
      <c r="AK81">
        <v>0</v>
      </c>
      <c r="AL81">
        <v>0</v>
      </c>
    </row>
    <row r="82" spans="1:38" hidden="1" x14ac:dyDescent="0.2">
      <c r="A82" t="s">
        <v>213</v>
      </c>
      <c r="B82" t="s">
        <v>214</v>
      </c>
      <c r="C82" t="s">
        <v>214</v>
      </c>
      <c r="D82" t="s">
        <v>5</v>
      </c>
      <c r="E82">
        <v>0</v>
      </c>
      <c r="F82">
        <v>0</v>
      </c>
      <c r="G82">
        <v>1</v>
      </c>
      <c r="H82">
        <v>0</v>
      </c>
      <c r="I82" t="s">
        <v>21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5</v>
      </c>
      <c r="AE82">
        <v>362</v>
      </c>
      <c r="AF82">
        <v>67.162162162162161</v>
      </c>
      <c r="AG82">
        <v>67.162162162162161</v>
      </c>
      <c r="AH82">
        <f>29.8498498498498*1</f>
        <v>29.8498498498498</v>
      </c>
      <c r="AI82">
        <f>0.819341654098256*1</f>
        <v>0.81934165409825599</v>
      </c>
      <c r="AJ82">
        <v>1</v>
      </c>
      <c r="AK82">
        <v>0</v>
      </c>
      <c r="AL82">
        <v>0</v>
      </c>
    </row>
    <row r="83" spans="1:38" hidden="1" x14ac:dyDescent="0.2">
      <c r="A83" t="s">
        <v>215</v>
      </c>
      <c r="B83" t="s">
        <v>216</v>
      </c>
      <c r="C83" t="s">
        <v>217</v>
      </c>
      <c r="D83" t="s">
        <v>6</v>
      </c>
      <c r="E83">
        <v>0</v>
      </c>
      <c r="F83">
        <v>0</v>
      </c>
      <c r="G83">
        <v>0</v>
      </c>
      <c r="H83">
        <v>1</v>
      </c>
      <c r="I83" t="s">
        <v>21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5.5</v>
      </c>
      <c r="AE83">
        <v>368</v>
      </c>
      <c r="AF83">
        <v>93.64864864864866</v>
      </c>
      <c r="AG83">
        <v>93.64864864864866</v>
      </c>
      <c r="AH83">
        <f>41.6216216216216*1</f>
        <v>41.6216216216216</v>
      </c>
      <c r="AI83">
        <f>0.965941504856349*1</f>
        <v>0.965941504856349</v>
      </c>
      <c r="AJ83">
        <v>1</v>
      </c>
      <c r="AK83">
        <v>0</v>
      </c>
      <c r="AL83">
        <v>0</v>
      </c>
    </row>
    <row r="84" spans="1:38" hidden="1" x14ac:dyDescent="0.2">
      <c r="A84" t="s">
        <v>130</v>
      </c>
      <c r="B84" t="s">
        <v>218</v>
      </c>
      <c r="C84" t="s">
        <v>218</v>
      </c>
      <c r="D84" t="s">
        <v>5</v>
      </c>
      <c r="E84">
        <v>0</v>
      </c>
      <c r="F84">
        <v>0</v>
      </c>
      <c r="G84">
        <v>1</v>
      </c>
      <c r="H84">
        <v>0</v>
      </c>
      <c r="I84" t="s">
        <v>22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5.4</v>
      </c>
      <c r="AE84">
        <v>385</v>
      </c>
      <c r="AF84">
        <v>82.297297297297291</v>
      </c>
      <c r="AG84">
        <v>82.297297297297291</v>
      </c>
      <c r="AH84">
        <f>36.5765765765765*1</f>
        <v>36.5765765765765</v>
      </c>
      <c r="AI84">
        <f>1.27811402535619*1</f>
        <v>1.27811402535619</v>
      </c>
      <c r="AJ84">
        <v>1</v>
      </c>
      <c r="AK84">
        <v>0</v>
      </c>
      <c r="AL84">
        <v>0</v>
      </c>
    </row>
    <row r="85" spans="1:38" hidden="1" x14ac:dyDescent="0.2">
      <c r="A85" t="s">
        <v>219</v>
      </c>
      <c r="B85" t="s">
        <v>220</v>
      </c>
      <c r="C85" t="s">
        <v>220</v>
      </c>
      <c r="D85" t="s">
        <v>5</v>
      </c>
      <c r="E85">
        <v>0</v>
      </c>
      <c r="F85">
        <v>0</v>
      </c>
      <c r="G85">
        <v>1</v>
      </c>
      <c r="H85">
        <v>0</v>
      </c>
      <c r="I85" t="s">
        <v>22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4.9000000000000004</v>
      </c>
      <c r="AE85">
        <v>399</v>
      </c>
      <c r="AF85">
        <v>62.432432432432442</v>
      </c>
      <c r="AG85">
        <v>62.432432432432442</v>
      </c>
      <c r="AH85">
        <f>27.7477477477477*1</f>
        <v>27.747747747747699</v>
      </c>
      <c r="AI85">
        <f>1.00464179453602*1</f>
        <v>1.00464179453602</v>
      </c>
      <c r="AJ85">
        <v>1</v>
      </c>
      <c r="AK85">
        <v>0</v>
      </c>
      <c r="AL85">
        <v>0</v>
      </c>
    </row>
    <row r="86" spans="1:38" hidden="1" x14ac:dyDescent="0.2">
      <c r="A86" t="s">
        <v>221</v>
      </c>
      <c r="B86" t="s">
        <v>222</v>
      </c>
      <c r="C86" t="s">
        <v>222</v>
      </c>
      <c r="D86" t="s">
        <v>6</v>
      </c>
      <c r="E86">
        <v>0</v>
      </c>
      <c r="F86">
        <v>0</v>
      </c>
      <c r="G86">
        <v>0</v>
      </c>
      <c r="H86">
        <v>1</v>
      </c>
      <c r="I86" t="s">
        <v>22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5.5</v>
      </c>
      <c r="AE86">
        <v>402</v>
      </c>
      <c r="AF86">
        <v>99.324324324324323</v>
      </c>
      <c r="AG86">
        <v>99.324324324324323</v>
      </c>
      <c r="AH86">
        <f>44.1441441441441*1</f>
        <v>44.1441441441441</v>
      </c>
      <c r="AI86">
        <f>1.31851693750866*1</f>
        <v>1.3185169375086601</v>
      </c>
      <c r="AJ86">
        <v>1</v>
      </c>
      <c r="AK86">
        <v>0</v>
      </c>
      <c r="AL86">
        <v>0</v>
      </c>
    </row>
    <row r="87" spans="1:38" hidden="1" x14ac:dyDescent="0.2">
      <c r="A87" t="s">
        <v>184</v>
      </c>
      <c r="B87" t="s">
        <v>95</v>
      </c>
      <c r="C87" t="s">
        <v>95</v>
      </c>
      <c r="D87" t="s">
        <v>4</v>
      </c>
      <c r="E87">
        <v>0</v>
      </c>
      <c r="F87">
        <v>1</v>
      </c>
      <c r="G87">
        <v>0</v>
      </c>
      <c r="H87">
        <v>0</v>
      </c>
      <c r="I87" t="s">
        <v>22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4</v>
      </c>
      <c r="AE87">
        <v>404</v>
      </c>
      <c r="AF87">
        <v>67.162162162162161</v>
      </c>
      <c r="AG87">
        <v>67.162162162162161</v>
      </c>
      <c r="AH87">
        <f>29.8498498498498*1</f>
        <v>29.8498498498498</v>
      </c>
      <c r="AI87">
        <f>1.09473868794323*1</f>
        <v>1.0947386879432299</v>
      </c>
      <c r="AJ87">
        <v>1</v>
      </c>
      <c r="AK87">
        <v>0</v>
      </c>
      <c r="AL87">
        <v>0</v>
      </c>
    </row>
    <row r="88" spans="1:38" hidden="1" x14ac:dyDescent="0.2">
      <c r="A88" t="s">
        <v>223</v>
      </c>
      <c r="B88" t="s">
        <v>224</v>
      </c>
      <c r="C88" t="s">
        <v>224</v>
      </c>
      <c r="D88" t="s">
        <v>4</v>
      </c>
      <c r="E88">
        <v>0</v>
      </c>
      <c r="F88">
        <v>1</v>
      </c>
      <c r="G88">
        <v>0</v>
      </c>
      <c r="H88">
        <v>0</v>
      </c>
      <c r="I88" t="s">
        <v>23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6</v>
      </c>
      <c r="AE88">
        <v>410</v>
      </c>
      <c r="AF88">
        <v>127.70270270270269</v>
      </c>
      <c r="AG88">
        <v>127.70270270270269</v>
      </c>
      <c r="AH88">
        <f>56.7567567567567*1</f>
        <v>56.756756756756701</v>
      </c>
      <c r="AI88">
        <f>1.30290409047289*1</f>
        <v>1.3029040904728899</v>
      </c>
      <c r="AJ88">
        <v>1</v>
      </c>
      <c r="AK88">
        <v>0</v>
      </c>
      <c r="AL88">
        <v>0</v>
      </c>
    </row>
    <row r="89" spans="1:38" hidden="1" x14ac:dyDescent="0.2">
      <c r="A89" t="s">
        <v>225</v>
      </c>
      <c r="B89" t="s">
        <v>226</v>
      </c>
      <c r="C89" t="s">
        <v>226</v>
      </c>
      <c r="D89" t="s">
        <v>4</v>
      </c>
      <c r="E89">
        <v>0</v>
      </c>
      <c r="F89">
        <v>1</v>
      </c>
      <c r="G89">
        <v>0</v>
      </c>
      <c r="H89">
        <v>0</v>
      </c>
      <c r="I89" t="s">
        <v>23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5.9</v>
      </c>
      <c r="AE89">
        <v>411</v>
      </c>
      <c r="AF89">
        <v>108.7837837837838</v>
      </c>
      <c r="AG89">
        <v>108.7837837837838</v>
      </c>
      <c r="AH89">
        <f>48.3483483483483*1</f>
        <v>48.348348348348303</v>
      </c>
      <c r="AI89">
        <f>1.0938819485208*1</f>
        <v>1.0938819485208</v>
      </c>
      <c r="AJ89">
        <v>1</v>
      </c>
      <c r="AK89">
        <v>0</v>
      </c>
      <c r="AL89">
        <v>0</v>
      </c>
    </row>
    <row r="90" spans="1:38" hidden="1" x14ac:dyDescent="0.2">
      <c r="A90" t="s">
        <v>227</v>
      </c>
      <c r="B90" t="s">
        <v>228</v>
      </c>
      <c r="C90" t="s">
        <v>227</v>
      </c>
      <c r="D90" t="s">
        <v>4</v>
      </c>
      <c r="E90">
        <v>0</v>
      </c>
      <c r="F90">
        <v>1</v>
      </c>
      <c r="G90">
        <v>0</v>
      </c>
      <c r="H90">
        <v>0</v>
      </c>
      <c r="I90" t="s">
        <v>23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6</v>
      </c>
      <c r="AE90">
        <v>412</v>
      </c>
      <c r="AF90">
        <v>137.16216216216219</v>
      </c>
      <c r="AG90">
        <v>137.16216216216219</v>
      </c>
      <c r="AH90">
        <f>60.9609609609609*1</f>
        <v>60.960960960960897</v>
      </c>
      <c r="AI90">
        <f>1.80069161763265*1</f>
        <v>1.80069161763265</v>
      </c>
      <c r="AJ90">
        <v>1</v>
      </c>
      <c r="AK90">
        <v>0</v>
      </c>
      <c r="AL90">
        <v>0</v>
      </c>
    </row>
    <row r="91" spans="1:38" hidden="1" x14ac:dyDescent="0.2">
      <c r="A91" t="s">
        <v>229</v>
      </c>
      <c r="B91" t="s">
        <v>230</v>
      </c>
      <c r="C91" t="s">
        <v>230</v>
      </c>
      <c r="D91" t="s">
        <v>4</v>
      </c>
      <c r="E91">
        <v>0</v>
      </c>
      <c r="F91">
        <v>1</v>
      </c>
      <c r="G91">
        <v>0</v>
      </c>
      <c r="H91">
        <v>0</v>
      </c>
      <c r="I91" t="s">
        <v>23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5.5</v>
      </c>
      <c r="AE91">
        <v>413</v>
      </c>
      <c r="AF91">
        <v>115.4054054054054</v>
      </c>
      <c r="AG91">
        <v>115.4054054054054</v>
      </c>
      <c r="AH91">
        <f>51.2912912912912*1</f>
        <v>51.291291291291202</v>
      </c>
      <c r="AI91">
        <f>1.6730567319183*1</f>
        <v>1.6730567319183001</v>
      </c>
      <c r="AJ91">
        <v>1</v>
      </c>
      <c r="AK91">
        <v>0</v>
      </c>
      <c r="AL91">
        <v>0</v>
      </c>
    </row>
    <row r="92" spans="1:38" x14ac:dyDescent="0.2">
      <c r="A92" t="s">
        <v>312</v>
      </c>
      <c r="B92" t="s">
        <v>313</v>
      </c>
      <c r="C92" t="s">
        <v>313</v>
      </c>
      <c r="D92" t="s">
        <v>3</v>
      </c>
      <c r="E92">
        <v>1</v>
      </c>
      <c r="F92">
        <v>0</v>
      </c>
      <c r="G92">
        <v>0</v>
      </c>
      <c r="H92">
        <v>0</v>
      </c>
      <c r="I92" t="s">
        <v>27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1</v>
      </c>
      <c r="Z92">
        <v>0</v>
      </c>
      <c r="AA92">
        <v>0</v>
      </c>
      <c r="AB92">
        <v>0</v>
      </c>
      <c r="AC92">
        <v>0</v>
      </c>
      <c r="AD92">
        <v>5</v>
      </c>
      <c r="AE92">
        <v>549</v>
      </c>
      <c r="AF92">
        <v>128.64864864864859</v>
      </c>
      <c r="AG92">
        <v>128.64864864864859</v>
      </c>
      <c r="AH92">
        <f>57.1771771771771*1</f>
        <v>57.1771771771771</v>
      </c>
      <c r="AI92">
        <f>1.76815969254564*1</f>
        <v>1.76815969254564</v>
      </c>
      <c r="AJ92">
        <v>1</v>
      </c>
      <c r="AK92">
        <v>1</v>
      </c>
      <c r="AL92">
        <v>1</v>
      </c>
    </row>
    <row r="93" spans="1:38" hidden="1" x14ac:dyDescent="0.2">
      <c r="A93" t="s">
        <v>234</v>
      </c>
      <c r="B93" t="s">
        <v>235</v>
      </c>
      <c r="C93" t="s">
        <v>235</v>
      </c>
      <c r="D93" t="s">
        <v>5</v>
      </c>
      <c r="E93">
        <v>0</v>
      </c>
      <c r="F93">
        <v>0</v>
      </c>
      <c r="G93">
        <v>1</v>
      </c>
      <c r="H93">
        <v>0</v>
      </c>
      <c r="I93" t="s">
        <v>23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7.7</v>
      </c>
      <c r="AE93">
        <v>423</v>
      </c>
      <c r="AF93">
        <v>134.32432432432429</v>
      </c>
      <c r="AG93">
        <v>134.32432432432429</v>
      </c>
      <c r="AH93">
        <f>59.6996996996996*1</f>
        <v>59.6996996996996</v>
      </c>
      <c r="AI93">
        <f>1.50956954478746*1</f>
        <v>1.50956954478746</v>
      </c>
      <c r="AJ93">
        <v>1</v>
      </c>
      <c r="AK93">
        <v>0</v>
      </c>
      <c r="AL93">
        <v>0</v>
      </c>
    </row>
    <row r="94" spans="1:38" hidden="1" x14ac:dyDescent="0.2">
      <c r="A94" t="s">
        <v>236</v>
      </c>
      <c r="B94" t="s">
        <v>237</v>
      </c>
      <c r="C94" t="s">
        <v>237</v>
      </c>
      <c r="D94" t="s">
        <v>5</v>
      </c>
      <c r="E94">
        <v>0</v>
      </c>
      <c r="F94">
        <v>0</v>
      </c>
      <c r="G94">
        <v>1</v>
      </c>
      <c r="H94">
        <v>0</v>
      </c>
      <c r="I94" t="s">
        <v>23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6.4</v>
      </c>
      <c r="AE94">
        <v>425</v>
      </c>
      <c r="AF94">
        <v>129.59459459459461</v>
      </c>
      <c r="AG94">
        <v>129.59459459459461</v>
      </c>
      <c r="AH94">
        <f>57.5975975975975*1</f>
        <v>57.597597597597499</v>
      </c>
      <c r="AI94">
        <f>1.36418396601363*1</f>
        <v>1.3641839660136299</v>
      </c>
      <c r="AJ94">
        <v>1</v>
      </c>
      <c r="AK94">
        <v>0</v>
      </c>
      <c r="AL94">
        <v>0</v>
      </c>
    </row>
    <row r="95" spans="1:38" hidden="1" x14ac:dyDescent="0.2">
      <c r="A95" t="s">
        <v>238</v>
      </c>
      <c r="B95" t="s">
        <v>239</v>
      </c>
      <c r="C95" t="s">
        <v>239</v>
      </c>
      <c r="D95" t="s">
        <v>5</v>
      </c>
      <c r="E95">
        <v>0</v>
      </c>
      <c r="F95">
        <v>0</v>
      </c>
      <c r="G95">
        <v>1</v>
      </c>
      <c r="H95">
        <v>0</v>
      </c>
      <c r="I95" t="s">
        <v>23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6.5</v>
      </c>
      <c r="AE95">
        <v>426</v>
      </c>
      <c r="AF95">
        <v>146.62162162162161</v>
      </c>
      <c r="AG95">
        <v>146.62162162162161</v>
      </c>
      <c r="AH95">
        <f>65.1651651651651*1</f>
        <v>65.165165165165106</v>
      </c>
      <c r="AI95">
        <f>1.49495197590324*1</f>
        <v>1.4949519759032399</v>
      </c>
      <c r="AJ95">
        <v>1</v>
      </c>
      <c r="AK95">
        <v>0</v>
      </c>
      <c r="AL95">
        <v>0</v>
      </c>
    </row>
    <row r="96" spans="1:38" hidden="1" x14ac:dyDescent="0.2">
      <c r="A96" t="s">
        <v>240</v>
      </c>
      <c r="B96" t="s">
        <v>241</v>
      </c>
      <c r="C96" t="s">
        <v>242</v>
      </c>
      <c r="D96" t="s">
        <v>5</v>
      </c>
      <c r="E96">
        <v>0</v>
      </c>
      <c r="F96">
        <v>0</v>
      </c>
      <c r="G96">
        <v>1</v>
      </c>
      <c r="H96">
        <v>0</v>
      </c>
      <c r="I96" t="s">
        <v>23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5.4</v>
      </c>
      <c r="AE96">
        <v>427</v>
      </c>
      <c r="AF96">
        <v>87.027027027027017</v>
      </c>
      <c r="AG96">
        <v>87.027027027027017</v>
      </c>
      <c r="AH96">
        <f>38.6786786786786*1</f>
        <v>38.678678678678601</v>
      </c>
      <c r="AI96">
        <f>0.971951559639625*1</f>
        <v>0.97195155963962498</v>
      </c>
      <c r="AJ96">
        <v>1</v>
      </c>
      <c r="AK96">
        <v>0</v>
      </c>
      <c r="AL96">
        <v>0</v>
      </c>
    </row>
    <row r="97" spans="1:38" hidden="1" x14ac:dyDescent="0.2">
      <c r="A97" t="s">
        <v>105</v>
      </c>
      <c r="B97" t="s">
        <v>243</v>
      </c>
      <c r="C97" t="s">
        <v>243</v>
      </c>
      <c r="D97" t="s">
        <v>5</v>
      </c>
      <c r="E97">
        <v>0</v>
      </c>
      <c r="F97">
        <v>0</v>
      </c>
      <c r="G97">
        <v>1</v>
      </c>
      <c r="H97">
        <v>0</v>
      </c>
      <c r="I97" t="s">
        <v>23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5.5</v>
      </c>
      <c r="AE97">
        <v>428</v>
      </c>
      <c r="AF97">
        <v>91.756756756756758</v>
      </c>
      <c r="AG97">
        <v>91.756756756756758</v>
      </c>
      <c r="AH97">
        <f>40.7807807807807*1</f>
        <v>40.780780780780702</v>
      </c>
      <c r="AI97">
        <f>0.972405914464273*1</f>
        <v>0.97240591446427305</v>
      </c>
      <c r="AJ97">
        <v>1</v>
      </c>
      <c r="AK97">
        <v>0</v>
      </c>
      <c r="AL97">
        <v>0</v>
      </c>
    </row>
    <row r="98" spans="1:38" hidden="1" x14ac:dyDescent="0.2">
      <c r="A98" t="s">
        <v>244</v>
      </c>
      <c r="B98" t="s">
        <v>245</v>
      </c>
      <c r="C98" t="s">
        <v>244</v>
      </c>
      <c r="D98" t="s">
        <v>6</v>
      </c>
      <c r="E98">
        <v>0</v>
      </c>
      <c r="F98">
        <v>0</v>
      </c>
      <c r="G98">
        <v>0</v>
      </c>
      <c r="H98">
        <v>1</v>
      </c>
      <c r="I98" t="s">
        <v>23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6.5</v>
      </c>
      <c r="AE98">
        <v>434</v>
      </c>
      <c r="AF98">
        <v>79.459459459459453</v>
      </c>
      <c r="AG98">
        <v>79.459459459459453</v>
      </c>
      <c r="AH98">
        <f>35.3153153153153*1</f>
        <v>35.315315315315303</v>
      </c>
      <c r="AI98">
        <f>1.18394833449455*1</f>
        <v>1.1839483344945501</v>
      </c>
      <c r="AJ98">
        <v>1</v>
      </c>
      <c r="AK98">
        <v>0</v>
      </c>
      <c r="AL98">
        <v>0</v>
      </c>
    </row>
    <row r="99" spans="1:38" hidden="1" x14ac:dyDescent="0.2">
      <c r="A99" t="s">
        <v>246</v>
      </c>
      <c r="B99" t="s">
        <v>247</v>
      </c>
      <c r="C99" t="s">
        <v>247</v>
      </c>
      <c r="D99" t="s">
        <v>6</v>
      </c>
      <c r="E99">
        <v>0</v>
      </c>
      <c r="F99">
        <v>0</v>
      </c>
      <c r="G99">
        <v>0</v>
      </c>
      <c r="H99">
        <v>1</v>
      </c>
      <c r="I99" t="s">
        <v>23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10.4</v>
      </c>
      <c r="AE99">
        <v>436</v>
      </c>
      <c r="AF99">
        <v>228.91891891891891</v>
      </c>
      <c r="AG99">
        <v>228.91891891891891</v>
      </c>
      <c r="AH99">
        <f>101.741741741741*1</f>
        <v>101.741741741741</v>
      </c>
      <c r="AI99">
        <f>2.53474834227209*1</f>
        <v>2.5347483422720898</v>
      </c>
      <c r="AJ99">
        <v>1</v>
      </c>
      <c r="AK99">
        <v>0</v>
      </c>
      <c r="AL99">
        <v>0</v>
      </c>
    </row>
    <row r="100" spans="1:38" hidden="1" x14ac:dyDescent="0.2">
      <c r="A100" t="s">
        <v>248</v>
      </c>
      <c r="B100" t="s">
        <v>249</v>
      </c>
      <c r="C100" t="s">
        <v>249</v>
      </c>
      <c r="D100" t="s">
        <v>4</v>
      </c>
      <c r="E100">
        <v>0</v>
      </c>
      <c r="F100">
        <v>1</v>
      </c>
      <c r="G100">
        <v>0</v>
      </c>
      <c r="H100">
        <v>0</v>
      </c>
      <c r="I100" t="s">
        <v>24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6</v>
      </c>
      <c r="AE100">
        <v>444</v>
      </c>
      <c r="AF100">
        <v>123.91891891891891</v>
      </c>
      <c r="AG100">
        <v>123.91891891891891</v>
      </c>
      <c r="AH100">
        <f>55.075075075075*1</f>
        <v>55.075075075074999</v>
      </c>
      <c r="AI100">
        <f>1.13595834672714*1</f>
        <v>1.1359583467271399</v>
      </c>
      <c r="AJ100">
        <v>1</v>
      </c>
      <c r="AK100">
        <v>0</v>
      </c>
      <c r="AL100">
        <v>0</v>
      </c>
    </row>
    <row r="101" spans="1:38" hidden="1" x14ac:dyDescent="0.2">
      <c r="A101" t="s">
        <v>250</v>
      </c>
      <c r="B101" t="s">
        <v>251</v>
      </c>
      <c r="C101" t="s">
        <v>251</v>
      </c>
      <c r="D101" t="s">
        <v>4</v>
      </c>
      <c r="E101">
        <v>0</v>
      </c>
      <c r="F101">
        <v>1</v>
      </c>
      <c r="G101">
        <v>0</v>
      </c>
      <c r="H101">
        <v>0</v>
      </c>
      <c r="I101" t="s">
        <v>24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5.8</v>
      </c>
      <c r="AE101">
        <v>445</v>
      </c>
      <c r="AF101">
        <v>140.94594594594599</v>
      </c>
      <c r="AG101">
        <v>140.94594594594599</v>
      </c>
      <c r="AH101">
        <f>62.6426426426426*1</f>
        <v>62.642642642642599</v>
      </c>
      <c r="AI101">
        <f>1.73088026719301*1</f>
        <v>1.7308802671930099</v>
      </c>
      <c r="AJ101">
        <v>1</v>
      </c>
      <c r="AK101">
        <v>0</v>
      </c>
      <c r="AL101">
        <v>0</v>
      </c>
    </row>
    <row r="102" spans="1:38" hidden="1" x14ac:dyDescent="0.2">
      <c r="A102" t="s">
        <v>252</v>
      </c>
      <c r="B102" t="s">
        <v>107</v>
      </c>
      <c r="C102" t="s">
        <v>107</v>
      </c>
      <c r="D102" t="s">
        <v>4</v>
      </c>
      <c r="E102">
        <v>0</v>
      </c>
      <c r="F102">
        <v>1</v>
      </c>
      <c r="G102">
        <v>0</v>
      </c>
      <c r="H102">
        <v>0</v>
      </c>
      <c r="I102" t="s">
        <v>24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5</v>
      </c>
      <c r="AE102">
        <v>452</v>
      </c>
      <c r="AF102">
        <v>93.64864864864866</v>
      </c>
      <c r="AG102">
        <v>93.64864864864866</v>
      </c>
      <c r="AH102">
        <f>41.6216216216216*1</f>
        <v>41.6216216216216</v>
      </c>
      <c r="AI102">
        <f>1.12686271325379*1</f>
        <v>1.1268627132537901</v>
      </c>
      <c r="AJ102">
        <v>1</v>
      </c>
      <c r="AK102">
        <v>0</v>
      </c>
      <c r="AL102">
        <v>0</v>
      </c>
    </row>
    <row r="103" spans="1:38" hidden="1" x14ac:dyDescent="0.2">
      <c r="A103" t="s">
        <v>253</v>
      </c>
      <c r="B103" t="s">
        <v>254</v>
      </c>
      <c r="C103" t="s">
        <v>254</v>
      </c>
      <c r="D103" t="s">
        <v>5</v>
      </c>
      <c r="E103">
        <v>0</v>
      </c>
      <c r="F103">
        <v>0</v>
      </c>
      <c r="G103">
        <v>1</v>
      </c>
      <c r="H103">
        <v>0</v>
      </c>
      <c r="I103" t="s">
        <v>24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8</v>
      </c>
      <c r="AE103">
        <v>456</v>
      </c>
      <c r="AF103">
        <v>174.05405405405401</v>
      </c>
      <c r="AG103">
        <v>174.05405405405401</v>
      </c>
      <c r="AH103">
        <f>77.3573573573573*1</f>
        <v>77.357357357357301</v>
      </c>
      <c r="AI103">
        <f>1.97995932906055*1</f>
        <v>1.9799593290605499</v>
      </c>
      <c r="AJ103">
        <v>1</v>
      </c>
      <c r="AK103">
        <v>0</v>
      </c>
      <c r="AL103">
        <v>0</v>
      </c>
    </row>
    <row r="104" spans="1:38" hidden="1" x14ac:dyDescent="0.2">
      <c r="A104" t="s">
        <v>255</v>
      </c>
      <c r="B104" t="s">
        <v>256</v>
      </c>
      <c r="C104" t="s">
        <v>256</v>
      </c>
      <c r="D104" t="s">
        <v>5</v>
      </c>
      <c r="E104">
        <v>0</v>
      </c>
      <c r="F104">
        <v>0</v>
      </c>
      <c r="G104">
        <v>1</v>
      </c>
      <c r="H104">
        <v>0</v>
      </c>
      <c r="I104" t="s">
        <v>24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6.4</v>
      </c>
      <c r="AE104">
        <v>460</v>
      </c>
      <c r="AF104">
        <v>113.5135135135135</v>
      </c>
      <c r="AG104">
        <v>113.5135135135135</v>
      </c>
      <c r="AH104">
        <f>50.4504504504504*1</f>
        <v>50.450450450450397</v>
      </c>
      <c r="AI104">
        <f>1.45538210904967*1</f>
        <v>1.4553821090496699</v>
      </c>
      <c r="AJ104">
        <v>1</v>
      </c>
      <c r="AK104">
        <v>0</v>
      </c>
      <c r="AL104">
        <v>0</v>
      </c>
    </row>
    <row r="105" spans="1:38" hidden="1" x14ac:dyDescent="0.2">
      <c r="A105" t="s">
        <v>257</v>
      </c>
      <c r="B105" t="s">
        <v>258</v>
      </c>
      <c r="C105" t="s">
        <v>258</v>
      </c>
      <c r="D105" t="s">
        <v>5</v>
      </c>
      <c r="E105">
        <v>0</v>
      </c>
      <c r="F105">
        <v>0</v>
      </c>
      <c r="G105">
        <v>1</v>
      </c>
      <c r="H105">
        <v>0</v>
      </c>
      <c r="I105" t="s">
        <v>24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6</v>
      </c>
      <c r="AE105">
        <v>463</v>
      </c>
      <c r="AF105">
        <v>115.4054054054054</v>
      </c>
      <c r="AG105">
        <v>115.4054054054054</v>
      </c>
      <c r="AH105">
        <f>51.2912912912912*1</f>
        <v>51.291291291291202</v>
      </c>
      <c r="AI105">
        <f>1.24429239619492*1</f>
        <v>1.2442923961949199</v>
      </c>
      <c r="AJ105">
        <v>1</v>
      </c>
      <c r="AK105">
        <v>0</v>
      </c>
      <c r="AL105">
        <v>0</v>
      </c>
    </row>
    <row r="106" spans="1:38" hidden="1" x14ac:dyDescent="0.2">
      <c r="A106" t="s">
        <v>259</v>
      </c>
      <c r="B106" t="s">
        <v>260</v>
      </c>
      <c r="C106" t="s">
        <v>260</v>
      </c>
      <c r="D106" t="s">
        <v>6</v>
      </c>
      <c r="E106">
        <v>0</v>
      </c>
      <c r="F106">
        <v>0</v>
      </c>
      <c r="G106">
        <v>0</v>
      </c>
      <c r="H106">
        <v>1</v>
      </c>
      <c r="I106" t="s">
        <v>24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14.1</v>
      </c>
      <c r="AE106">
        <v>470</v>
      </c>
      <c r="AF106">
        <v>227.972972972973</v>
      </c>
      <c r="AG106">
        <v>227.972972972973</v>
      </c>
      <c r="AH106">
        <f>101.321321321321*1</f>
        <v>101.32132132132099</v>
      </c>
      <c r="AI106">
        <f>3.28973765787524*1</f>
        <v>3.2897376578752402</v>
      </c>
      <c r="AJ106">
        <v>1</v>
      </c>
      <c r="AK106">
        <v>0</v>
      </c>
      <c r="AL106">
        <v>0</v>
      </c>
    </row>
    <row r="107" spans="1:38" x14ac:dyDescent="0.2">
      <c r="A107" t="s">
        <v>283</v>
      </c>
      <c r="B107" t="s">
        <v>284</v>
      </c>
      <c r="C107" t="s">
        <v>284</v>
      </c>
      <c r="D107" t="s">
        <v>3</v>
      </c>
      <c r="E107">
        <v>1</v>
      </c>
      <c r="F107">
        <v>0</v>
      </c>
      <c r="G107">
        <v>0</v>
      </c>
      <c r="H107">
        <v>0</v>
      </c>
      <c r="I107" t="s">
        <v>26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1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5</v>
      </c>
      <c r="AE107">
        <v>513</v>
      </c>
      <c r="AF107">
        <v>138.1081081081081</v>
      </c>
      <c r="AG107">
        <v>138.1081081081081</v>
      </c>
      <c r="AH107">
        <f>61.3813813813813*1</f>
        <v>61.381381381381303</v>
      </c>
      <c r="AI107">
        <f>1.76272286683888*1</f>
        <v>1.7627228668388799</v>
      </c>
      <c r="AJ107">
        <v>1</v>
      </c>
      <c r="AK107">
        <v>1</v>
      </c>
      <c r="AL107">
        <v>1</v>
      </c>
    </row>
    <row r="108" spans="1:38" hidden="1" x14ac:dyDescent="0.2">
      <c r="A108" t="s">
        <v>263</v>
      </c>
      <c r="B108" t="s">
        <v>84</v>
      </c>
      <c r="C108" t="s">
        <v>84</v>
      </c>
      <c r="D108" t="s">
        <v>3</v>
      </c>
      <c r="E108">
        <v>1</v>
      </c>
      <c r="F108">
        <v>0</v>
      </c>
      <c r="G108">
        <v>0</v>
      </c>
      <c r="H108">
        <v>0</v>
      </c>
      <c r="I108" t="s">
        <v>25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4.9000000000000004</v>
      </c>
      <c r="AE108">
        <v>474</v>
      </c>
      <c r="AF108">
        <v>123.91891891891891</v>
      </c>
      <c r="AG108">
        <v>123.91891891891891</v>
      </c>
      <c r="AH108">
        <f>55.075075075075*1</f>
        <v>55.075075075074999</v>
      </c>
      <c r="AI108">
        <f>1.522598516866*1</f>
        <v>1.5225985168659999</v>
      </c>
      <c r="AJ108">
        <v>1</v>
      </c>
      <c r="AK108">
        <v>0</v>
      </c>
      <c r="AL108">
        <v>0</v>
      </c>
    </row>
    <row r="109" spans="1:38" hidden="1" x14ac:dyDescent="0.2">
      <c r="A109" t="s">
        <v>264</v>
      </c>
      <c r="B109" t="s">
        <v>265</v>
      </c>
      <c r="C109" t="s">
        <v>266</v>
      </c>
      <c r="D109" t="s">
        <v>4</v>
      </c>
      <c r="E109">
        <v>0</v>
      </c>
      <c r="F109">
        <v>1</v>
      </c>
      <c r="G109">
        <v>0</v>
      </c>
      <c r="H109">
        <v>0</v>
      </c>
      <c r="I109" t="s">
        <v>25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1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4.5</v>
      </c>
      <c r="AE109">
        <v>482</v>
      </c>
      <c r="AF109">
        <v>109.7297297297297</v>
      </c>
      <c r="AG109">
        <v>109.7297297297297</v>
      </c>
      <c r="AH109">
        <f>48.7687687687687*0</f>
        <v>0</v>
      </c>
      <c r="AI109">
        <f>1.45323117645113*0</f>
        <v>0</v>
      </c>
      <c r="AJ109">
        <v>0</v>
      </c>
      <c r="AK109">
        <v>1</v>
      </c>
      <c r="AL109">
        <v>0</v>
      </c>
    </row>
    <row r="110" spans="1:38" hidden="1" x14ac:dyDescent="0.2">
      <c r="A110" t="s">
        <v>207</v>
      </c>
      <c r="B110" t="s">
        <v>267</v>
      </c>
      <c r="C110" t="s">
        <v>267</v>
      </c>
      <c r="D110" t="s">
        <v>4</v>
      </c>
      <c r="E110">
        <v>0</v>
      </c>
      <c r="F110">
        <v>1</v>
      </c>
      <c r="G110">
        <v>0</v>
      </c>
      <c r="H110">
        <v>0</v>
      </c>
      <c r="I110" t="s">
        <v>25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4.5</v>
      </c>
      <c r="AE110">
        <v>484</v>
      </c>
      <c r="AF110">
        <v>69.054054054054049</v>
      </c>
      <c r="AG110">
        <v>69.054054054054049</v>
      </c>
      <c r="AH110">
        <f>30.6906906906906*1</f>
        <v>30.690690690690602</v>
      </c>
      <c r="AI110">
        <f>1.25781835843505*1</f>
        <v>1.25781835843505</v>
      </c>
      <c r="AJ110">
        <v>1</v>
      </c>
      <c r="AK110">
        <v>0</v>
      </c>
      <c r="AL110">
        <v>0</v>
      </c>
    </row>
    <row r="111" spans="1:38" hidden="1" x14ac:dyDescent="0.2">
      <c r="A111" t="s">
        <v>268</v>
      </c>
      <c r="B111" t="s">
        <v>269</v>
      </c>
      <c r="C111" t="s">
        <v>270</v>
      </c>
      <c r="D111" t="s">
        <v>5</v>
      </c>
      <c r="E111">
        <v>0</v>
      </c>
      <c r="F111">
        <v>0</v>
      </c>
      <c r="G111">
        <v>1</v>
      </c>
      <c r="H111">
        <v>0</v>
      </c>
      <c r="I111" t="s">
        <v>25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9</v>
      </c>
      <c r="AE111">
        <v>491</v>
      </c>
      <c r="AF111">
        <v>173.1081081081081</v>
      </c>
      <c r="AG111">
        <v>173.1081081081081</v>
      </c>
      <c r="AH111">
        <f>76.9369369369369*1</f>
        <v>76.936936936936902</v>
      </c>
      <c r="AI111">
        <f>1.99247417791974*1</f>
        <v>1.9924741779197399</v>
      </c>
      <c r="AJ111">
        <v>1</v>
      </c>
      <c r="AK111">
        <v>0</v>
      </c>
      <c r="AL111">
        <v>0</v>
      </c>
    </row>
    <row r="112" spans="1:38" hidden="1" x14ac:dyDescent="0.2">
      <c r="A112" t="s">
        <v>271</v>
      </c>
      <c r="B112" t="s">
        <v>272</v>
      </c>
      <c r="C112" t="s">
        <v>273</v>
      </c>
      <c r="D112" t="s">
        <v>5</v>
      </c>
      <c r="E112">
        <v>0</v>
      </c>
      <c r="F112">
        <v>0</v>
      </c>
      <c r="G112">
        <v>1</v>
      </c>
      <c r="H112">
        <v>0</v>
      </c>
      <c r="I112" t="s">
        <v>25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5.5</v>
      </c>
      <c r="AE112">
        <v>497</v>
      </c>
      <c r="AF112">
        <v>74.729729729729726</v>
      </c>
      <c r="AG112">
        <v>74.729729729729726</v>
      </c>
      <c r="AH112">
        <f>33.2132132132132*1</f>
        <v>33.213213213213201</v>
      </c>
      <c r="AI112">
        <f>1.08554705057582*1</f>
        <v>1.08554705057582</v>
      </c>
      <c r="AJ112">
        <v>1</v>
      </c>
      <c r="AK112">
        <v>0</v>
      </c>
      <c r="AL112">
        <v>0</v>
      </c>
    </row>
    <row r="113" spans="1:38" hidden="1" x14ac:dyDescent="0.2">
      <c r="A113" t="s">
        <v>274</v>
      </c>
      <c r="B113" t="s">
        <v>275</v>
      </c>
      <c r="C113" t="s">
        <v>275</v>
      </c>
      <c r="D113" t="s">
        <v>5</v>
      </c>
      <c r="E113">
        <v>0</v>
      </c>
      <c r="F113">
        <v>0</v>
      </c>
      <c r="G113">
        <v>1</v>
      </c>
      <c r="H113">
        <v>0</v>
      </c>
      <c r="I113" t="s">
        <v>25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4.9000000000000004</v>
      </c>
      <c r="AE113">
        <v>498</v>
      </c>
      <c r="AF113">
        <v>82.297297297297291</v>
      </c>
      <c r="AG113">
        <v>82.297297297297291</v>
      </c>
      <c r="AH113">
        <f>36.5765765765765*1</f>
        <v>36.5765765765765</v>
      </c>
      <c r="AI113">
        <f>1.12994605851852*1</f>
        <v>1.1299460585185199</v>
      </c>
      <c r="AJ113">
        <v>1</v>
      </c>
      <c r="AK113">
        <v>0</v>
      </c>
      <c r="AL113">
        <v>0</v>
      </c>
    </row>
    <row r="114" spans="1:38" hidden="1" x14ac:dyDescent="0.2">
      <c r="A114" t="s">
        <v>276</v>
      </c>
      <c r="B114" t="s">
        <v>277</v>
      </c>
      <c r="C114" t="s">
        <v>277</v>
      </c>
      <c r="D114" t="s">
        <v>6</v>
      </c>
      <c r="E114">
        <v>0</v>
      </c>
      <c r="F114">
        <v>0</v>
      </c>
      <c r="G114">
        <v>0</v>
      </c>
      <c r="H114">
        <v>1</v>
      </c>
      <c r="I114" t="s">
        <v>25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6.3</v>
      </c>
      <c r="AE114">
        <v>505</v>
      </c>
      <c r="AF114">
        <v>96.486486486486484</v>
      </c>
      <c r="AG114">
        <v>96.486486486486484</v>
      </c>
      <c r="AH114">
        <f>42.8828828828828*1</f>
        <v>42.882882882882797</v>
      </c>
      <c r="AI114">
        <f>1.29951505041537*1</f>
        <v>1.2995150504153701</v>
      </c>
      <c r="AJ114">
        <v>1</v>
      </c>
      <c r="AK114">
        <v>0</v>
      </c>
      <c r="AL114">
        <v>0</v>
      </c>
    </row>
    <row r="115" spans="1:38" hidden="1" x14ac:dyDescent="0.2">
      <c r="A115" t="s">
        <v>278</v>
      </c>
      <c r="B115" t="s">
        <v>279</v>
      </c>
      <c r="C115" t="s">
        <v>280</v>
      </c>
      <c r="D115" t="s">
        <v>5</v>
      </c>
      <c r="E115">
        <v>0</v>
      </c>
      <c r="F115">
        <v>0</v>
      </c>
      <c r="G115">
        <v>1</v>
      </c>
      <c r="H115">
        <v>0</v>
      </c>
      <c r="I115" t="s">
        <v>26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1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5.4</v>
      </c>
      <c r="AE115">
        <v>511</v>
      </c>
      <c r="AF115">
        <v>76.621621621621614</v>
      </c>
      <c r="AG115">
        <v>76.621621621621614</v>
      </c>
      <c r="AH115">
        <f>34.054054054054*1</f>
        <v>34.054054054053999</v>
      </c>
      <c r="AI115">
        <f>1.18347468747448*1</f>
        <v>1.1834746874744799</v>
      </c>
      <c r="AJ115">
        <v>1</v>
      </c>
      <c r="AK115">
        <v>0</v>
      </c>
      <c r="AL115">
        <v>0</v>
      </c>
    </row>
    <row r="116" spans="1:38" hidden="1" x14ac:dyDescent="0.2">
      <c r="A116" t="s">
        <v>281</v>
      </c>
      <c r="B116" t="s">
        <v>282</v>
      </c>
      <c r="C116" t="s">
        <v>282</v>
      </c>
      <c r="D116" t="s">
        <v>6</v>
      </c>
      <c r="E116">
        <v>0</v>
      </c>
      <c r="F116">
        <v>0</v>
      </c>
      <c r="G116">
        <v>0</v>
      </c>
      <c r="H116">
        <v>1</v>
      </c>
      <c r="I116" t="s">
        <v>26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1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7.5</v>
      </c>
      <c r="AE116">
        <v>512</v>
      </c>
      <c r="AF116">
        <v>193.91891891891891</v>
      </c>
      <c r="AG116">
        <v>193.91891891891891</v>
      </c>
      <c r="AH116">
        <f>86.1861861861861*0</f>
        <v>0</v>
      </c>
      <c r="AI116">
        <f>2.03035870228442*0</f>
        <v>0</v>
      </c>
      <c r="AJ116">
        <v>0</v>
      </c>
      <c r="AK116">
        <v>0</v>
      </c>
      <c r="AL116">
        <v>0</v>
      </c>
    </row>
    <row r="117" spans="1:38" x14ac:dyDescent="0.2">
      <c r="A117" t="s">
        <v>167</v>
      </c>
      <c r="B117" t="s">
        <v>328</v>
      </c>
      <c r="C117" t="s">
        <v>328</v>
      </c>
      <c r="D117" t="s">
        <v>6</v>
      </c>
      <c r="E117">
        <v>0</v>
      </c>
      <c r="F117">
        <v>0</v>
      </c>
      <c r="G117">
        <v>0</v>
      </c>
      <c r="H117">
        <v>1</v>
      </c>
      <c r="I117" t="s">
        <v>27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1</v>
      </c>
      <c r="Z117">
        <v>0</v>
      </c>
      <c r="AA117">
        <v>0</v>
      </c>
      <c r="AB117">
        <v>0</v>
      </c>
      <c r="AC117">
        <v>0</v>
      </c>
      <c r="AD117">
        <v>7.7</v>
      </c>
      <c r="AE117">
        <v>572</v>
      </c>
      <c r="AF117">
        <v>195.81081081081081</v>
      </c>
      <c r="AG117">
        <v>195.81081081081081</v>
      </c>
      <c r="AH117">
        <f>87.027027027027*1</f>
        <v>87.027027027027003</v>
      </c>
      <c r="AI117">
        <f>1.74036074474926*1</f>
        <v>1.7403607447492599</v>
      </c>
      <c r="AJ117">
        <v>1</v>
      </c>
      <c r="AK117">
        <v>1</v>
      </c>
      <c r="AL117">
        <v>1</v>
      </c>
    </row>
    <row r="118" spans="1:38" hidden="1" x14ac:dyDescent="0.2">
      <c r="A118" t="s">
        <v>107</v>
      </c>
      <c r="B118" t="s">
        <v>285</v>
      </c>
      <c r="C118" t="s">
        <v>285</v>
      </c>
      <c r="D118" t="s">
        <v>4</v>
      </c>
      <c r="E118">
        <v>0</v>
      </c>
      <c r="F118">
        <v>1</v>
      </c>
      <c r="G118">
        <v>0</v>
      </c>
      <c r="H118">
        <v>0</v>
      </c>
      <c r="I118" t="s">
        <v>26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1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5.4</v>
      </c>
      <c r="AE118">
        <v>516</v>
      </c>
      <c r="AF118">
        <v>125.81081081081081</v>
      </c>
      <c r="AG118">
        <v>125.81081081081081</v>
      </c>
      <c r="AH118">
        <f>55.9159159159159*1</f>
        <v>55.915915915915903</v>
      </c>
      <c r="AI118">
        <f>1.38498906031523*1</f>
        <v>1.3849890603152299</v>
      </c>
      <c r="AJ118">
        <v>1</v>
      </c>
      <c r="AK118">
        <v>0</v>
      </c>
      <c r="AL118">
        <v>0</v>
      </c>
    </row>
    <row r="119" spans="1:38" hidden="1" x14ac:dyDescent="0.2">
      <c r="A119" t="s">
        <v>286</v>
      </c>
      <c r="B119" t="s">
        <v>287</v>
      </c>
      <c r="C119" t="s">
        <v>287</v>
      </c>
      <c r="D119" t="s">
        <v>4</v>
      </c>
      <c r="E119">
        <v>0</v>
      </c>
      <c r="F119">
        <v>1</v>
      </c>
      <c r="G119">
        <v>0</v>
      </c>
      <c r="H119">
        <v>0</v>
      </c>
      <c r="I119" t="s">
        <v>26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5.5</v>
      </c>
      <c r="AE119">
        <v>517</v>
      </c>
      <c r="AF119">
        <v>124.8648648648649</v>
      </c>
      <c r="AG119">
        <v>124.8648648648649</v>
      </c>
      <c r="AH119">
        <f>55.4954954954955*1</f>
        <v>55.495495495495497</v>
      </c>
      <c r="AI119">
        <f>1.26486642990068*1</f>
        <v>1.26486642990068</v>
      </c>
      <c r="AJ119">
        <v>1</v>
      </c>
      <c r="AK119">
        <v>0</v>
      </c>
      <c r="AL119">
        <v>0</v>
      </c>
    </row>
    <row r="120" spans="1:38" hidden="1" x14ac:dyDescent="0.2">
      <c r="A120" t="s">
        <v>288</v>
      </c>
      <c r="B120" t="s">
        <v>289</v>
      </c>
      <c r="C120" t="s">
        <v>289</v>
      </c>
      <c r="D120" t="s">
        <v>4</v>
      </c>
      <c r="E120">
        <v>0</v>
      </c>
      <c r="F120">
        <v>1</v>
      </c>
      <c r="G120">
        <v>0</v>
      </c>
      <c r="H120">
        <v>0</v>
      </c>
      <c r="I120" t="s">
        <v>26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5</v>
      </c>
      <c r="AE120">
        <v>519</v>
      </c>
      <c r="AF120">
        <v>117.29729729729731</v>
      </c>
      <c r="AG120">
        <v>117.29729729729731</v>
      </c>
      <c r="AH120">
        <f>52.1321321321321*1</f>
        <v>52.132132132132099</v>
      </c>
      <c r="AI120">
        <f>1.31335046935657*1</f>
        <v>1.3133504693565701</v>
      </c>
      <c r="AJ120">
        <v>1</v>
      </c>
      <c r="AK120">
        <v>0</v>
      </c>
      <c r="AL120">
        <v>0</v>
      </c>
    </row>
    <row r="121" spans="1:38" hidden="1" x14ac:dyDescent="0.2">
      <c r="A121" t="s">
        <v>290</v>
      </c>
      <c r="B121" t="s">
        <v>291</v>
      </c>
      <c r="C121" t="s">
        <v>291</v>
      </c>
      <c r="D121" t="s">
        <v>4</v>
      </c>
      <c r="E121">
        <v>0</v>
      </c>
      <c r="F121">
        <v>1</v>
      </c>
      <c r="G121">
        <v>0</v>
      </c>
      <c r="H121">
        <v>0</v>
      </c>
      <c r="I121" t="s">
        <v>26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1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5.0999999999999996</v>
      </c>
      <c r="AE121">
        <v>520</v>
      </c>
      <c r="AF121">
        <v>107.8378378378378</v>
      </c>
      <c r="AG121">
        <v>107.8378378378378</v>
      </c>
      <c r="AH121">
        <f>47.9279279279279*1</f>
        <v>47.927927927927897</v>
      </c>
      <c r="AI121">
        <f>1.2950865279413*1</f>
        <v>1.2950865279413</v>
      </c>
      <c r="AJ121">
        <v>1</v>
      </c>
      <c r="AK121">
        <v>0</v>
      </c>
      <c r="AL121">
        <v>0</v>
      </c>
    </row>
    <row r="122" spans="1:38" hidden="1" x14ac:dyDescent="0.2">
      <c r="A122" t="s">
        <v>292</v>
      </c>
      <c r="B122" t="s">
        <v>293</v>
      </c>
      <c r="C122" t="s">
        <v>293</v>
      </c>
      <c r="D122" t="s">
        <v>4</v>
      </c>
      <c r="E122">
        <v>0</v>
      </c>
      <c r="F122">
        <v>1</v>
      </c>
      <c r="G122">
        <v>0</v>
      </c>
      <c r="H122">
        <v>0</v>
      </c>
      <c r="I122" t="s">
        <v>26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5</v>
      </c>
      <c r="AE122">
        <v>521</v>
      </c>
      <c r="AF122">
        <v>103.1081081081081</v>
      </c>
      <c r="AG122">
        <v>103.1081081081081</v>
      </c>
      <c r="AH122">
        <f>45.8258258258258*1</f>
        <v>45.825825825825802</v>
      </c>
      <c r="AI122">
        <f>1.28584023707607*1</f>
        <v>1.28584023707607</v>
      </c>
      <c r="AJ122">
        <v>1</v>
      </c>
      <c r="AK122">
        <v>0</v>
      </c>
      <c r="AL122">
        <v>0</v>
      </c>
    </row>
    <row r="123" spans="1:38" hidden="1" x14ac:dyDescent="0.2">
      <c r="A123" t="s">
        <v>294</v>
      </c>
      <c r="B123" t="s">
        <v>295</v>
      </c>
      <c r="C123" t="s">
        <v>295</v>
      </c>
      <c r="D123" t="s">
        <v>5</v>
      </c>
      <c r="E123">
        <v>0</v>
      </c>
      <c r="F123">
        <v>0</v>
      </c>
      <c r="G123">
        <v>1</v>
      </c>
      <c r="H123">
        <v>0</v>
      </c>
      <c r="I123" t="s">
        <v>26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7.4</v>
      </c>
      <c r="AE123">
        <v>528</v>
      </c>
      <c r="AF123">
        <v>128.64864864864859</v>
      </c>
      <c r="AG123">
        <v>128.64864864864859</v>
      </c>
      <c r="AH123">
        <f>57.1771771771771*1</f>
        <v>57.1771771771771</v>
      </c>
      <c r="AI123">
        <f>1.00468920594186*1</f>
        <v>1.00468920594186</v>
      </c>
      <c r="AJ123">
        <v>1</v>
      </c>
      <c r="AK123">
        <v>0</v>
      </c>
      <c r="AL123">
        <v>0</v>
      </c>
    </row>
    <row r="124" spans="1:38" hidden="1" x14ac:dyDescent="0.2">
      <c r="A124" t="s">
        <v>294</v>
      </c>
      <c r="B124" t="s">
        <v>296</v>
      </c>
      <c r="C124" t="s">
        <v>296</v>
      </c>
      <c r="D124" t="s">
        <v>5</v>
      </c>
      <c r="E124">
        <v>0</v>
      </c>
      <c r="F124">
        <v>0</v>
      </c>
      <c r="G124">
        <v>1</v>
      </c>
      <c r="H124">
        <v>0</v>
      </c>
      <c r="I124" t="s">
        <v>26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1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7</v>
      </c>
      <c r="AE124">
        <v>529</v>
      </c>
      <c r="AF124">
        <v>141.8918918918919</v>
      </c>
      <c r="AG124">
        <v>141.8918918918919</v>
      </c>
      <c r="AH124">
        <f>63.063063063063*1</f>
        <v>63.063063063062998</v>
      </c>
      <c r="AI124">
        <f>0.973669695007176*1</f>
        <v>0.97366969500717604</v>
      </c>
      <c r="AJ124">
        <v>1</v>
      </c>
      <c r="AK124">
        <v>0</v>
      </c>
      <c r="AL124">
        <v>0</v>
      </c>
    </row>
    <row r="125" spans="1:38" hidden="1" x14ac:dyDescent="0.2">
      <c r="A125" t="s">
        <v>297</v>
      </c>
      <c r="B125" t="s">
        <v>298</v>
      </c>
      <c r="C125" t="s">
        <v>298</v>
      </c>
      <c r="D125" t="s">
        <v>5</v>
      </c>
      <c r="E125">
        <v>0</v>
      </c>
      <c r="F125">
        <v>0</v>
      </c>
      <c r="G125">
        <v>1</v>
      </c>
      <c r="H125">
        <v>0</v>
      </c>
      <c r="I125" t="s">
        <v>26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1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6.5</v>
      </c>
      <c r="AE125">
        <v>530</v>
      </c>
      <c r="AF125">
        <v>122.027027027027</v>
      </c>
      <c r="AG125">
        <v>122.027027027027</v>
      </c>
      <c r="AH125">
        <f>54.2342342342342*1</f>
        <v>54.234234234234201</v>
      </c>
      <c r="AI125">
        <f>1.63001253656651*1</f>
        <v>1.6300125365665099</v>
      </c>
      <c r="AJ125">
        <v>1</v>
      </c>
      <c r="AK125">
        <v>0</v>
      </c>
      <c r="AL125">
        <v>0</v>
      </c>
    </row>
    <row r="126" spans="1:38" hidden="1" x14ac:dyDescent="0.2">
      <c r="A126" t="s">
        <v>268</v>
      </c>
      <c r="B126" t="s">
        <v>299</v>
      </c>
      <c r="C126" t="s">
        <v>300</v>
      </c>
      <c r="D126" t="s">
        <v>5</v>
      </c>
      <c r="E126">
        <v>0</v>
      </c>
      <c r="F126">
        <v>0</v>
      </c>
      <c r="G126">
        <v>1</v>
      </c>
      <c r="H126">
        <v>0</v>
      </c>
      <c r="I126" t="s">
        <v>26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6.5</v>
      </c>
      <c r="AE126">
        <v>531</v>
      </c>
      <c r="AF126">
        <v>125.81081081081081</v>
      </c>
      <c r="AG126">
        <v>125.81081081081081</v>
      </c>
      <c r="AH126">
        <f>55.9159159159159*1</f>
        <v>55.915915915915903</v>
      </c>
      <c r="AI126">
        <f>1.70293994052216*1</f>
        <v>1.7029399405221599</v>
      </c>
      <c r="AJ126">
        <v>1</v>
      </c>
      <c r="AK126">
        <v>0</v>
      </c>
      <c r="AL126">
        <v>0</v>
      </c>
    </row>
    <row r="127" spans="1:38" x14ac:dyDescent="0.2">
      <c r="A127" t="s">
        <v>278</v>
      </c>
      <c r="B127" t="s">
        <v>301</v>
      </c>
      <c r="C127" t="s">
        <v>302</v>
      </c>
      <c r="D127" t="s">
        <v>5</v>
      </c>
      <c r="E127">
        <v>0</v>
      </c>
      <c r="F127">
        <v>0</v>
      </c>
      <c r="G127">
        <v>1</v>
      </c>
      <c r="H127">
        <v>0</v>
      </c>
      <c r="I127" t="s">
        <v>26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1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6.3</v>
      </c>
      <c r="AE127">
        <v>532</v>
      </c>
      <c r="AF127">
        <v>156.08108108108109</v>
      </c>
      <c r="AG127">
        <v>156.08108108108109</v>
      </c>
      <c r="AH127">
        <f>69.3693693693693*1</f>
        <v>69.369369369369295</v>
      </c>
      <c r="AI127">
        <f>1.58687108926206*1</f>
        <v>1.5868710892620601</v>
      </c>
      <c r="AJ127">
        <v>1</v>
      </c>
      <c r="AK127">
        <v>1</v>
      </c>
      <c r="AL127">
        <v>1</v>
      </c>
    </row>
    <row r="128" spans="1:38" hidden="1" x14ac:dyDescent="0.2">
      <c r="A128" t="s">
        <v>303</v>
      </c>
      <c r="B128" t="s">
        <v>304</v>
      </c>
      <c r="C128" t="s">
        <v>305</v>
      </c>
      <c r="D128" t="s">
        <v>5</v>
      </c>
      <c r="E128">
        <v>0</v>
      </c>
      <c r="F128">
        <v>0</v>
      </c>
      <c r="G128">
        <v>1</v>
      </c>
      <c r="H128">
        <v>0</v>
      </c>
      <c r="I128" t="s">
        <v>26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1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5.9</v>
      </c>
      <c r="AE128">
        <v>533</v>
      </c>
      <c r="AF128">
        <v>104.05405405405401</v>
      </c>
      <c r="AG128">
        <v>104.05405405405401</v>
      </c>
      <c r="AH128">
        <f>46.2462462462462*1</f>
        <v>46.246246246246201</v>
      </c>
      <c r="AI128">
        <f>1.08936217434817*1</f>
        <v>1.0893621743481701</v>
      </c>
      <c r="AJ128">
        <v>1</v>
      </c>
      <c r="AK128">
        <v>0</v>
      </c>
      <c r="AL128">
        <v>0</v>
      </c>
    </row>
    <row r="129" spans="1:38" hidden="1" x14ac:dyDescent="0.2">
      <c r="A129" t="s">
        <v>306</v>
      </c>
      <c r="B129" t="s">
        <v>307</v>
      </c>
      <c r="C129" t="s">
        <v>307</v>
      </c>
      <c r="D129" t="s">
        <v>5</v>
      </c>
      <c r="E129">
        <v>0</v>
      </c>
      <c r="F129">
        <v>0</v>
      </c>
      <c r="G129">
        <v>1</v>
      </c>
      <c r="H129">
        <v>0</v>
      </c>
      <c r="I129" t="s">
        <v>26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1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5.4</v>
      </c>
      <c r="AE129">
        <v>534</v>
      </c>
      <c r="AF129">
        <v>98.378378378378386</v>
      </c>
      <c r="AG129">
        <v>98.378378378378386</v>
      </c>
      <c r="AH129">
        <f>43.7237237237237*1</f>
        <v>43.723723723723701</v>
      </c>
      <c r="AI129">
        <f>1.34819831638941*1</f>
        <v>1.34819831638941</v>
      </c>
      <c r="AJ129">
        <v>1</v>
      </c>
      <c r="AK129">
        <v>0</v>
      </c>
      <c r="AL129">
        <v>0</v>
      </c>
    </row>
    <row r="130" spans="1:38" hidden="1" x14ac:dyDescent="0.2">
      <c r="A130" t="s">
        <v>308</v>
      </c>
      <c r="B130" t="s">
        <v>309</v>
      </c>
      <c r="C130" t="s">
        <v>309</v>
      </c>
      <c r="D130" t="s">
        <v>5</v>
      </c>
      <c r="E130">
        <v>0</v>
      </c>
      <c r="F130">
        <v>0</v>
      </c>
      <c r="G130">
        <v>1</v>
      </c>
      <c r="H130">
        <v>0</v>
      </c>
      <c r="I130" t="s">
        <v>26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1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5</v>
      </c>
      <c r="AE130">
        <v>536</v>
      </c>
      <c r="AF130">
        <v>51.081081081081081</v>
      </c>
      <c r="AG130">
        <v>51.081081081081081</v>
      </c>
      <c r="AH130">
        <f>22.7027027027026*1</f>
        <v>22.702702702702599</v>
      </c>
      <c r="AI130">
        <f>0.773293399834903*1</f>
        <v>0.77329339983490297</v>
      </c>
      <c r="AJ130">
        <v>1</v>
      </c>
      <c r="AK130">
        <v>0</v>
      </c>
      <c r="AL130">
        <v>0</v>
      </c>
    </row>
    <row r="131" spans="1:38" hidden="1" x14ac:dyDescent="0.2">
      <c r="A131" t="s">
        <v>310</v>
      </c>
      <c r="B131" t="s">
        <v>311</v>
      </c>
      <c r="C131" t="s">
        <v>311</v>
      </c>
      <c r="D131" t="s">
        <v>3</v>
      </c>
      <c r="E131">
        <v>1</v>
      </c>
      <c r="F131">
        <v>0</v>
      </c>
      <c r="G131">
        <v>0</v>
      </c>
      <c r="H131">
        <v>0</v>
      </c>
      <c r="I131" t="s">
        <v>26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1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4.9000000000000004</v>
      </c>
      <c r="AE131">
        <v>543</v>
      </c>
      <c r="AF131">
        <v>116.3513513513513</v>
      </c>
      <c r="AG131">
        <v>116.3513513513513</v>
      </c>
      <c r="AH131">
        <f>51.7117117117117*1</f>
        <v>51.7117117117117</v>
      </c>
      <c r="AI131">
        <f>1.58108411171355*1</f>
        <v>1.5810841117135499</v>
      </c>
      <c r="AJ131">
        <v>1</v>
      </c>
      <c r="AK131">
        <v>0</v>
      </c>
      <c r="AL131">
        <v>0</v>
      </c>
    </row>
    <row r="132" spans="1:38" x14ac:dyDescent="0.2">
      <c r="A132" t="s">
        <v>167</v>
      </c>
      <c r="B132" t="s">
        <v>168</v>
      </c>
      <c r="C132" t="s">
        <v>168</v>
      </c>
      <c r="D132" t="s">
        <v>4</v>
      </c>
      <c r="E132">
        <v>0</v>
      </c>
      <c r="F132">
        <v>1</v>
      </c>
      <c r="G132">
        <v>0</v>
      </c>
      <c r="H132">
        <v>0</v>
      </c>
      <c r="I132" t="s">
        <v>19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1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4.5</v>
      </c>
      <c r="AE132">
        <v>280</v>
      </c>
      <c r="AF132">
        <v>119.18918918918919</v>
      </c>
      <c r="AG132">
        <v>119.18918918918919</v>
      </c>
      <c r="AH132">
        <f>52.9729729729729*1</f>
        <v>52.972972972972897</v>
      </c>
      <c r="AI132">
        <f>1.41764872094498*1</f>
        <v>1.41764872094498</v>
      </c>
      <c r="AJ132">
        <v>1</v>
      </c>
      <c r="AK132">
        <v>0</v>
      </c>
      <c r="AL132">
        <v>1</v>
      </c>
    </row>
    <row r="133" spans="1:38" x14ac:dyDescent="0.2">
      <c r="A133" t="s">
        <v>138</v>
      </c>
      <c r="B133" t="s">
        <v>166</v>
      </c>
      <c r="C133" t="s">
        <v>166</v>
      </c>
      <c r="D133" t="s">
        <v>4</v>
      </c>
      <c r="E133">
        <v>0</v>
      </c>
      <c r="F133">
        <v>1</v>
      </c>
      <c r="G133">
        <v>0</v>
      </c>
      <c r="H133">
        <v>0</v>
      </c>
      <c r="I133" t="s">
        <v>19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1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4.5999999999999996</v>
      </c>
      <c r="AE133">
        <v>279</v>
      </c>
      <c r="AF133">
        <v>131.48648648648651</v>
      </c>
      <c r="AG133">
        <v>131.48648648648651</v>
      </c>
      <c r="AH133">
        <f>58.4384384384384*1</f>
        <v>58.438438438438403</v>
      </c>
      <c r="AI133">
        <f>1.37123306370501*1</f>
        <v>1.3712330637050101</v>
      </c>
      <c r="AJ133">
        <v>1</v>
      </c>
      <c r="AK133">
        <v>1</v>
      </c>
      <c r="AL133">
        <v>1</v>
      </c>
    </row>
    <row r="134" spans="1:38" hidden="1" x14ac:dyDescent="0.2">
      <c r="A134" t="s">
        <v>316</v>
      </c>
      <c r="B134" t="s">
        <v>317</v>
      </c>
      <c r="C134" t="s">
        <v>318</v>
      </c>
      <c r="D134" t="s">
        <v>4</v>
      </c>
      <c r="E134">
        <v>0</v>
      </c>
      <c r="F134">
        <v>1</v>
      </c>
      <c r="G134">
        <v>0</v>
      </c>
      <c r="H134">
        <v>0</v>
      </c>
      <c r="I134" t="s">
        <v>27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1</v>
      </c>
      <c r="Z134">
        <v>0</v>
      </c>
      <c r="AA134">
        <v>0</v>
      </c>
      <c r="AB134">
        <v>0</v>
      </c>
      <c r="AC134">
        <v>0</v>
      </c>
      <c r="AD134">
        <v>5</v>
      </c>
      <c r="AE134">
        <v>555</v>
      </c>
      <c r="AF134">
        <v>105.94594594594599</v>
      </c>
      <c r="AG134">
        <v>105.94594594594599</v>
      </c>
      <c r="AH134">
        <f>47.087087087087*1</f>
        <v>47.087087087086999</v>
      </c>
      <c r="AI134">
        <f>0.989139726944556*1</f>
        <v>0.98913972694455599</v>
      </c>
      <c r="AJ134">
        <v>1</v>
      </c>
      <c r="AK134">
        <v>0</v>
      </c>
      <c r="AL134">
        <v>0</v>
      </c>
    </row>
    <row r="135" spans="1:38" hidden="1" x14ac:dyDescent="0.2">
      <c r="A135" t="s">
        <v>75</v>
      </c>
      <c r="B135" t="s">
        <v>319</v>
      </c>
      <c r="C135" t="s">
        <v>319</v>
      </c>
      <c r="D135" t="s">
        <v>5</v>
      </c>
      <c r="E135">
        <v>0</v>
      </c>
      <c r="F135">
        <v>0</v>
      </c>
      <c r="G135">
        <v>1</v>
      </c>
      <c r="H135">
        <v>0</v>
      </c>
      <c r="I135" t="s">
        <v>27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1</v>
      </c>
      <c r="Z135">
        <v>0</v>
      </c>
      <c r="AA135">
        <v>0</v>
      </c>
      <c r="AB135">
        <v>0</v>
      </c>
      <c r="AC135">
        <v>0</v>
      </c>
      <c r="AD135">
        <v>7.5</v>
      </c>
      <c r="AE135">
        <v>562</v>
      </c>
      <c r="AF135">
        <v>154.18918918918919</v>
      </c>
      <c r="AG135">
        <v>154.18918918918919</v>
      </c>
      <c r="AH135">
        <f>68.5285285285285*1</f>
        <v>68.528528528528497</v>
      </c>
      <c r="AI135">
        <f>1.67480523514863*1</f>
        <v>1.67480523514863</v>
      </c>
      <c r="AJ135">
        <v>1</v>
      </c>
      <c r="AK135">
        <v>0</v>
      </c>
      <c r="AL135">
        <v>0</v>
      </c>
    </row>
    <row r="136" spans="1:38" hidden="1" x14ac:dyDescent="0.2">
      <c r="A136" t="s">
        <v>320</v>
      </c>
      <c r="B136" t="s">
        <v>321</v>
      </c>
      <c r="C136" t="s">
        <v>321</v>
      </c>
      <c r="D136" t="s">
        <v>5</v>
      </c>
      <c r="E136">
        <v>0</v>
      </c>
      <c r="F136">
        <v>0</v>
      </c>
      <c r="G136">
        <v>1</v>
      </c>
      <c r="H136">
        <v>0</v>
      </c>
      <c r="I136" t="s">
        <v>27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1</v>
      </c>
      <c r="Z136">
        <v>0</v>
      </c>
      <c r="AA136">
        <v>0</v>
      </c>
      <c r="AB136">
        <v>0</v>
      </c>
      <c r="AC136">
        <v>0</v>
      </c>
      <c r="AD136">
        <v>6</v>
      </c>
      <c r="AE136">
        <v>563</v>
      </c>
      <c r="AF136">
        <v>133.37837837837839</v>
      </c>
      <c r="AG136">
        <v>133.37837837837839</v>
      </c>
      <c r="AH136">
        <f>59.2792792792792*1</f>
        <v>59.279279279279201</v>
      </c>
      <c r="AI136">
        <f>1.90429740107646*1</f>
        <v>1.90429740107646</v>
      </c>
      <c r="AJ136">
        <v>1</v>
      </c>
      <c r="AK136">
        <v>0</v>
      </c>
      <c r="AL136">
        <v>0</v>
      </c>
    </row>
    <row r="137" spans="1:38" hidden="1" x14ac:dyDescent="0.2">
      <c r="A137" t="s">
        <v>322</v>
      </c>
      <c r="B137" t="s">
        <v>323</v>
      </c>
      <c r="C137" t="s">
        <v>323</v>
      </c>
      <c r="D137" t="s">
        <v>5</v>
      </c>
      <c r="E137">
        <v>0</v>
      </c>
      <c r="F137">
        <v>0</v>
      </c>
      <c r="G137">
        <v>1</v>
      </c>
      <c r="H137">
        <v>0</v>
      </c>
      <c r="I137" t="s">
        <v>27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1</v>
      </c>
      <c r="Z137">
        <v>0</v>
      </c>
      <c r="AA137">
        <v>0</v>
      </c>
      <c r="AB137">
        <v>0</v>
      </c>
      <c r="AC137">
        <v>0</v>
      </c>
      <c r="AD137">
        <v>5.5</v>
      </c>
      <c r="AE137">
        <v>564</v>
      </c>
      <c r="AF137">
        <v>101.2162162162162</v>
      </c>
      <c r="AG137">
        <v>101.2162162162162</v>
      </c>
      <c r="AH137">
        <f>44.9849849849849*1</f>
        <v>44.984984984984898</v>
      </c>
      <c r="AI137">
        <f>0.721813571241081*1</f>
        <v>0.72181357124108103</v>
      </c>
      <c r="AJ137">
        <v>1</v>
      </c>
      <c r="AK137">
        <v>0</v>
      </c>
      <c r="AL137">
        <v>0</v>
      </c>
    </row>
    <row r="138" spans="1:38" hidden="1" x14ac:dyDescent="0.2">
      <c r="A138" t="s">
        <v>324</v>
      </c>
      <c r="B138" t="s">
        <v>325</v>
      </c>
      <c r="C138" t="s">
        <v>326</v>
      </c>
      <c r="D138" t="s">
        <v>5</v>
      </c>
      <c r="E138">
        <v>0</v>
      </c>
      <c r="F138">
        <v>0</v>
      </c>
      <c r="G138">
        <v>1</v>
      </c>
      <c r="H138">
        <v>0</v>
      </c>
      <c r="I138" t="s">
        <v>27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1</v>
      </c>
      <c r="Z138">
        <v>0</v>
      </c>
      <c r="AA138">
        <v>0</v>
      </c>
      <c r="AB138">
        <v>0</v>
      </c>
      <c r="AC138">
        <v>0</v>
      </c>
      <c r="AD138">
        <v>5</v>
      </c>
      <c r="AE138">
        <v>566</v>
      </c>
      <c r="AF138">
        <v>53.918918918918919</v>
      </c>
      <c r="AG138">
        <v>53.918918918918919</v>
      </c>
      <c r="AH138">
        <f>23.9639639639639*1</f>
        <v>23.963963963963899</v>
      </c>
      <c r="AI138">
        <f>0.862364145304667*1</f>
        <v>0.86236414530466698</v>
      </c>
      <c r="AJ138">
        <v>1</v>
      </c>
      <c r="AK138">
        <v>0</v>
      </c>
      <c r="AL138">
        <v>0</v>
      </c>
    </row>
    <row r="139" spans="1:38" hidden="1" x14ac:dyDescent="0.2">
      <c r="A139" t="s">
        <v>105</v>
      </c>
      <c r="B139" t="s">
        <v>327</v>
      </c>
      <c r="C139" t="s">
        <v>327</v>
      </c>
      <c r="D139" t="s">
        <v>5</v>
      </c>
      <c r="E139">
        <v>0</v>
      </c>
      <c r="F139">
        <v>0</v>
      </c>
      <c r="G139">
        <v>1</v>
      </c>
      <c r="H139">
        <v>0</v>
      </c>
      <c r="I139" t="s">
        <v>27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1</v>
      </c>
      <c r="Z139">
        <v>0</v>
      </c>
      <c r="AA139">
        <v>0</v>
      </c>
      <c r="AB139">
        <v>0</v>
      </c>
      <c r="AC139">
        <v>0</v>
      </c>
      <c r="AD139">
        <v>4.9000000000000004</v>
      </c>
      <c r="AE139">
        <v>569</v>
      </c>
      <c r="AF139">
        <v>65.270270270270274</v>
      </c>
      <c r="AG139">
        <v>65.270270270270274</v>
      </c>
      <c r="AH139">
        <f>29.009009009009*1</f>
        <v>29.009009009008999</v>
      </c>
      <c r="AI139">
        <f>0.840456609841866*1</f>
        <v>0.84045660984186599</v>
      </c>
      <c r="AJ139">
        <v>1</v>
      </c>
      <c r="AK139">
        <v>0</v>
      </c>
      <c r="AL139">
        <v>0</v>
      </c>
    </row>
    <row r="140" spans="1:38" x14ac:dyDescent="0.2">
      <c r="A140" t="s">
        <v>310</v>
      </c>
      <c r="B140" t="s">
        <v>355</v>
      </c>
      <c r="C140" t="s">
        <v>355</v>
      </c>
      <c r="D140" t="s">
        <v>4</v>
      </c>
      <c r="E140">
        <v>0</v>
      </c>
      <c r="F140">
        <v>1</v>
      </c>
      <c r="G140">
        <v>0</v>
      </c>
      <c r="H140">
        <v>0</v>
      </c>
      <c r="I140" t="s">
        <v>30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</v>
      </c>
      <c r="AC140">
        <v>0</v>
      </c>
      <c r="AD140">
        <v>4.4000000000000004</v>
      </c>
      <c r="AE140">
        <v>678</v>
      </c>
      <c r="AF140">
        <v>111.6216216216216</v>
      </c>
      <c r="AG140">
        <v>111.6216216216216</v>
      </c>
      <c r="AH140">
        <f>49.6096096096096*1</f>
        <v>49.609609609609599</v>
      </c>
      <c r="AI140">
        <f>1.36194776547317*1</f>
        <v>1.36194776547317</v>
      </c>
      <c r="AJ140">
        <v>1</v>
      </c>
      <c r="AK140">
        <v>1</v>
      </c>
      <c r="AL140">
        <v>1</v>
      </c>
    </row>
    <row r="141" spans="1:38" hidden="1" x14ac:dyDescent="0.2">
      <c r="A141" t="s">
        <v>329</v>
      </c>
      <c r="B141" t="s">
        <v>330</v>
      </c>
      <c r="C141" t="s">
        <v>330</v>
      </c>
      <c r="D141" t="s">
        <v>6</v>
      </c>
      <c r="E141">
        <v>0</v>
      </c>
      <c r="F141">
        <v>0</v>
      </c>
      <c r="G141">
        <v>0</v>
      </c>
      <c r="H141">
        <v>1</v>
      </c>
      <c r="I141" t="s">
        <v>27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1</v>
      </c>
      <c r="Z141">
        <v>0</v>
      </c>
      <c r="AA141">
        <v>0</v>
      </c>
      <c r="AB141">
        <v>0</v>
      </c>
      <c r="AC141">
        <v>0</v>
      </c>
      <c r="AD141">
        <v>5.4</v>
      </c>
      <c r="AE141">
        <v>574</v>
      </c>
      <c r="AF141">
        <v>59.594594594594589</v>
      </c>
      <c r="AG141">
        <v>59.594594594594589</v>
      </c>
      <c r="AH141">
        <f>26.4864864864864*1</f>
        <v>26.486486486486399</v>
      </c>
      <c r="AI141">
        <f>0.57530970884722*1</f>
        <v>0.57530970884721999</v>
      </c>
      <c r="AJ141">
        <v>1</v>
      </c>
      <c r="AK141">
        <v>0</v>
      </c>
      <c r="AL141">
        <v>0</v>
      </c>
    </row>
    <row r="142" spans="1:38" hidden="1" x14ac:dyDescent="0.2">
      <c r="A142" t="s">
        <v>331</v>
      </c>
      <c r="B142" t="s">
        <v>332</v>
      </c>
      <c r="C142" t="s">
        <v>332</v>
      </c>
      <c r="D142" t="s">
        <v>5</v>
      </c>
      <c r="E142">
        <v>0</v>
      </c>
      <c r="F142">
        <v>0</v>
      </c>
      <c r="G142">
        <v>1</v>
      </c>
      <c r="H142">
        <v>0</v>
      </c>
      <c r="I142" t="s">
        <v>28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1</v>
      </c>
      <c r="AA142">
        <v>0</v>
      </c>
      <c r="AB142">
        <v>0</v>
      </c>
      <c r="AC142">
        <v>0</v>
      </c>
      <c r="AD142">
        <v>5.5</v>
      </c>
      <c r="AE142">
        <v>599</v>
      </c>
      <c r="AF142">
        <v>72.837837837837839</v>
      </c>
      <c r="AG142">
        <v>72.837837837837839</v>
      </c>
      <c r="AH142">
        <f>32.3723723723723*1</f>
        <v>32.372372372372297</v>
      </c>
      <c r="AI142">
        <f>1.45030710276395*1</f>
        <v>1.45030710276395</v>
      </c>
      <c r="AJ142">
        <v>1</v>
      </c>
      <c r="AK142">
        <v>0</v>
      </c>
      <c r="AL142">
        <v>0</v>
      </c>
    </row>
    <row r="143" spans="1:38" hidden="1" x14ac:dyDescent="0.2">
      <c r="A143" t="s">
        <v>333</v>
      </c>
      <c r="B143" t="s">
        <v>334</v>
      </c>
      <c r="C143" t="s">
        <v>334</v>
      </c>
      <c r="D143" t="s">
        <v>3</v>
      </c>
      <c r="E143">
        <v>1</v>
      </c>
      <c r="F143">
        <v>0</v>
      </c>
      <c r="G143">
        <v>0</v>
      </c>
      <c r="H143">
        <v>0</v>
      </c>
      <c r="I143" t="s">
        <v>29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1</v>
      </c>
      <c r="AB143">
        <v>0</v>
      </c>
      <c r="AC143">
        <v>0</v>
      </c>
      <c r="AD143">
        <v>5</v>
      </c>
      <c r="AE143">
        <v>629</v>
      </c>
      <c r="AF143">
        <v>108.7837837837838</v>
      </c>
      <c r="AG143">
        <v>108.7837837837838</v>
      </c>
      <c r="AH143">
        <f>48.3483483483483*1</f>
        <v>48.348348348348303</v>
      </c>
      <c r="AI143">
        <f>1.05031583949773*1</f>
        <v>1.0503158394977301</v>
      </c>
      <c r="AJ143">
        <v>1</v>
      </c>
      <c r="AK143">
        <v>0</v>
      </c>
      <c r="AL143">
        <v>0</v>
      </c>
    </row>
    <row r="144" spans="1:38" hidden="1" x14ac:dyDescent="0.2">
      <c r="A144" t="s">
        <v>335</v>
      </c>
      <c r="B144" t="s">
        <v>336</v>
      </c>
      <c r="C144" t="s">
        <v>335</v>
      </c>
      <c r="D144" t="s">
        <v>5</v>
      </c>
      <c r="E144">
        <v>0</v>
      </c>
      <c r="F144">
        <v>0</v>
      </c>
      <c r="G144">
        <v>1</v>
      </c>
      <c r="H144">
        <v>0</v>
      </c>
      <c r="I144" t="s">
        <v>29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1</v>
      </c>
      <c r="AB144">
        <v>0</v>
      </c>
      <c r="AC144">
        <v>0</v>
      </c>
      <c r="AD144">
        <v>8.5</v>
      </c>
      <c r="AE144">
        <v>643</v>
      </c>
      <c r="AF144">
        <v>146.62162162162161</v>
      </c>
      <c r="AG144">
        <v>146.62162162162161</v>
      </c>
      <c r="AH144">
        <f>65.1651651651651*1</f>
        <v>65.165165165165106</v>
      </c>
      <c r="AI144">
        <f>2.45051563141827*1</f>
        <v>2.4505156314182699</v>
      </c>
      <c r="AJ144">
        <v>1</v>
      </c>
      <c r="AK144">
        <v>0</v>
      </c>
      <c r="AL144">
        <v>0</v>
      </c>
    </row>
    <row r="145" spans="1:38" hidden="1" x14ac:dyDescent="0.2">
      <c r="A145" t="s">
        <v>337</v>
      </c>
      <c r="B145" t="s">
        <v>338</v>
      </c>
      <c r="C145" t="s">
        <v>338</v>
      </c>
      <c r="D145" t="s">
        <v>5</v>
      </c>
      <c r="E145">
        <v>0</v>
      </c>
      <c r="F145">
        <v>0</v>
      </c>
      <c r="G145">
        <v>1</v>
      </c>
      <c r="H145">
        <v>0</v>
      </c>
      <c r="I145" t="s">
        <v>29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1</v>
      </c>
      <c r="AB145">
        <v>0</v>
      </c>
      <c r="AC145">
        <v>0</v>
      </c>
      <c r="AD145">
        <v>7.1</v>
      </c>
      <c r="AE145">
        <v>644</v>
      </c>
      <c r="AF145">
        <v>152.29729729729729</v>
      </c>
      <c r="AG145">
        <v>152.29729729729729</v>
      </c>
      <c r="AH145">
        <f>67.6876876876877*1</f>
        <v>67.687687687687699</v>
      </c>
      <c r="AI145">
        <f>1.64159663227204*1</f>
        <v>1.6415966322720399</v>
      </c>
      <c r="AJ145">
        <v>1</v>
      </c>
      <c r="AK145">
        <v>0</v>
      </c>
      <c r="AL145">
        <v>0</v>
      </c>
    </row>
    <row r="146" spans="1:38" hidden="1" x14ac:dyDescent="0.2">
      <c r="A146" t="s">
        <v>184</v>
      </c>
      <c r="B146" t="s">
        <v>339</v>
      </c>
      <c r="C146" t="s">
        <v>339</v>
      </c>
      <c r="D146" t="s">
        <v>5</v>
      </c>
      <c r="E146">
        <v>0</v>
      </c>
      <c r="F146">
        <v>0</v>
      </c>
      <c r="G146">
        <v>1</v>
      </c>
      <c r="H146">
        <v>0</v>
      </c>
      <c r="I146" t="s">
        <v>29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1</v>
      </c>
      <c r="AB146">
        <v>0</v>
      </c>
      <c r="AC146">
        <v>0</v>
      </c>
      <c r="AD146">
        <v>6.9</v>
      </c>
      <c r="AE146">
        <v>645</v>
      </c>
      <c r="AF146">
        <v>138.1081081081081</v>
      </c>
      <c r="AG146">
        <v>138.1081081081081</v>
      </c>
      <c r="AH146">
        <f>61.3813813813813*1</f>
        <v>61.381381381381303</v>
      </c>
      <c r="AI146">
        <f>1.92983523155136*1</f>
        <v>1.9298352315513601</v>
      </c>
      <c r="AJ146">
        <v>1</v>
      </c>
      <c r="AK146">
        <v>0</v>
      </c>
      <c r="AL146">
        <v>0</v>
      </c>
    </row>
    <row r="147" spans="1:38" hidden="1" x14ac:dyDescent="0.2">
      <c r="A147" t="s">
        <v>340</v>
      </c>
      <c r="B147" t="s">
        <v>341</v>
      </c>
      <c r="C147" t="s">
        <v>341</v>
      </c>
      <c r="D147" t="s">
        <v>5</v>
      </c>
      <c r="E147">
        <v>0</v>
      </c>
      <c r="F147">
        <v>0</v>
      </c>
      <c r="G147">
        <v>1</v>
      </c>
      <c r="H147">
        <v>0</v>
      </c>
      <c r="I147" t="s">
        <v>29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1</v>
      </c>
      <c r="AB147">
        <v>0</v>
      </c>
      <c r="AC147">
        <v>0</v>
      </c>
      <c r="AD147">
        <v>6.6</v>
      </c>
      <c r="AE147">
        <v>646</v>
      </c>
      <c r="AF147">
        <v>125.81081081081081</v>
      </c>
      <c r="AG147">
        <v>125.81081081081081</v>
      </c>
      <c r="AH147">
        <f>55.9159159159159*1</f>
        <v>55.915915915915903</v>
      </c>
      <c r="AI147">
        <f>1.52951317285037*1</f>
        <v>1.5295131728503699</v>
      </c>
      <c r="AJ147">
        <v>1</v>
      </c>
      <c r="AK147">
        <v>0</v>
      </c>
      <c r="AL147">
        <v>0</v>
      </c>
    </row>
    <row r="148" spans="1:38" hidden="1" x14ac:dyDescent="0.2">
      <c r="A148" t="s">
        <v>342</v>
      </c>
      <c r="B148" t="s">
        <v>343</v>
      </c>
      <c r="C148" t="s">
        <v>343</v>
      </c>
      <c r="D148" t="s">
        <v>5</v>
      </c>
      <c r="E148">
        <v>0</v>
      </c>
      <c r="F148">
        <v>0</v>
      </c>
      <c r="G148">
        <v>1</v>
      </c>
      <c r="H148">
        <v>0</v>
      </c>
      <c r="I148" t="s">
        <v>29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1</v>
      </c>
      <c r="AB148">
        <v>0</v>
      </c>
      <c r="AC148">
        <v>0</v>
      </c>
      <c r="AD148">
        <v>6.4</v>
      </c>
      <c r="AE148">
        <v>647</v>
      </c>
      <c r="AF148">
        <v>131.48648648648651</v>
      </c>
      <c r="AG148">
        <v>131.48648648648651</v>
      </c>
      <c r="AH148">
        <f>58.4384384384384*1</f>
        <v>58.438438438438403</v>
      </c>
      <c r="AI148">
        <f>1.62917557274874*1</f>
        <v>1.62917557274874</v>
      </c>
      <c r="AJ148">
        <v>1</v>
      </c>
      <c r="AK148">
        <v>0</v>
      </c>
      <c r="AL148">
        <v>0</v>
      </c>
    </row>
    <row r="149" spans="1:38" hidden="1" x14ac:dyDescent="0.2">
      <c r="A149" t="s">
        <v>215</v>
      </c>
      <c r="B149" t="s">
        <v>344</v>
      </c>
      <c r="C149" t="s">
        <v>344</v>
      </c>
      <c r="D149" t="s">
        <v>5</v>
      </c>
      <c r="E149">
        <v>0</v>
      </c>
      <c r="F149">
        <v>0</v>
      </c>
      <c r="G149">
        <v>1</v>
      </c>
      <c r="H149">
        <v>0</v>
      </c>
      <c r="I149" t="s">
        <v>29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1</v>
      </c>
      <c r="AB149">
        <v>0</v>
      </c>
      <c r="AC149">
        <v>0</v>
      </c>
      <c r="AD149">
        <v>5.5</v>
      </c>
      <c r="AE149">
        <v>649</v>
      </c>
      <c r="AF149">
        <v>63.378378378378379</v>
      </c>
      <c r="AG149">
        <v>63.378378378378379</v>
      </c>
      <c r="AH149">
        <f>28.1681681681681*1</f>
        <v>28.168168168168101</v>
      </c>
      <c r="AI149">
        <f>0.684216719072749*1</f>
        <v>0.68421671907274895</v>
      </c>
      <c r="AJ149">
        <v>1</v>
      </c>
      <c r="AK149">
        <v>0</v>
      </c>
      <c r="AL149">
        <v>0</v>
      </c>
    </row>
    <row r="150" spans="1:38" hidden="1" x14ac:dyDescent="0.2">
      <c r="A150" t="s">
        <v>345</v>
      </c>
      <c r="B150" t="s">
        <v>346</v>
      </c>
      <c r="C150" t="s">
        <v>346</v>
      </c>
      <c r="D150" t="s">
        <v>5</v>
      </c>
      <c r="E150">
        <v>0</v>
      </c>
      <c r="F150">
        <v>0</v>
      </c>
      <c r="G150">
        <v>1</v>
      </c>
      <c r="H150">
        <v>0</v>
      </c>
      <c r="I150" t="s">
        <v>29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1</v>
      </c>
      <c r="AB150">
        <v>0</v>
      </c>
      <c r="AC150">
        <v>0</v>
      </c>
      <c r="AD150">
        <v>5.3</v>
      </c>
      <c r="AE150">
        <v>651</v>
      </c>
      <c r="AF150">
        <v>60.540540540540547</v>
      </c>
      <c r="AG150">
        <v>60.540540540540547</v>
      </c>
      <c r="AH150">
        <f>26.9069069069069*1</f>
        <v>26.906906906906901</v>
      </c>
      <c r="AI150">
        <f>0.815780742279654*1</f>
        <v>0.81578074227965403</v>
      </c>
      <c r="AJ150">
        <v>1</v>
      </c>
      <c r="AK150">
        <v>0</v>
      </c>
      <c r="AL150">
        <v>0</v>
      </c>
    </row>
    <row r="151" spans="1:38" hidden="1" x14ac:dyDescent="0.2">
      <c r="A151" t="s">
        <v>347</v>
      </c>
      <c r="B151" t="s">
        <v>170</v>
      </c>
      <c r="C151" t="s">
        <v>348</v>
      </c>
      <c r="D151" t="s">
        <v>5</v>
      </c>
      <c r="E151">
        <v>0</v>
      </c>
      <c r="F151">
        <v>0</v>
      </c>
      <c r="G151">
        <v>1</v>
      </c>
      <c r="H151">
        <v>0</v>
      </c>
      <c r="I151" t="s">
        <v>29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1</v>
      </c>
      <c r="AB151">
        <v>0</v>
      </c>
      <c r="AC151">
        <v>0</v>
      </c>
      <c r="AD151">
        <v>5</v>
      </c>
      <c r="AE151">
        <v>657</v>
      </c>
      <c r="AF151">
        <v>74.729729729729726</v>
      </c>
      <c r="AG151">
        <v>74.729729729729726</v>
      </c>
      <c r="AH151">
        <f>33.2132132132132*1</f>
        <v>33.213213213213201</v>
      </c>
      <c r="AI151">
        <f>1.0347456639479*1</f>
        <v>1.0347456639479</v>
      </c>
      <c r="AJ151">
        <v>1</v>
      </c>
      <c r="AK151">
        <v>0</v>
      </c>
      <c r="AL151">
        <v>0</v>
      </c>
    </row>
    <row r="152" spans="1:38" hidden="1" x14ac:dyDescent="0.2">
      <c r="A152" t="s">
        <v>349</v>
      </c>
      <c r="B152" t="s">
        <v>350</v>
      </c>
      <c r="C152" t="s">
        <v>350</v>
      </c>
      <c r="D152" t="s">
        <v>3</v>
      </c>
      <c r="E152">
        <v>1</v>
      </c>
      <c r="F152">
        <v>0</v>
      </c>
      <c r="G152">
        <v>0</v>
      </c>
      <c r="H152">
        <v>0</v>
      </c>
      <c r="I152" t="s">
        <v>30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1</v>
      </c>
      <c r="AC152">
        <v>0</v>
      </c>
      <c r="AD152">
        <v>4.4000000000000004</v>
      </c>
      <c r="AE152">
        <v>668</v>
      </c>
      <c r="AF152">
        <v>98.378378378378386</v>
      </c>
      <c r="AG152">
        <v>98.378378378378386</v>
      </c>
      <c r="AH152">
        <f>43.7237237237237*1</f>
        <v>43.723723723723701</v>
      </c>
      <c r="AI152">
        <f>1.72562851872095*1</f>
        <v>1.7256285187209499</v>
      </c>
      <c r="AJ152">
        <v>1</v>
      </c>
      <c r="AK152">
        <v>0</v>
      </c>
      <c r="AL152">
        <v>0</v>
      </c>
    </row>
    <row r="153" spans="1:38" hidden="1" x14ac:dyDescent="0.2">
      <c r="A153" t="s">
        <v>351</v>
      </c>
      <c r="B153" t="s">
        <v>352</v>
      </c>
      <c r="C153" t="s">
        <v>351</v>
      </c>
      <c r="D153" t="s">
        <v>4</v>
      </c>
      <c r="E153">
        <v>0</v>
      </c>
      <c r="F153">
        <v>1</v>
      </c>
      <c r="G153">
        <v>0</v>
      </c>
      <c r="H153">
        <v>0</v>
      </c>
      <c r="I153" t="s">
        <v>30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1</v>
      </c>
      <c r="AC153">
        <v>0</v>
      </c>
      <c r="AD153">
        <v>4.4000000000000004</v>
      </c>
      <c r="AE153">
        <v>672</v>
      </c>
      <c r="AF153">
        <v>72.837837837837839</v>
      </c>
      <c r="AG153">
        <v>72.837837837837839</v>
      </c>
      <c r="AH153">
        <f>32.3723723723723*1</f>
        <v>32.372372372372297</v>
      </c>
      <c r="AI153">
        <f>0.840103802773407*1</f>
        <v>0.84010380277340702</v>
      </c>
      <c r="AJ153">
        <v>1</v>
      </c>
      <c r="AK153">
        <v>0</v>
      </c>
      <c r="AL153">
        <v>0</v>
      </c>
    </row>
    <row r="154" spans="1:38" hidden="1" x14ac:dyDescent="0.2">
      <c r="A154" t="s">
        <v>353</v>
      </c>
      <c r="B154" t="s">
        <v>354</v>
      </c>
      <c r="C154" t="s">
        <v>354</v>
      </c>
      <c r="D154" t="s">
        <v>4</v>
      </c>
      <c r="E154">
        <v>0</v>
      </c>
      <c r="F154">
        <v>1</v>
      </c>
      <c r="G154">
        <v>0</v>
      </c>
      <c r="H154">
        <v>0</v>
      </c>
      <c r="I154" t="s">
        <v>30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1</v>
      </c>
      <c r="AC154">
        <v>0</v>
      </c>
      <c r="AD154">
        <v>4.4000000000000004</v>
      </c>
      <c r="AE154">
        <v>674</v>
      </c>
      <c r="AF154">
        <v>52.027027027027017</v>
      </c>
      <c r="AG154">
        <v>52.027027027027017</v>
      </c>
      <c r="AH154">
        <f>23.1231231231231*1</f>
        <v>23.123123123123101</v>
      </c>
      <c r="AI154">
        <f>1.16723205756503*1</f>
        <v>1.1672320575650299</v>
      </c>
      <c r="AJ154">
        <v>1</v>
      </c>
      <c r="AK154">
        <v>0</v>
      </c>
      <c r="AL154">
        <v>0</v>
      </c>
    </row>
    <row r="155" spans="1:38" x14ac:dyDescent="0.2">
      <c r="A155" t="s">
        <v>134</v>
      </c>
      <c r="B155" t="s">
        <v>135</v>
      </c>
      <c r="C155" t="s">
        <v>135</v>
      </c>
      <c r="D155" t="s">
        <v>6</v>
      </c>
      <c r="E155">
        <v>0</v>
      </c>
      <c r="F155">
        <v>0</v>
      </c>
      <c r="G155">
        <v>0</v>
      </c>
      <c r="H155">
        <v>1</v>
      </c>
      <c r="I155" t="s">
        <v>17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1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6.4</v>
      </c>
      <c r="AE155">
        <v>233</v>
      </c>
      <c r="AF155">
        <v>130.54054054054049</v>
      </c>
      <c r="AG155">
        <v>130.54054054054049</v>
      </c>
      <c r="AH155">
        <f>58.018018018018*1</f>
        <v>58.018018018017997</v>
      </c>
      <c r="AI155">
        <f>1.30613751071268*1</f>
        <v>1.30613751071268</v>
      </c>
      <c r="AJ155">
        <v>1</v>
      </c>
      <c r="AK155">
        <v>1</v>
      </c>
      <c r="AL155">
        <v>1</v>
      </c>
    </row>
    <row r="156" spans="1:38" hidden="1" x14ac:dyDescent="0.2">
      <c r="A156" t="s">
        <v>68</v>
      </c>
      <c r="B156" t="s">
        <v>356</v>
      </c>
      <c r="C156" t="s">
        <v>357</v>
      </c>
      <c r="D156" t="s">
        <v>5</v>
      </c>
      <c r="E156">
        <v>0</v>
      </c>
      <c r="F156">
        <v>0</v>
      </c>
      <c r="G156">
        <v>1</v>
      </c>
      <c r="H156">
        <v>0</v>
      </c>
      <c r="I156" t="s">
        <v>30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1</v>
      </c>
      <c r="AC156">
        <v>0</v>
      </c>
      <c r="AD156">
        <v>5.9</v>
      </c>
      <c r="AE156">
        <v>680</v>
      </c>
      <c r="AF156">
        <v>97.432432432432435</v>
      </c>
      <c r="AG156">
        <v>97.432432432432435</v>
      </c>
      <c r="AH156">
        <f>43.3033033033033*1</f>
        <v>43.303303303303302</v>
      </c>
      <c r="AI156">
        <f>0.997566778081003*1</f>
        <v>0.99756677808100302</v>
      </c>
      <c r="AJ156">
        <v>1</v>
      </c>
      <c r="AK156">
        <v>0</v>
      </c>
      <c r="AL156">
        <v>0</v>
      </c>
    </row>
    <row r="157" spans="1:38" hidden="1" x14ac:dyDescent="0.2">
      <c r="A157" t="s">
        <v>358</v>
      </c>
      <c r="B157" t="s">
        <v>359</v>
      </c>
      <c r="C157" t="s">
        <v>359</v>
      </c>
      <c r="D157" t="s">
        <v>5</v>
      </c>
      <c r="E157">
        <v>0</v>
      </c>
      <c r="F157">
        <v>0</v>
      </c>
      <c r="G157">
        <v>1</v>
      </c>
      <c r="H157">
        <v>0</v>
      </c>
      <c r="I157" t="s">
        <v>30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1</v>
      </c>
      <c r="AC157">
        <v>0</v>
      </c>
      <c r="AD157">
        <v>5.8</v>
      </c>
      <c r="AE157">
        <v>681</v>
      </c>
      <c r="AF157">
        <v>120.1351351351351</v>
      </c>
      <c r="AG157">
        <v>120.1351351351351</v>
      </c>
      <c r="AH157">
        <f>53.3933933933933*1</f>
        <v>53.393393393393303</v>
      </c>
      <c r="AI157">
        <f>1.77671067220955*1</f>
        <v>1.77671067220955</v>
      </c>
      <c r="AJ157">
        <v>1</v>
      </c>
      <c r="AK157">
        <v>0</v>
      </c>
      <c r="AL157">
        <v>0</v>
      </c>
    </row>
    <row r="158" spans="1:38" hidden="1" x14ac:dyDescent="0.2">
      <c r="A158" t="s">
        <v>184</v>
      </c>
      <c r="B158" t="s">
        <v>360</v>
      </c>
      <c r="C158" t="s">
        <v>360</v>
      </c>
      <c r="D158" t="s">
        <v>5</v>
      </c>
      <c r="E158">
        <v>0</v>
      </c>
      <c r="F158">
        <v>0</v>
      </c>
      <c r="G158">
        <v>1</v>
      </c>
      <c r="H158">
        <v>0</v>
      </c>
      <c r="I158" t="s">
        <v>30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1</v>
      </c>
      <c r="AC158">
        <v>0</v>
      </c>
      <c r="AD158">
        <v>5.9</v>
      </c>
      <c r="AE158">
        <v>682</v>
      </c>
      <c r="AF158">
        <v>84.189189189189179</v>
      </c>
      <c r="AG158">
        <v>84.189189189189179</v>
      </c>
      <c r="AH158">
        <f>37.4174174174174*1</f>
        <v>37.417417417417397</v>
      </c>
      <c r="AI158">
        <f>1.62364474848759*1</f>
        <v>1.62364474848759</v>
      </c>
      <c r="AJ158">
        <v>1</v>
      </c>
      <c r="AK158">
        <v>0</v>
      </c>
      <c r="AL158">
        <v>0</v>
      </c>
    </row>
    <row r="159" spans="1:38" hidden="1" x14ac:dyDescent="0.2">
      <c r="A159" t="s">
        <v>361</v>
      </c>
      <c r="B159" t="s">
        <v>362</v>
      </c>
      <c r="C159" t="s">
        <v>363</v>
      </c>
      <c r="D159" t="s">
        <v>5</v>
      </c>
      <c r="E159">
        <v>0</v>
      </c>
      <c r="F159">
        <v>0</v>
      </c>
      <c r="G159">
        <v>1</v>
      </c>
      <c r="H159">
        <v>0</v>
      </c>
      <c r="I159" t="s">
        <v>30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1</v>
      </c>
      <c r="AC159">
        <v>0</v>
      </c>
      <c r="AD159">
        <v>4.9000000000000004</v>
      </c>
      <c r="AE159">
        <v>684</v>
      </c>
      <c r="AF159">
        <v>56.756756756756758</v>
      </c>
      <c r="AG159">
        <v>56.756756756756758</v>
      </c>
      <c r="AH159">
        <f>25.2252252252252*1</f>
        <v>25.225225225225198</v>
      </c>
      <c r="AI159">
        <f>0.74226980341818*1</f>
        <v>0.74226980341818005</v>
      </c>
      <c r="AJ159">
        <v>1</v>
      </c>
      <c r="AK159">
        <v>0</v>
      </c>
      <c r="AL159">
        <v>0</v>
      </c>
    </row>
    <row r="160" spans="1:38" x14ac:dyDescent="0.2">
      <c r="A160" t="s">
        <v>314</v>
      </c>
      <c r="B160" t="s">
        <v>315</v>
      </c>
      <c r="C160" t="s">
        <v>315</v>
      </c>
      <c r="D160" t="s">
        <v>4</v>
      </c>
      <c r="E160">
        <v>0</v>
      </c>
      <c r="F160">
        <v>1</v>
      </c>
      <c r="G160">
        <v>0</v>
      </c>
      <c r="H160">
        <v>0</v>
      </c>
      <c r="I160" t="s">
        <v>27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1</v>
      </c>
      <c r="Z160">
        <v>0</v>
      </c>
      <c r="AA160">
        <v>0</v>
      </c>
      <c r="AB160">
        <v>0</v>
      </c>
      <c r="AC160">
        <v>0</v>
      </c>
      <c r="AD160">
        <v>5</v>
      </c>
      <c r="AE160">
        <v>554</v>
      </c>
      <c r="AF160">
        <v>125.81081081081081</v>
      </c>
      <c r="AG160">
        <v>125.81081081081081</v>
      </c>
      <c r="AH160">
        <f>55.9159159159159*0.25</f>
        <v>13.978978978978976</v>
      </c>
      <c r="AI160">
        <f>1.63016407577668*0.25</f>
        <v>0.40754101894417</v>
      </c>
      <c r="AJ160">
        <v>0.25</v>
      </c>
      <c r="AK160">
        <v>1</v>
      </c>
      <c r="AL160">
        <v>1</v>
      </c>
    </row>
    <row r="161" spans="1:38" hidden="1" x14ac:dyDescent="0.2">
      <c r="A161" t="s">
        <v>366</v>
      </c>
      <c r="B161" t="s">
        <v>367</v>
      </c>
      <c r="C161" t="s">
        <v>367</v>
      </c>
      <c r="D161" t="s">
        <v>4</v>
      </c>
      <c r="E161">
        <v>0</v>
      </c>
      <c r="F161">
        <v>1</v>
      </c>
      <c r="G161">
        <v>0</v>
      </c>
      <c r="H161">
        <v>0</v>
      </c>
      <c r="I161" t="s">
        <v>30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1</v>
      </c>
      <c r="AC161">
        <v>0</v>
      </c>
      <c r="AD161">
        <v>4.4000000000000004</v>
      </c>
      <c r="AE161">
        <v>695</v>
      </c>
      <c r="AF161">
        <v>58.648648648648653</v>
      </c>
      <c r="AG161">
        <v>58.648648648648653</v>
      </c>
      <c r="AH161">
        <f>26.066066066066*1</f>
        <v>26.066066066066</v>
      </c>
      <c r="AI161">
        <f>0.833233562982175*1</f>
        <v>0.83323356298217499</v>
      </c>
      <c r="AJ161">
        <v>1</v>
      </c>
      <c r="AK161">
        <v>0</v>
      </c>
      <c r="AL161">
        <v>0</v>
      </c>
    </row>
    <row r="162" spans="1:38" hidden="1" x14ac:dyDescent="0.2">
      <c r="A162" t="s">
        <v>368</v>
      </c>
      <c r="B162" t="s">
        <v>369</v>
      </c>
      <c r="C162" t="s">
        <v>370</v>
      </c>
      <c r="D162" t="s">
        <v>3</v>
      </c>
      <c r="E162">
        <v>1</v>
      </c>
      <c r="F162">
        <v>0</v>
      </c>
      <c r="G162">
        <v>0</v>
      </c>
      <c r="H162">
        <v>0</v>
      </c>
      <c r="I162" t="s">
        <v>31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1</v>
      </c>
      <c r="AD162">
        <v>4.5</v>
      </c>
      <c r="AE162">
        <v>701</v>
      </c>
      <c r="AF162">
        <v>110.67567567567571</v>
      </c>
      <c r="AG162">
        <v>110.67567567567571</v>
      </c>
      <c r="AH162">
        <f>49.1891891891891*1</f>
        <v>49.189189189189101</v>
      </c>
      <c r="AI162">
        <f>1.75041612402141*1</f>
        <v>1.75041612402141</v>
      </c>
      <c r="AJ162">
        <v>1</v>
      </c>
      <c r="AK162">
        <v>0</v>
      </c>
      <c r="AL162">
        <v>0</v>
      </c>
    </row>
    <row r="163" spans="1:38" hidden="1" x14ac:dyDescent="0.2">
      <c r="A163" t="s">
        <v>371</v>
      </c>
      <c r="B163" t="s">
        <v>372</v>
      </c>
      <c r="C163" t="s">
        <v>372</v>
      </c>
      <c r="D163" t="s">
        <v>4</v>
      </c>
      <c r="E163">
        <v>0</v>
      </c>
      <c r="F163">
        <v>1</v>
      </c>
      <c r="G163">
        <v>0</v>
      </c>
      <c r="H163">
        <v>0</v>
      </c>
      <c r="I163" t="s">
        <v>31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1</v>
      </c>
      <c r="AD163">
        <v>4.5</v>
      </c>
      <c r="AE163">
        <v>704</v>
      </c>
      <c r="AF163">
        <v>74.729729729729726</v>
      </c>
      <c r="AG163">
        <v>74.729729729729726</v>
      </c>
      <c r="AH163">
        <f>33.2132132132132*1</f>
        <v>33.213213213213201</v>
      </c>
      <c r="AI163">
        <f>0.991292297465149*1</f>
        <v>0.99129229746514902</v>
      </c>
      <c r="AJ163">
        <v>1</v>
      </c>
      <c r="AK163">
        <v>0</v>
      </c>
      <c r="AL163">
        <v>0</v>
      </c>
    </row>
    <row r="164" spans="1:38" hidden="1" x14ac:dyDescent="0.2">
      <c r="A164" t="s">
        <v>373</v>
      </c>
      <c r="B164" t="s">
        <v>374</v>
      </c>
      <c r="C164" t="s">
        <v>374</v>
      </c>
      <c r="D164" t="s">
        <v>5</v>
      </c>
      <c r="E164">
        <v>0</v>
      </c>
      <c r="F164">
        <v>0</v>
      </c>
      <c r="G164">
        <v>1</v>
      </c>
      <c r="H164">
        <v>0</v>
      </c>
      <c r="I164" t="s">
        <v>31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1</v>
      </c>
      <c r="AD164">
        <v>5.4</v>
      </c>
      <c r="AE164">
        <v>716</v>
      </c>
      <c r="AF164">
        <v>87.972972972972983</v>
      </c>
      <c r="AG164">
        <v>87.972972972972983</v>
      </c>
      <c r="AH164">
        <f>39.0990990990991*1</f>
        <v>39.099099099099099</v>
      </c>
      <c r="AI164">
        <f>1.00260894469251*1</f>
        <v>1.0026089446925099</v>
      </c>
      <c r="AJ164">
        <v>1</v>
      </c>
      <c r="AK164">
        <v>0</v>
      </c>
      <c r="AL164">
        <v>0</v>
      </c>
    </row>
    <row r="165" spans="1:38" hidden="1" x14ac:dyDescent="0.2">
      <c r="A165" t="s">
        <v>375</v>
      </c>
      <c r="B165" t="s">
        <v>376</v>
      </c>
      <c r="C165" t="s">
        <v>377</v>
      </c>
      <c r="D165" t="s">
        <v>5</v>
      </c>
      <c r="E165">
        <v>0</v>
      </c>
      <c r="F165">
        <v>0</v>
      </c>
      <c r="G165">
        <v>1</v>
      </c>
      <c r="H165">
        <v>0</v>
      </c>
      <c r="I165" t="s">
        <v>31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1</v>
      </c>
      <c r="AD165">
        <v>5.5</v>
      </c>
      <c r="AE165">
        <v>718</v>
      </c>
      <c r="AF165">
        <v>84.189189189189179</v>
      </c>
      <c r="AG165">
        <v>84.189189189189179</v>
      </c>
      <c r="AH165">
        <f>37.4174174174174*1</f>
        <v>37.417417417417397</v>
      </c>
      <c r="AI165">
        <f>0.851892791957103*1</f>
        <v>0.85189279195710299</v>
      </c>
      <c r="AJ165">
        <v>1</v>
      </c>
      <c r="AK165">
        <v>0</v>
      </c>
      <c r="AL165">
        <v>0</v>
      </c>
    </row>
    <row r="166" spans="1:38" hidden="1" x14ac:dyDescent="0.2">
      <c r="A166" t="s">
        <v>378</v>
      </c>
      <c r="B166" t="s">
        <v>379</v>
      </c>
      <c r="C166" t="s">
        <v>380</v>
      </c>
      <c r="D166" t="s">
        <v>5</v>
      </c>
      <c r="E166">
        <v>0</v>
      </c>
      <c r="F166">
        <v>0</v>
      </c>
      <c r="G166">
        <v>1</v>
      </c>
      <c r="H166">
        <v>0</v>
      </c>
      <c r="I166" t="s">
        <v>31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1</v>
      </c>
      <c r="AD166">
        <v>5.5</v>
      </c>
      <c r="AE166">
        <v>719</v>
      </c>
      <c r="AF166">
        <v>73.783783783783775</v>
      </c>
      <c r="AG166">
        <v>73.783783783783775</v>
      </c>
      <c r="AH166">
        <f>32.7927927927927*1</f>
        <v>32.792792792792703</v>
      </c>
      <c r="AI166">
        <f>1.0167205256259*1</f>
        <v>1.0167205256259</v>
      </c>
      <c r="AJ166">
        <v>1</v>
      </c>
      <c r="AK166">
        <v>0</v>
      </c>
      <c r="AL166">
        <v>0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Gabe Corridore</cp:lastModifiedBy>
  <dcterms:created xsi:type="dcterms:W3CDTF">2025-09-12T15:37:00Z</dcterms:created>
  <dcterms:modified xsi:type="dcterms:W3CDTF">2025-09-12T15:39:04Z</dcterms:modified>
</cp:coreProperties>
</file>