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C6B9A1C0-6CBC-CA4D-AA30-F8036D53C669}" xr6:coauthVersionLast="47" xr6:coauthVersionMax="47" xr10:uidLastSave="{00000000-0000-0000-0000-000000000000}"/>
  <bookViews>
    <workbookView xWindow="240" yWindow="760" windowWidth="2088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49" i="1" l="1"/>
  <c r="AI149" i="1"/>
  <c r="AJ148" i="1"/>
  <c r="AI148" i="1"/>
  <c r="AJ147" i="1"/>
  <c r="AI147" i="1"/>
  <c r="AJ146" i="1"/>
  <c r="AI146" i="1"/>
  <c r="AJ145" i="1"/>
  <c r="AI145" i="1"/>
  <c r="AJ144" i="1"/>
  <c r="AI144" i="1"/>
  <c r="AJ143" i="1"/>
  <c r="AI143" i="1"/>
  <c r="AJ142" i="1"/>
  <c r="AI142" i="1"/>
  <c r="AJ141" i="1"/>
  <c r="AI141" i="1"/>
  <c r="AJ140" i="1"/>
  <c r="AI140" i="1"/>
  <c r="AJ139" i="1"/>
  <c r="AI139" i="1"/>
  <c r="AJ138" i="1"/>
  <c r="AI138" i="1"/>
  <c r="AJ137" i="1"/>
  <c r="AI137" i="1"/>
  <c r="AJ136" i="1"/>
  <c r="AI136" i="1"/>
  <c r="AJ135" i="1"/>
  <c r="AI135" i="1"/>
  <c r="AJ134" i="1"/>
  <c r="AI134" i="1"/>
  <c r="AJ133" i="1"/>
  <c r="AI133" i="1"/>
  <c r="AJ132" i="1"/>
  <c r="AI132" i="1"/>
  <c r="AJ95" i="1"/>
  <c r="AI95" i="1"/>
  <c r="AJ130" i="1"/>
  <c r="AI130" i="1"/>
  <c r="AJ129" i="1"/>
  <c r="AI129" i="1"/>
  <c r="AJ128" i="1"/>
  <c r="AI128" i="1"/>
  <c r="AJ127" i="1"/>
  <c r="AI127" i="1"/>
  <c r="AJ41" i="1"/>
  <c r="AI41" i="1"/>
  <c r="AJ125" i="1"/>
  <c r="AI125" i="1"/>
  <c r="AJ124" i="1"/>
  <c r="AI124" i="1"/>
  <c r="AJ123" i="1"/>
  <c r="AI123" i="1"/>
  <c r="AJ122" i="1"/>
  <c r="AI122" i="1"/>
  <c r="AJ121" i="1"/>
  <c r="AI121" i="1"/>
  <c r="AJ120" i="1"/>
  <c r="AI120" i="1"/>
  <c r="AJ119" i="1"/>
  <c r="AI119" i="1"/>
  <c r="AJ118" i="1"/>
  <c r="AI118" i="1"/>
  <c r="AJ117" i="1"/>
  <c r="AI117" i="1"/>
  <c r="AJ116" i="1"/>
  <c r="AI116" i="1"/>
  <c r="AJ115" i="1"/>
  <c r="AI115" i="1"/>
  <c r="AJ93" i="1"/>
  <c r="AI93" i="1"/>
  <c r="AJ113" i="1"/>
  <c r="AI113" i="1"/>
  <c r="AJ114" i="1"/>
  <c r="AI114" i="1"/>
  <c r="AJ111" i="1"/>
  <c r="AI111" i="1"/>
  <c r="AJ110" i="1"/>
  <c r="AI110" i="1"/>
  <c r="AJ109" i="1"/>
  <c r="AI109" i="1"/>
  <c r="AJ108" i="1"/>
  <c r="AI108" i="1"/>
  <c r="AJ79" i="1"/>
  <c r="AI79" i="1"/>
  <c r="AJ106" i="1"/>
  <c r="AI106" i="1"/>
  <c r="AJ105" i="1"/>
  <c r="AI105" i="1"/>
  <c r="AJ104" i="1"/>
  <c r="AI104" i="1"/>
  <c r="AJ103" i="1"/>
  <c r="AI103" i="1"/>
  <c r="AJ102" i="1"/>
  <c r="AI102" i="1"/>
  <c r="AJ101" i="1"/>
  <c r="AI101" i="1"/>
  <c r="AJ100" i="1"/>
  <c r="AI100" i="1"/>
  <c r="AJ99" i="1"/>
  <c r="AI99" i="1"/>
  <c r="AJ98" i="1"/>
  <c r="AI98" i="1"/>
  <c r="AJ97" i="1"/>
  <c r="AI97" i="1"/>
  <c r="AJ96" i="1"/>
  <c r="AI96" i="1"/>
  <c r="AJ107" i="1"/>
  <c r="AI107" i="1"/>
  <c r="AJ94" i="1"/>
  <c r="AI94" i="1"/>
  <c r="AJ19" i="1"/>
  <c r="AI19" i="1"/>
  <c r="AJ92" i="1"/>
  <c r="AI92" i="1"/>
  <c r="AJ91" i="1"/>
  <c r="AI91" i="1"/>
  <c r="AJ90" i="1"/>
  <c r="AI90" i="1"/>
  <c r="AJ89" i="1"/>
  <c r="AI89" i="1"/>
  <c r="AJ88" i="1"/>
  <c r="AI88" i="1"/>
  <c r="AJ57" i="1"/>
  <c r="AI57" i="1"/>
  <c r="AJ86" i="1"/>
  <c r="AI86" i="1"/>
  <c r="AJ85" i="1"/>
  <c r="AI85" i="1"/>
  <c r="AJ84" i="1"/>
  <c r="AI84" i="1"/>
  <c r="AJ83" i="1"/>
  <c r="AI83" i="1"/>
  <c r="AJ82" i="1"/>
  <c r="AI82" i="1"/>
  <c r="AJ81" i="1"/>
  <c r="AI81" i="1"/>
  <c r="AJ80" i="1"/>
  <c r="AI80" i="1"/>
  <c r="AJ55" i="1"/>
  <c r="AI55" i="1"/>
  <c r="AJ78" i="1"/>
  <c r="AI78" i="1"/>
  <c r="AJ77" i="1"/>
  <c r="AI77" i="1"/>
  <c r="AJ76" i="1"/>
  <c r="AI76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2" i="1"/>
  <c r="AI2" i="1"/>
  <c r="AJ56" i="1"/>
  <c r="AI56" i="1"/>
  <c r="AJ6" i="1"/>
  <c r="AI6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43" i="1"/>
  <c r="AI43" i="1"/>
  <c r="AJ42" i="1"/>
  <c r="AI42" i="1"/>
  <c r="AJ87" i="1"/>
  <c r="AI87" i="1"/>
  <c r="AJ40" i="1"/>
  <c r="AI40" i="1"/>
  <c r="AJ39" i="1"/>
  <c r="AI39" i="1"/>
  <c r="AJ38" i="1"/>
  <c r="AI38" i="1"/>
  <c r="AP37" i="1"/>
  <c r="AJ37" i="1"/>
  <c r="AI37" i="1"/>
  <c r="AP36" i="1"/>
  <c r="AJ36" i="1"/>
  <c r="AI36" i="1"/>
  <c r="AP35" i="1"/>
  <c r="AJ35" i="1"/>
  <c r="AI35" i="1"/>
  <c r="AP34" i="1"/>
  <c r="AJ34" i="1"/>
  <c r="AI34" i="1"/>
  <c r="AP33" i="1"/>
  <c r="AJ33" i="1"/>
  <c r="AI33" i="1"/>
  <c r="AP32" i="1"/>
  <c r="AJ32" i="1"/>
  <c r="AI32" i="1"/>
  <c r="AP31" i="1"/>
  <c r="AJ31" i="1"/>
  <c r="AI31" i="1"/>
  <c r="AP30" i="1"/>
  <c r="AJ30" i="1"/>
  <c r="AI30" i="1"/>
  <c r="AP29" i="1"/>
  <c r="AJ29" i="1"/>
  <c r="AI29" i="1"/>
  <c r="AP28" i="1"/>
  <c r="AJ28" i="1"/>
  <c r="AI28" i="1"/>
  <c r="AP27" i="1"/>
  <c r="AJ27" i="1"/>
  <c r="AI27" i="1"/>
  <c r="AP26" i="1"/>
  <c r="AJ26" i="1"/>
  <c r="AI26" i="1"/>
  <c r="AP25" i="1"/>
  <c r="AJ25" i="1"/>
  <c r="AI25" i="1"/>
  <c r="AP24" i="1"/>
  <c r="AJ24" i="1"/>
  <c r="AI24" i="1"/>
  <c r="AP23" i="1"/>
  <c r="AJ23" i="1"/>
  <c r="AI23" i="1"/>
  <c r="AP22" i="1"/>
  <c r="AJ22" i="1"/>
  <c r="AI22" i="1"/>
  <c r="AP21" i="1"/>
  <c r="AJ21" i="1"/>
  <c r="AI21" i="1"/>
  <c r="AP20" i="1"/>
  <c r="AJ20" i="1"/>
  <c r="AI20" i="1"/>
  <c r="AP19" i="1"/>
  <c r="AJ131" i="1"/>
  <c r="AI131" i="1"/>
  <c r="AP18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P11" i="1"/>
  <c r="AP14" i="1" s="1"/>
  <c r="AJ11" i="1"/>
  <c r="AI11" i="1"/>
  <c r="AJ10" i="1"/>
  <c r="AI10" i="1"/>
  <c r="AP9" i="1"/>
  <c r="AJ9" i="1"/>
  <c r="AI9" i="1"/>
  <c r="AP8" i="1"/>
  <c r="AJ8" i="1"/>
  <c r="AI8" i="1"/>
  <c r="AP7" i="1"/>
  <c r="AJ7" i="1"/>
  <c r="AI7" i="1"/>
  <c r="AP6" i="1"/>
  <c r="AJ126" i="1"/>
  <c r="AI126" i="1"/>
  <c r="AJ5" i="1"/>
  <c r="AI5" i="1"/>
  <c r="AP4" i="1"/>
  <c r="AJ4" i="1"/>
  <c r="AI4" i="1"/>
  <c r="AJ3" i="1"/>
  <c r="AI3" i="1"/>
  <c r="AJ112" i="1"/>
  <c r="AI112" i="1"/>
  <c r="AP2" i="1" s="1"/>
  <c r="AP16" i="1" l="1"/>
</calcChain>
</file>

<file path=xl/sharedStrings.xml><?xml version="1.0" encoding="utf-8"?>
<sst xmlns="http://schemas.openxmlformats.org/spreadsheetml/2006/main" count="810" uniqueCount="356">
  <si>
    <t>Total Points</t>
  </si>
  <si>
    <t>MAX</t>
  </si>
  <si>
    <t>Total Cost</t>
  </si>
  <si>
    <t>GKP</t>
  </si>
  <si>
    <t>DEF</t>
  </si>
  <si>
    <t>MID</t>
  </si>
  <si>
    <t>FWD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</si>
  <si>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</si>
  <si>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</si>
  <si>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</si>
  <si>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</si>
  <si>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</si>
  <si>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</si>
  <si>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</si>
  <si>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</si>
  <si>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</si>
  <si>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</si>
  <si>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</si>
  <si>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</si>
  <si>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</si>
  <si>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</si>
  <si>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</si>
  <si>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</si>
  <si>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</si>
  <si>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</si>
  <si>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</si>
  <si>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</si>
  <si>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</si>
  <si>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</si>
  <si>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</si>
  <si>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</si>
  <si>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</si>
  <si>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</si>
  <si>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</si>
  <si>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</si>
  <si>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</si>
  <si>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</si>
  <si>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</si>
  <si>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</si>
  <si>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FOREST</t>
  </si>
  <si>
    <t>PP</t>
  </si>
  <si>
    <t>NEXT</t>
  </si>
  <si>
    <t>Health</t>
  </si>
  <si>
    <t>PREV</t>
  </si>
  <si>
    <t>Selected</t>
  </si>
  <si>
    <t>Gabriel</t>
  </si>
  <si>
    <t>dos Santos Magalhães</t>
  </si>
  <si>
    <t>Kai</t>
  </si>
  <si>
    <t>Havertz</t>
  </si>
  <si>
    <t>Martinelli Silva</t>
  </si>
  <si>
    <t>Martinelli</t>
  </si>
  <si>
    <t>Martin</t>
  </si>
  <si>
    <t>Ødegaard</t>
  </si>
  <si>
    <t>David</t>
  </si>
  <si>
    <t>Raya Martin</t>
  </si>
  <si>
    <t>Raya</t>
  </si>
  <si>
    <t>Bukayo</t>
  </si>
  <si>
    <t>Saka</t>
  </si>
  <si>
    <t>William</t>
  </si>
  <si>
    <t>Saliba</t>
  </si>
  <si>
    <t>Leandro</t>
  </si>
  <si>
    <t>Trossard</t>
  </si>
  <si>
    <t>Benjamin</t>
  </si>
  <si>
    <t>White</t>
  </si>
  <si>
    <t>Oleksandr</t>
  </si>
  <si>
    <t>Zinchenko</t>
  </si>
  <si>
    <t>Norberto</t>
  </si>
  <si>
    <t>Murara Neto</t>
  </si>
  <si>
    <t>Neto</t>
  </si>
  <si>
    <t>Raheem</t>
  </si>
  <si>
    <t>Sterling</t>
  </si>
  <si>
    <t>Leon</t>
  </si>
  <si>
    <t>Bailey</t>
  </si>
  <si>
    <t>Matty</t>
  </si>
  <si>
    <t>Cash</t>
  </si>
  <si>
    <t>Moussa</t>
  </si>
  <si>
    <t>Diaby</t>
  </si>
  <si>
    <t>Diego Carlos</t>
  </si>
  <si>
    <t>Santos Silva</t>
  </si>
  <si>
    <t>Lucas</t>
  </si>
  <si>
    <t>Digne</t>
  </si>
  <si>
    <t>Jhon</t>
  </si>
  <si>
    <t>Durán</t>
  </si>
  <si>
    <t>Duran</t>
  </si>
  <si>
    <t>Ezri</t>
  </si>
  <si>
    <t>Konsa Ngoyo</t>
  </si>
  <si>
    <t>Konsa</t>
  </si>
  <si>
    <t>Emiliano</t>
  </si>
  <si>
    <t>Martínez Romero</t>
  </si>
  <si>
    <t>Martinez</t>
  </si>
  <si>
    <t>Pau</t>
  </si>
  <si>
    <t>Torres</t>
  </si>
  <si>
    <t>Youri</t>
  </si>
  <si>
    <t>Tielemans</t>
  </si>
  <si>
    <t>Ollie</t>
  </si>
  <si>
    <t>Watkins</t>
  </si>
  <si>
    <t>Amadou</t>
  </si>
  <si>
    <t>Onana</t>
  </si>
  <si>
    <t>Ryan</t>
  </si>
  <si>
    <t>Christie</t>
  </si>
  <si>
    <t>Lewis</t>
  </si>
  <si>
    <t>Cook</t>
  </si>
  <si>
    <t>Milos</t>
  </si>
  <si>
    <t>Kerkez</t>
  </si>
  <si>
    <t>Justin</t>
  </si>
  <si>
    <t>Kluivert</t>
  </si>
  <si>
    <t>Antoine</t>
  </si>
  <si>
    <t>Semenyo</t>
  </si>
  <si>
    <t>Marcos</t>
  </si>
  <si>
    <t>Senesi</t>
  </si>
  <si>
    <t>Adam</t>
  </si>
  <si>
    <t>Smith</t>
  </si>
  <si>
    <t>Marcus</t>
  </si>
  <si>
    <t>Tavernier</t>
  </si>
  <si>
    <t>Illia</t>
  </si>
  <si>
    <t>Zabarnyi</t>
  </si>
  <si>
    <t>Nathan</t>
  </si>
  <si>
    <t>Collins</t>
  </si>
  <si>
    <t>Mikkel</t>
  </si>
  <si>
    <t>Damsgaard</t>
  </si>
  <si>
    <t>Mark</t>
  </si>
  <si>
    <t>Flekken</t>
  </si>
  <si>
    <t>Vitaly</t>
  </si>
  <si>
    <t>Janelt</t>
  </si>
  <si>
    <t>Mathias</t>
  </si>
  <si>
    <t>Jensen</t>
  </si>
  <si>
    <t>Keane</t>
  </si>
  <si>
    <t>Lewis-Potter</t>
  </si>
  <si>
    <t>Bryan</t>
  </si>
  <si>
    <t>Mbeumo</t>
  </si>
  <si>
    <t>Christian</t>
  </si>
  <si>
    <t>Nørgaard</t>
  </si>
  <si>
    <t>Ethan</t>
  </si>
  <si>
    <t>Pinnock</t>
  </si>
  <si>
    <t>Yoane</t>
  </si>
  <si>
    <t>Wissa</t>
  </si>
  <si>
    <t>Simon</t>
  </si>
  <si>
    <t>Adingra</t>
  </si>
  <si>
    <t>Dunk</t>
  </si>
  <si>
    <t>Pascal</t>
  </si>
  <si>
    <t>Groß</t>
  </si>
  <si>
    <t>Gross</t>
  </si>
  <si>
    <t>João Pedro</t>
  </si>
  <si>
    <t>Junqueira de Jesus</t>
  </si>
  <si>
    <t>Jan Paul</t>
  </si>
  <si>
    <t>van Hecke</t>
  </si>
  <si>
    <t>Van Hecke</t>
  </si>
  <si>
    <t>Joël</t>
  </si>
  <si>
    <t>Veltman</t>
  </si>
  <si>
    <t>Danny</t>
  </si>
  <si>
    <t>Welbeck</t>
  </si>
  <si>
    <t>Moisés</t>
  </si>
  <si>
    <t>Caicedo Corozo</t>
  </si>
  <si>
    <t>Caicedo</t>
  </si>
  <si>
    <t>Levi</t>
  </si>
  <si>
    <t>Colwill</t>
  </si>
  <si>
    <t>Conor</t>
  </si>
  <si>
    <t>Gallagher</t>
  </si>
  <si>
    <t>Noni</t>
  </si>
  <si>
    <t>Madueke</t>
  </si>
  <si>
    <t>Nicolas</t>
  </si>
  <si>
    <t>Jackson</t>
  </si>
  <si>
    <t>N.Jackson</t>
  </si>
  <si>
    <t>Cole</t>
  </si>
  <si>
    <t>Palmer</t>
  </si>
  <si>
    <t>Chris</t>
  </si>
  <si>
    <t>Richards</t>
  </si>
  <si>
    <t>C.Richards</t>
  </si>
  <si>
    <t>Eberechi</t>
  </si>
  <si>
    <t>Eze</t>
  </si>
  <si>
    <t>Marc</t>
  </si>
  <si>
    <t>Guéhi</t>
  </si>
  <si>
    <t>Jean-Philippe</t>
  </si>
  <si>
    <t>Mateta</t>
  </si>
  <si>
    <t>Tyrick</t>
  </si>
  <si>
    <t>Mitchell</t>
  </si>
  <si>
    <t>Abdoulaye</t>
  </si>
  <si>
    <t>Doucouré</t>
  </si>
  <si>
    <t>A.Doucoure</t>
  </si>
  <si>
    <t>Jarrad</t>
  </si>
  <si>
    <t>Branthwaite</t>
  </si>
  <si>
    <t>Dominic</t>
  </si>
  <si>
    <t>Calvert-Lewin</t>
  </si>
  <si>
    <t>Jack</t>
  </si>
  <si>
    <t>Harrison</t>
  </si>
  <si>
    <t>Dwight</t>
  </si>
  <si>
    <t>McNeil</t>
  </si>
  <si>
    <t>Vitalii</t>
  </si>
  <si>
    <t>Mykolenko</t>
  </si>
  <si>
    <t>Jordan</t>
  </si>
  <si>
    <t>Pickford</t>
  </si>
  <si>
    <t>James</t>
  </si>
  <si>
    <t>Tarkowski</t>
  </si>
  <si>
    <t>Ashley</t>
  </si>
  <si>
    <t>Young</t>
  </si>
  <si>
    <t>Joachim</t>
  </si>
  <si>
    <t>Andersen</t>
  </si>
  <si>
    <t>Andreas</t>
  </si>
  <si>
    <t>Hoelgebaum Pereira</t>
  </si>
  <si>
    <t>Calvin</t>
  </si>
  <si>
    <t>Bassey</t>
  </si>
  <si>
    <t>Timothy</t>
  </si>
  <si>
    <t>Castagne</t>
  </si>
  <si>
    <t>Alex</t>
  </si>
  <si>
    <t>Iwobi</t>
  </si>
  <si>
    <t>Bernd</t>
  </si>
  <si>
    <t>Leno</t>
  </si>
  <si>
    <t>Rodrigo</t>
  </si>
  <si>
    <t>Muniz Carvalho</t>
  </si>
  <si>
    <t>Muniz</t>
  </si>
  <si>
    <t>Raúl</t>
  </si>
  <si>
    <t>Jiménez</t>
  </si>
  <si>
    <t>Antonee</t>
  </si>
  <si>
    <t>Robinson</t>
  </si>
  <si>
    <t>Harry</t>
  </si>
  <si>
    <t>Wilson</t>
  </si>
  <si>
    <t>Dara</t>
  </si>
  <si>
    <t>O'Shea</t>
  </si>
  <si>
    <t>Chiedozie</t>
  </si>
  <si>
    <t>Ogbene</t>
  </si>
  <si>
    <t>Facundo</t>
  </si>
  <si>
    <t>Buonanotte</t>
  </si>
  <si>
    <t>Ayew</t>
  </si>
  <si>
    <t>J.Ayew</t>
  </si>
  <si>
    <t>Alisson</t>
  </si>
  <si>
    <t>Ramses Becker</t>
  </si>
  <si>
    <t>A.Becker</t>
  </si>
  <si>
    <t>Trent</t>
  </si>
  <si>
    <t>Alexander-Arnold</t>
  </si>
  <si>
    <t>Darwin</t>
  </si>
  <si>
    <t>Núñez Ribeiro</t>
  </si>
  <si>
    <t>Diogo</t>
  </si>
  <si>
    <t>Teixeira da Silva</t>
  </si>
  <si>
    <t>Diogo J.</t>
  </si>
  <si>
    <t>Harvey</t>
  </si>
  <si>
    <t>Elliott</t>
  </si>
  <si>
    <t>Curtis</t>
  </si>
  <si>
    <t>Jones</t>
  </si>
  <si>
    <t>Ibrahima</t>
  </si>
  <si>
    <t>Konaté</t>
  </si>
  <si>
    <t>Luis</t>
  </si>
  <si>
    <t>Díaz</t>
  </si>
  <si>
    <t>Luis Díaz</t>
  </si>
  <si>
    <t>Mohamed</t>
  </si>
  <si>
    <t>Salah</t>
  </si>
  <si>
    <t>M.Salah</t>
  </si>
  <si>
    <t>Andrew</t>
  </si>
  <si>
    <t>Robertson</t>
  </si>
  <si>
    <t>Virgil</t>
  </si>
  <si>
    <t>van Dijk</t>
  </si>
  <si>
    <t>Aké</t>
  </si>
  <si>
    <t>Bernardo</t>
  </si>
  <si>
    <t>Veiga de Carvalho e Silva</t>
  </si>
  <si>
    <t>Jérémy</t>
  </si>
  <si>
    <t>Doku</t>
  </si>
  <si>
    <t>Ederson</t>
  </si>
  <si>
    <t>Santana de Moraes</t>
  </si>
  <si>
    <t>Ederson M.</t>
  </si>
  <si>
    <t>Grealish</t>
  </si>
  <si>
    <t>Joško</t>
  </si>
  <si>
    <t>Gvardiol</t>
  </si>
  <si>
    <t>Erling</t>
  </si>
  <si>
    <t>Haaland</t>
  </si>
  <si>
    <t>Julián</t>
  </si>
  <si>
    <t>Álvarez</t>
  </si>
  <si>
    <t>J.Alvarez</t>
  </si>
  <si>
    <t>Mateo</t>
  </si>
  <si>
    <t>Kovačić</t>
  </si>
  <si>
    <t>Bruno</t>
  </si>
  <si>
    <t>Borges Fernandes</t>
  </si>
  <si>
    <t>B.Fernandes</t>
  </si>
  <si>
    <t>Dalot Teixeira</t>
  </si>
  <si>
    <t>Dalot</t>
  </si>
  <si>
    <t>Eriksen</t>
  </si>
  <si>
    <t>Jonny</t>
  </si>
  <si>
    <t>Evans</t>
  </si>
  <si>
    <t>Alejandro</t>
  </si>
  <si>
    <t>Garnacho</t>
  </si>
  <si>
    <t>Rasmus</t>
  </si>
  <si>
    <t>Højlund</t>
  </si>
  <si>
    <t>André</t>
  </si>
  <si>
    <t>Rashford</t>
  </si>
  <si>
    <t>Barnes</t>
  </si>
  <si>
    <t>Guimarães Rodriguez Moura</t>
  </si>
  <si>
    <t>Bruno G.</t>
  </si>
  <si>
    <t>Dan</t>
  </si>
  <si>
    <t>Burn</t>
  </si>
  <si>
    <t>Anthony</t>
  </si>
  <si>
    <t>Gordon</t>
  </si>
  <si>
    <t>Alexander</t>
  </si>
  <si>
    <t>Isak</t>
  </si>
  <si>
    <t>Jacob</t>
  </si>
  <si>
    <t>Murphy</t>
  </si>
  <si>
    <t>J.Murphy</t>
  </si>
  <si>
    <t>Fabian</t>
  </si>
  <si>
    <t>Schär</t>
  </si>
  <si>
    <t>Kieran</t>
  </si>
  <si>
    <t>Trippier</t>
  </si>
  <si>
    <t>Danilo</t>
  </si>
  <si>
    <t>dos Santos de Oliveira</t>
  </si>
  <si>
    <t>Morgan</t>
  </si>
  <si>
    <t>Gibbs-White</t>
  </si>
  <si>
    <t>Callum</t>
  </si>
  <si>
    <t>Hudson-Odoi</t>
  </si>
  <si>
    <t>Murillo</t>
  </si>
  <si>
    <t>Santiago Costa dos Santos</t>
  </si>
  <si>
    <t>Wood</t>
  </si>
  <si>
    <t>Cameron</t>
  </si>
  <si>
    <t>Archer</t>
  </si>
  <si>
    <t>Brennan</t>
  </si>
  <si>
    <t>Johnson</t>
  </si>
  <si>
    <t>Dejan</t>
  </si>
  <si>
    <t>Kulusevski</t>
  </si>
  <si>
    <t>Maddison</t>
  </si>
  <si>
    <t>Pedro</t>
  </si>
  <si>
    <t>Porro</t>
  </si>
  <si>
    <t>Pedro Porro</t>
  </si>
  <si>
    <t>Richarlison</t>
  </si>
  <si>
    <t>de Andrade</t>
  </si>
  <si>
    <t>Cristian</t>
  </si>
  <si>
    <t>Romero</t>
  </si>
  <si>
    <t>Pape Matar</t>
  </si>
  <si>
    <t>Sarr</t>
  </si>
  <si>
    <t>P.M.Sarr</t>
  </si>
  <si>
    <t>Son</t>
  </si>
  <si>
    <t>Heung-min</t>
  </si>
  <si>
    <t>Micky</t>
  </si>
  <si>
    <t>van de Ven</t>
  </si>
  <si>
    <t>Van de Ven</t>
  </si>
  <si>
    <t>Guglielmo</t>
  </si>
  <si>
    <t>Vicario</t>
  </si>
  <si>
    <t>Odobert</t>
  </si>
  <si>
    <t>Michail</t>
  </si>
  <si>
    <t>Antonio</t>
  </si>
  <si>
    <t>Jarrod</t>
  </si>
  <si>
    <t>Bowen</t>
  </si>
  <si>
    <t>Vladimír</t>
  </si>
  <si>
    <t>Coufal</t>
  </si>
  <si>
    <t>Wes</t>
  </si>
  <si>
    <t>Foderingham</t>
  </si>
  <si>
    <t>Mohammed</t>
  </si>
  <si>
    <t>Kudus</t>
  </si>
  <si>
    <t>Tolentino Coelho de Lima</t>
  </si>
  <si>
    <t>L.Paquetá</t>
  </si>
  <si>
    <t>Tomáš</t>
  </si>
  <si>
    <t>Souček</t>
  </si>
  <si>
    <t>Rayan</t>
  </si>
  <si>
    <t>Aït-Nouri</t>
  </si>
  <si>
    <t>Jean-Ricner</t>
  </si>
  <si>
    <t>Bellegarde</t>
  </si>
  <si>
    <t>Matheus</t>
  </si>
  <si>
    <t>Santos Carneiro Da Cunha</t>
  </si>
  <si>
    <t>Cunha</t>
  </si>
  <si>
    <t>Mario</t>
  </si>
  <si>
    <t>Lemina</t>
  </si>
  <si>
    <t>Mario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</si>
</sst>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149" totalsRowShown="0">
  <autoFilter ref="A1:AM149" xr:uid="{00000000-0009-0000-0100-000001000000}">
    <filterColumn colId="38">
      <filters>
        <filter val="1"/>
      </filters>
    </filterColumn>
  </autoFilter>
  <sortState xmlns:xlrd2="http://schemas.microsoft.com/office/spreadsheetml/2017/richdata2" ref="A2:AM131">
    <sortCondition descending="1" ref="AJ1:AJ149"/>
  </sortState>
  <tableColumns count="39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FOREST"/>
    <tableColumn id="35" xr3:uid="{00000000-0010-0000-0000-000023000000}" name="PP"/>
    <tableColumn id="36" xr3:uid="{00000000-0010-0000-0000-000024000000}" name="NEXT"/>
    <tableColumn id="37" xr3:uid="{00000000-0010-0000-0000-000025000000}" name="Health"/>
    <tableColumn id="38" xr3:uid="{00000000-0010-0000-0000-000026000000}" name="PREV"/>
    <tableColumn id="39" xr3:uid="{00000000-0010-0000-0000-000027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4" width="0" hidden="1" customWidth="1"/>
  </cols>
  <sheetData>
    <row r="1" spans="1:43" x14ac:dyDescent="0.2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9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</row>
    <row r="2" spans="1:43" x14ac:dyDescent="0.2">
      <c r="A2" t="s">
        <v>163</v>
      </c>
      <c r="B2" t="s">
        <v>164</v>
      </c>
      <c r="C2" t="s">
        <v>164</v>
      </c>
      <c r="D2" t="s">
        <v>5</v>
      </c>
      <c r="E2">
        <v>0</v>
      </c>
      <c r="F2">
        <v>0</v>
      </c>
      <c r="G2">
        <v>1</v>
      </c>
      <c r="H2">
        <v>0</v>
      </c>
      <c r="I2" t="s">
        <v>16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10.9</v>
      </c>
      <c r="AE2">
        <v>206</v>
      </c>
      <c r="AF2">
        <v>52.766714799153512</v>
      </c>
      <c r="AG2">
        <v>34.073061962188852</v>
      </c>
      <c r="AH2">
        <v>61.971428571428568</v>
      </c>
      <c r="AI2">
        <f>32.4312758385487*1</f>
        <v>32.4312758385487</v>
      </c>
      <c r="AJ2">
        <f>8.09575848972543*1</f>
        <v>8.09575848972543</v>
      </c>
      <c r="AK2">
        <v>1</v>
      </c>
      <c r="AL2">
        <v>1</v>
      </c>
      <c r="AM2">
        <v>1</v>
      </c>
      <c r="AO2" t="s">
        <v>0</v>
      </c>
      <c r="AP2">
        <f>SUMPRODUCT(Table1[Selected], Table1[PP])</f>
        <v>353.19358193755426</v>
      </c>
      <c r="AQ2" t="s">
        <v>1</v>
      </c>
    </row>
    <row r="3" spans="1:43" hidden="1" x14ac:dyDescent="0.2">
      <c r="A3" t="s">
        <v>47</v>
      </c>
      <c r="B3" t="s">
        <v>48</v>
      </c>
      <c r="C3" t="s">
        <v>48</v>
      </c>
      <c r="D3" t="s">
        <v>6</v>
      </c>
      <c r="E3">
        <v>0</v>
      </c>
      <c r="F3">
        <v>0</v>
      </c>
      <c r="G3">
        <v>0</v>
      </c>
      <c r="H3">
        <v>1</v>
      </c>
      <c r="I3" t="s">
        <v>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8.3000000000000007</v>
      </c>
      <c r="AE3">
        <v>3</v>
      </c>
      <c r="AF3">
        <v>28.683186377189621</v>
      </c>
      <c r="AG3">
        <v>15.18403526753505</v>
      </c>
      <c r="AH3">
        <v>31.05186807256219</v>
      </c>
      <c r="AI3">
        <f>21.8205843115214*1</f>
        <v>21.820584311521401</v>
      </c>
      <c r="AJ3">
        <f>4.4968717374487*1</f>
        <v>4.4968717374486999</v>
      </c>
      <c r="AK3">
        <v>1</v>
      </c>
      <c r="AL3">
        <v>0</v>
      </c>
      <c r="AM3">
        <v>0</v>
      </c>
    </row>
    <row r="4" spans="1:43" hidden="1" x14ac:dyDescent="0.2">
      <c r="A4" t="s">
        <v>45</v>
      </c>
      <c r="B4" t="s">
        <v>49</v>
      </c>
      <c r="C4" t="s">
        <v>50</v>
      </c>
      <c r="D4" t="s">
        <v>5</v>
      </c>
      <c r="E4">
        <v>0</v>
      </c>
      <c r="F4">
        <v>0</v>
      </c>
      <c r="G4">
        <v>1</v>
      </c>
      <c r="H4">
        <v>0</v>
      </c>
      <c r="I4" t="s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8</v>
      </c>
      <c r="AF4">
        <v>22.171052631578942</v>
      </c>
      <c r="AG4">
        <v>27.722031579504169</v>
      </c>
      <c r="AH4">
        <v>23.98241206443457</v>
      </c>
      <c r="AI4">
        <f>19.6239952168928*1</f>
        <v>19.623995216892801</v>
      </c>
      <c r="AJ4">
        <f>3.49281136360178*1</f>
        <v>3.4928113636017799</v>
      </c>
      <c r="AK4">
        <v>1</v>
      </c>
      <c r="AL4">
        <v>0</v>
      </c>
      <c r="AM4">
        <v>0</v>
      </c>
      <c r="AO4" t="s">
        <v>2</v>
      </c>
      <c r="AP4">
        <f>SUMPRODUCT(Table1[Selected],Table1[Cost])</f>
        <v>98.3</v>
      </c>
      <c r="AQ4">
        <v>99.600000000000009</v>
      </c>
    </row>
    <row r="5" spans="1:43" hidden="1" x14ac:dyDescent="0.2">
      <c r="A5" t="s">
        <v>51</v>
      </c>
      <c r="B5" t="s">
        <v>52</v>
      </c>
      <c r="C5" t="s">
        <v>52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11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8.1999999999999993</v>
      </c>
      <c r="AE5">
        <v>10</v>
      </c>
      <c r="AF5">
        <v>23.432203389830509</v>
      </c>
      <c r="AG5">
        <v>23.112891521485881</v>
      </c>
      <c r="AH5">
        <v>23.142297508541869</v>
      </c>
      <c r="AI5">
        <f>8.15329066901738*1</f>
        <v>8.1532906690173803</v>
      </c>
      <c r="AJ5">
        <f>1.63245388039608*1</f>
        <v>1.63245388039608</v>
      </c>
      <c r="AK5">
        <v>1</v>
      </c>
      <c r="AL5">
        <v>0</v>
      </c>
      <c r="AM5">
        <v>0</v>
      </c>
    </row>
    <row r="6" spans="1:43" x14ac:dyDescent="0.2">
      <c r="A6" t="s">
        <v>158</v>
      </c>
      <c r="B6" t="s">
        <v>159</v>
      </c>
      <c r="C6" t="s">
        <v>159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16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6.5</v>
      </c>
      <c r="AE6">
        <v>201</v>
      </c>
      <c r="AF6">
        <v>27.050931275512859</v>
      </c>
      <c r="AG6">
        <v>16.543641598323049</v>
      </c>
      <c r="AH6">
        <v>49.11999999999999</v>
      </c>
      <c r="AI6">
        <f>36.4843954991453*1</f>
        <v>36.4843954991453</v>
      </c>
      <c r="AJ6">
        <f>7.31898145525687*1</f>
        <v>7.3189814552568704</v>
      </c>
      <c r="AK6">
        <v>1</v>
      </c>
      <c r="AL6">
        <v>1</v>
      </c>
      <c r="AM6">
        <v>1</v>
      </c>
      <c r="AO6" t="s">
        <v>3</v>
      </c>
      <c r="AP6">
        <f>SUMPRODUCT(Table1[Selected],Table1[GKP])</f>
        <v>2</v>
      </c>
      <c r="AQ6">
        <v>2</v>
      </c>
    </row>
    <row r="7" spans="1:43" hidden="1" x14ac:dyDescent="0.2">
      <c r="A7" t="s">
        <v>56</v>
      </c>
      <c r="B7" t="s">
        <v>57</v>
      </c>
      <c r="C7" t="s">
        <v>57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11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13</v>
      </c>
      <c r="AF7">
        <v>34.361142226166962</v>
      </c>
      <c r="AG7">
        <v>26.007983637096501</v>
      </c>
      <c r="AH7">
        <v>45.3504480003201</v>
      </c>
      <c r="AI7">
        <f>31.0821809065168*1</f>
        <v>31.0821809065168</v>
      </c>
      <c r="AJ7">
        <f>6.37936607918102*1</f>
        <v>6.3793660791810201</v>
      </c>
      <c r="AK7">
        <v>1</v>
      </c>
      <c r="AL7">
        <v>0</v>
      </c>
      <c r="AM7">
        <v>0</v>
      </c>
      <c r="AO7" t="s">
        <v>4</v>
      </c>
      <c r="AP7">
        <f>SUMPRODUCT(Table1[Selected],Table1[DEF])</f>
        <v>5</v>
      </c>
      <c r="AQ7">
        <v>5</v>
      </c>
    </row>
    <row r="8" spans="1:43" hidden="1" x14ac:dyDescent="0.2">
      <c r="A8" t="s">
        <v>58</v>
      </c>
      <c r="B8" t="s">
        <v>59</v>
      </c>
      <c r="C8" t="s">
        <v>59</v>
      </c>
      <c r="D8" t="s">
        <v>4</v>
      </c>
      <c r="E8">
        <v>0</v>
      </c>
      <c r="F8">
        <v>1</v>
      </c>
      <c r="G8">
        <v>0</v>
      </c>
      <c r="H8">
        <v>0</v>
      </c>
      <c r="I8" t="s">
        <v>11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14</v>
      </c>
      <c r="AF8">
        <v>22.04241464903652</v>
      </c>
      <c r="AG8">
        <v>24.034788925944419</v>
      </c>
      <c r="AH8">
        <v>14.54354971123059</v>
      </c>
      <c r="AI8">
        <f>0*0</f>
        <v>0</v>
      </c>
      <c r="AJ8">
        <f>2.21950998495986*0</f>
        <v>0</v>
      </c>
      <c r="AK8">
        <v>0</v>
      </c>
      <c r="AL8">
        <v>1</v>
      </c>
      <c r="AM8">
        <v>0</v>
      </c>
      <c r="AO8" t="s">
        <v>5</v>
      </c>
      <c r="AP8">
        <f>SUMPRODUCT(Table1[Selected],Table1[MID])</f>
        <v>5</v>
      </c>
      <c r="AQ8">
        <v>5</v>
      </c>
    </row>
    <row r="9" spans="1:43" hidden="1" x14ac:dyDescent="0.2">
      <c r="A9" t="s">
        <v>60</v>
      </c>
      <c r="B9" t="s">
        <v>61</v>
      </c>
      <c r="C9" t="s">
        <v>61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6.9</v>
      </c>
      <c r="AE9">
        <v>18</v>
      </c>
      <c r="AF9">
        <v>19.421965317919099</v>
      </c>
      <c r="AG9">
        <v>23.177239848886462</v>
      </c>
      <c r="AH9">
        <v>14.44488466749392</v>
      </c>
      <c r="AI9">
        <f>8.11913077604142*1</f>
        <v>8.1191307760414198</v>
      </c>
      <c r="AJ9">
        <f>1.87189566981016*1</f>
        <v>1.8718956698101601</v>
      </c>
      <c r="AK9">
        <v>1</v>
      </c>
      <c r="AL9">
        <v>0</v>
      </c>
      <c r="AM9">
        <v>0</v>
      </c>
      <c r="AO9" t="s">
        <v>6</v>
      </c>
      <c r="AP9">
        <f>SUMPRODUCT(Table1[Selected],Table1[FWD])</f>
        <v>3</v>
      </c>
      <c r="AQ9">
        <v>3</v>
      </c>
    </row>
    <row r="10" spans="1:43" hidden="1" x14ac:dyDescent="0.2">
      <c r="A10" t="s">
        <v>62</v>
      </c>
      <c r="B10" t="s">
        <v>63</v>
      </c>
      <c r="C10" t="s">
        <v>63</v>
      </c>
      <c r="D10" t="s">
        <v>4</v>
      </c>
      <c r="E10">
        <v>0</v>
      </c>
      <c r="F10">
        <v>1</v>
      </c>
      <c r="G10">
        <v>0</v>
      </c>
      <c r="H10">
        <v>0</v>
      </c>
      <c r="I10" t="s">
        <v>11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6.3</v>
      </c>
      <c r="AE10">
        <v>19</v>
      </c>
      <c r="AF10">
        <v>20.07144279185195</v>
      </c>
      <c r="AG10">
        <v>19.80081717231354</v>
      </c>
      <c r="AH10">
        <v>14.54071956547469</v>
      </c>
      <c r="AI10">
        <f>4.21594502996275*1</f>
        <v>4.2159450299627501</v>
      </c>
      <c r="AJ10">
        <f>0.916149133526095*1</f>
        <v>0.91614913352609495</v>
      </c>
      <c r="AK10">
        <v>1</v>
      </c>
      <c r="AL10">
        <v>0</v>
      </c>
      <c r="AM10">
        <v>0</v>
      </c>
    </row>
    <row r="11" spans="1:43" hidden="1" x14ac:dyDescent="0.2">
      <c r="A11" t="s">
        <v>64</v>
      </c>
      <c r="B11" t="s">
        <v>65</v>
      </c>
      <c r="C11" t="s">
        <v>65</v>
      </c>
      <c r="D11" t="s">
        <v>4</v>
      </c>
      <c r="E11">
        <v>0</v>
      </c>
      <c r="F11">
        <v>1</v>
      </c>
      <c r="G11">
        <v>0</v>
      </c>
      <c r="H11">
        <v>0</v>
      </c>
      <c r="I11" t="s">
        <v>11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4.8</v>
      </c>
      <c r="AE11">
        <v>20</v>
      </c>
      <c r="AF11">
        <v>17.008547008547001</v>
      </c>
      <c r="AG11">
        <v>17.534950004938949</v>
      </c>
      <c r="AH11">
        <v>18.94889180278799</v>
      </c>
      <c r="AI11">
        <f>10.4359064370777*1</f>
        <v>10.435906437077699</v>
      </c>
      <c r="AJ11">
        <f>2.09939771417933*1</f>
        <v>2.0993977141793301</v>
      </c>
      <c r="AK11">
        <v>1</v>
      </c>
      <c r="AL11">
        <v>0</v>
      </c>
      <c r="AM11">
        <v>0</v>
      </c>
      <c r="AO11" t="s">
        <v>7</v>
      </c>
      <c r="AP11">
        <f>SUMPRODUCT(Table1[Selected], -- (Table1[PREV] = 0))</f>
        <v>1</v>
      </c>
    </row>
    <row r="12" spans="1:43" hidden="1" x14ac:dyDescent="0.2">
      <c r="A12" t="s">
        <v>66</v>
      </c>
      <c r="B12" t="s">
        <v>67</v>
      </c>
      <c r="C12" t="s">
        <v>68</v>
      </c>
      <c r="D12" t="s">
        <v>3</v>
      </c>
      <c r="E12">
        <v>1</v>
      </c>
      <c r="F12">
        <v>0</v>
      </c>
      <c r="G12">
        <v>0</v>
      </c>
      <c r="H12">
        <v>0</v>
      </c>
      <c r="I12" t="s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4.3</v>
      </c>
      <c r="AE12">
        <v>21</v>
      </c>
      <c r="AF12">
        <v>17.324115509868388</v>
      </c>
      <c r="AG12">
        <v>19.305743628607178</v>
      </c>
      <c r="AH12">
        <v>13.726678689205549</v>
      </c>
      <c r="AI12">
        <f>11.2944226157656*1</f>
        <v>11.294422615765599</v>
      </c>
      <c r="AJ12">
        <f>2.36845944999687*1</f>
        <v>2.3684594499968701</v>
      </c>
      <c r="AK12">
        <v>1</v>
      </c>
      <c r="AL12">
        <v>0</v>
      </c>
      <c r="AM12">
        <v>0</v>
      </c>
      <c r="AO12" t="s">
        <v>8</v>
      </c>
      <c r="AP12">
        <v>1</v>
      </c>
    </row>
    <row r="13" spans="1:43" hidden="1" x14ac:dyDescent="0.2">
      <c r="A13" t="s">
        <v>69</v>
      </c>
      <c r="B13" t="s">
        <v>70</v>
      </c>
      <c r="C13" t="s">
        <v>70</v>
      </c>
      <c r="D13" t="s">
        <v>5</v>
      </c>
      <c r="E13">
        <v>0</v>
      </c>
      <c r="F13">
        <v>0</v>
      </c>
      <c r="G13">
        <v>1</v>
      </c>
      <c r="H13">
        <v>0</v>
      </c>
      <c r="I13" t="s">
        <v>11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6.7</v>
      </c>
      <c r="AE13">
        <v>22</v>
      </c>
      <c r="AF13">
        <v>16.837103165663041</v>
      </c>
      <c r="AG13">
        <v>27.876012721601558</v>
      </c>
      <c r="AH13">
        <v>4.8666666666666671</v>
      </c>
      <c r="AI13">
        <f>9.42656107630668*1</f>
        <v>9.4265610763066796</v>
      </c>
      <c r="AJ13">
        <f>2.03257252496479*1</f>
        <v>2.0325725249647899</v>
      </c>
      <c r="AK13">
        <v>1</v>
      </c>
      <c r="AL13">
        <v>0</v>
      </c>
      <c r="AM13">
        <v>0</v>
      </c>
    </row>
    <row r="14" spans="1:43" hidden="1" x14ac:dyDescent="0.2">
      <c r="A14" t="s">
        <v>71</v>
      </c>
      <c r="B14" t="s">
        <v>72</v>
      </c>
      <c r="C14" t="s">
        <v>72</v>
      </c>
      <c r="D14" t="s">
        <v>5</v>
      </c>
      <c r="E14">
        <v>0</v>
      </c>
      <c r="F14">
        <v>0</v>
      </c>
      <c r="G14">
        <v>1</v>
      </c>
      <c r="H14">
        <v>0</v>
      </c>
      <c r="I14" t="s">
        <v>12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6.3</v>
      </c>
      <c r="AE14">
        <v>33</v>
      </c>
      <c r="AF14">
        <v>16.19565217391305</v>
      </c>
      <c r="AG14">
        <v>13.70269433422339</v>
      </c>
      <c r="AH14">
        <v>16.430868083195261</v>
      </c>
      <c r="AI14">
        <f>5.00784590345164*1</f>
        <v>5.0078459034516403</v>
      </c>
      <c r="AJ14">
        <f>1.00994019606017*1</f>
        <v>1.0099401960601699</v>
      </c>
      <c r="AK14">
        <v>1</v>
      </c>
      <c r="AL14">
        <v>0</v>
      </c>
      <c r="AM14">
        <v>0</v>
      </c>
      <c r="AO14" t="s">
        <v>9</v>
      </c>
      <c r="AP14">
        <f>((AP11-AP12)+ABS((AP11-AP12)))/2*4</f>
        <v>0</v>
      </c>
    </row>
    <row r="15" spans="1:43" hidden="1" x14ac:dyDescent="0.2">
      <c r="A15" t="s">
        <v>73</v>
      </c>
      <c r="B15" t="s">
        <v>74</v>
      </c>
      <c r="C15" t="s">
        <v>74</v>
      </c>
      <c r="D15" t="s">
        <v>4</v>
      </c>
      <c r="E15">
        <v>0</v>
      </c>
      <c r="F15">
        <v>1</v>
      </c>
      <c r="G15">
        <v>0</v>
      </c>
      <c r="H15">
        <v>0</v>
      </c>
      <c r="I15" t="s">
        <v>12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4.4000000000000004</v>
      </c>
      <c r="AE15">
        <v>37</v>
      </c>
      <c r="AF15">
        <v>11.1864406779661</v>
      </c>
      <c r="AG15">
        <v>13.57346285024901</v>
      </c>
      <c r="AH15">
        <v>10.22860288542595</v>
      </c>
      <c r="AI15">
        <f>8.56561372471762*1</f>
        <v>8.5656137247176201</v>
      </c>
      <c r="AJ15">
        <f>1.49785691397616*1</f>
        <v>1.4978569139761599</v>
      </c>
      <c r="AK15">
        <v>1</v>
      </c>
      <c r="AL15">
        <v>0</v>
      </c>
      <c r="AM15">
        <v>0</v>
      </c>
    </row>
    <row r="16" spans="1:43" hidden="1" x14ac:dyDescent="0.2">
      <c r="A16" t="s">
        <v>75</v>
      </c>
      <c r="B16" t="s">
        <v>76</v>
      </c>
      <c r="C16" t="s">
        <v>76</v>
      </c>
      <c r="D16" t="s">
        <v>5</v>
      </c>
      <c r="E16">
        <v>0</v>
      </c>
      <c r="F16">
        <v>0</v>
      </c>
      <c r="G16">
        <v>1</v>
      </c>
      <c r="H16">
        <v>0</v>
      </c>
      <c r="I16" t="s">
        <v>12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6.5</v>
      </c>
      <c r="AE16">
        <v>39</v>
      </c>
      <c r="AF16">
        <v>18.684210526315798</v>
      </c>
      <c r="AG16">
        <v>24.55417605687288</v>
      </c>
      <c r="AH16">
        <v>14.97132049989389</v>
      </c>
      <c r="AI16">
        <f>27.6434446725039*1</f>
        <v>27.6434446725039</v>
      </c>
      <c r="AJ16">
        <f>4.93315204109791*1</f>
        <v>4.9331520410979097</v>
      </c>
      <c r="AK16">
        <v>1</v>
      </c>
      <c r="AL16">
        <v>0</v>
      </c>
      <c r="AM16">
        <v>0</v>
      </c>
      <c r="AO16" t="s">
        <v>10</v>
      </c>
      <c r="AP16">
        <f>AP2-AP14*5</f>
        <v>353.19358193755426</v>
      </c>
    </row>
    <row r="17" spans="1:43" hidden="1" x14ac:dyDescent="0.2">
      <c r="A17" t="s">
        <v>77</v>
      </c>
      <c r="B17" t="s">
        <v>78</v>
      </c>
      <c r="C17" t="s">
        <v>77</v>
      </c>
      <c r="D17" t="s">
        <v>4</v>
      </c>
      <c r="E17">
        <v>0</v>
      </c>
      <c r="F17">
        <v>1</v>
      </c>
      <c r="G17">
        <v>0</v>
      </c>
      <c r="H17">
        <v>0</v>
      </c>
      <c r="I17" t="s">
        <v>12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4.5</v>
      </c>
      <c r="AE17">
        <v>40</v>
      </c>
      <c r="AF17">
        <v>10.294117647058821</v>
      </c>
      <c r="AG17">
        <v>12.314583107196411</v>
      </c>
      <c r="AH17">
        <v>26.547368421052632</v>
      </c>
      <c r="AI17">
        <f>5.39345368539211*1</f>
        <v>5.3934536853921102</v>
      </c>
      <c r="AJ17">
        <f>0.961378441025006*1</f>
        <v>0.96137844102500603</v>
      </c>
      <c r="AK17">
        <v>1</v>
      </c>
      <c r="AL17">
        <v>0</v>
      </c>
      <c r="AM17">
        <v>0</v>
      </c>
    </row>
    <row r="18" spans="1:43" hidden="1" x14ac:dyDescent="0.2">
      <c r="A18" t="s">
        <v>79</v>
      </c>
      <c r="B18" t="s">
        <v>80</v>
      </c>
      <c r="C18" t="s">
        <v>80</v>
      </c>
      <c r="D18" t="s">
        <v>4</v>
      </c>
      <c r="E18">
        <v>0</v>
      </c>
      <c r="F18">
        <v>1</v>
      </c>
      <c r="G18">
        <v>0</v>
      </c>
      <c r="H18">
        <v>0</v>
      </c>
      <c r="I18" t="s">
        <v>12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4.5999999999999996</v>
      </c>
      <c r="AE18">
        <v>41</v>
      </c>
      <c r="AF18">
        <v>13.001615478771431</v>
      </c>
      <c r="AG18">
        <v>16.73470544183451</v>
      </c>
      <c r="AH18">
        <v>18.916116347078329</v>
      </c>
      <c r="AI18">
        <f>16.0898609148627*1</f>
        <v>16.089860914862701</v>
      </c>
      <c r="AJ18">
        <f>2.55306319945243*1</f>
        <v>2.55306319945243</v>
      </c>
      <c r="AK18">
        <v>1</v>
      </c>
      <c r="AL18">
        <v>0</v>
      </c>
      <c r="AM18">
        <v>0</v>
      </c>
      <c r="AO18" t="s">
        <v>11</v>
      </c>
      <c r="AP18">
        <f>SUMPRODUCT(Table1[Selected],Table1[ARS])</f>
        <v>2</v>
      </c>
      <c r="AQ18">
        <v>3</v>
      </c>
    </row>
    <row r="19" spans="1:43" x14ac:dyDescent="0.2">
      <c r="A19" t="s">
        <v>240</v>
      </c>
      <c r="B19" t="s">
        <v>241</v>
      </c>
      <c r="C19" t="s">
        <v>242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7.9</v>
      </c>
      <c r="AE19">
        <v>390</v>
      </c>
      <c r="AF19">
        <v>20.217391304347821</v>
      </c>
      <c r="AG19">
        <v>16.409681470904161</v>
      </c>
      <c r="AH19">
        <v>23.367654905966319</v>
      </c>
      <c r="AI19">
        <f>30.7976508962857*1</f>
        <v>30.797650896285699</v>
      </c>
      <c r="AJ19">
        <f>6.50300653887536*1</f>
        <v>6.5030065388753604</v>
      </c>
      <c r="AK19">
        <v>1</v>
      </c>
      <c r="AL19">
        <v>1</v>
      </c>
      <c r="AM19">
        <v>1</v>
      </c>
      <c r="AO19" t="s">
        <v>12</v>
      </c>
      <c r="AP19">
        <f>SUMPRODUCT(Table1[Selected],Table1[AVL])</f>
        <v>1</v>
      </c>
      <c r="AQ19">
        <v>3</v>
      </c>
    </row>
    <row r="20" spans="1:43" hidden="1" x14ac:dyDescent="0.2">
      <c r="A20" t="s">
        <v>84</v>
      </c>
      <c r="B20" t="s">
        <v>85</v>
      </c>
      <c r="C20" t="s">
        <v>86</v>
      </c>
      <c r="D20" t="s">
        <v>4</v>
      </c>
      <c r="E20">
        <v>0</v>
      </c>
      <c r="F20">
        <v>1</v>
      </c>
      <c r="G20">
        <v>0</v>
      </c>
      <c r="H20">
        <v>0</v>
      </c>
      <c r="I20" t="s">
        <v>12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4.5</v>
      </c>
      <c r="AE20">
        <v>49</v>
      </c>
      <c r="AF20">
        <v>13.9329268292683</v>
      </c>
      <c r="AG20">
        <v>14.624370175889389</v>
      </c>
      <c r="AH20">
        <v>13.54250988223991</v>
      </c>
      <c r="AI20">
        <f>9.60201956712116*1</f>
        <v>9.6020195671211592</v>
      </c>
      <c r="AJ20">
        <f>1.87013323874639*1</f>
        <v>1.87013323874639</v>
      </c>
      <c r="AK20">
        <v>1</v>
      </c>
      <c r="AL20">
        <v>0</v>
      </c>
      <c r="AM20">
        <v>0</v>
      </c>
      <c r="AO20" t="s">
        <v>13</v>
      </c>
      <c r="AP20">
        <f>SUMPRODUCT(Table1[Selected],Table1[BOU])</f>
        <v>0</v>
      </c>
      <c r="AQ20">
        <v>3</v>
      </c>
    </row>
    <row r="21" spans="1:43" hidden="1" x14ac:dyDescent="0.2">
      <c r="A21" t="s">
        <v>87</v>
      </c>
      <c r="B21" t="s">
        <v>88</v>
      </c>
      <c r="C21" t="s">
        <v>89</v>
      </c>
      <c r="D21" t="s">
        <v>3</v>
      </c>
      <c r="E21">
        <v>1</v>
      </c>
      <c r="F21">
        <v>0</v>
      </c>
      <c r="G21">
        <v>0</v>
      </c>
      <c r="H21">
        <v>0</v>
      </c>
      <c r="I21" t="s">
        <v>12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52</v>
      </c>
      <c r="AF21">
        <v>17.33766233766233</v>
      </c>
      <c r="AG21">
        <v>14.137729344713931</v>
      </c>
      <c r="AH21">
        <v>22.281888037299801</v>
      </c>
      <c r="AI21">
        <f>12.1235676007895*1</f>
        <v>12.123567600789499</v>
      </c>
      <c r="AJ21">
        <f>2.11464556263723*1</f>
        <v>2.11464556263723</v>
      </c>
      <c r="AK21">
        <v>1</v>
      </c>
      <c r="AL21">
        <v>0</v>
      </c>
      <c r="AM21">
        <v>0</v>
      </c>
      <c r="AO21" t="s">
        <v>14</v>
      </c>
      <c r="AP21">
        <f>SUMPRODUCT(Table1[Selected],Table1[BRE])</f>
        <v>1</v>
      </c>
      <c r="AQ21">
        <v>3</v>
      </c>
    </row>
    <row r="22" spans="1:43" hidden="1" x14ac:dyDescent="0.2">
      <c r="A22" t="s">
        <v>90</v>
      </c>
      <c r="B22" t="s">
        <v>91</v>
      </c>
      <c r="C22" t="s">
        <v>90</v>
      </c>
      <c r="D22" t="s">
        <v>4</v>
      </c>
      <c r="E22">
        <v>0</v>
      </c>
      <c r="F22">
        <v>1</v>
      </c>
      <c r="G22">
        <v>0</v>
      </c>
      <c r="H22">
        <v>0</v>
      </c>
      <c r="I22" t="s">
        <v>12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4.5</v>
      </c>
      <c r="AE22">
        <v>57</v>
      </c>
      <c r="AF22">
        <v>13.648648648648649</v>
      </c>
      <c r="AG22">
        <v>15.015278858295259</v>
      </c>
      <c r="AH22">
        <v>19.64</v>
      </c>
      <c r="AI22">
        <f>6.97059913553555*1</f>
        <v>6.9705991355355499</v>
      </c>
      <c r="AJ22">
        <f>1.20909793001836*1</f>
        <v>1.20909793001836</v>
      </c>
      <c r="AK22">
        <v>1</v>
      </c>
      <c r="AL22">
        <v>0</v>
      </c>
      <c r="AM22">
        <v>0</v>
      </c>
      <c r="AO22" t="s">
        <v>15</v>
      </c>
      <c r="AP22">
        <f>SUMPRODUCT(Table1[Selected],Table1[BHA])</f>
        <v>0</v>
      </c>
      <c r="AQ22">
        <v>3</v>
      </c>
    </row>
    <row r="23" spans="1:43" hidden="1" x14ac:dyDescent="0.2">
      <c r="A23" t="s">
        <v>92</v>
      </c>
      <c r="B23" t="s">
        <v>93</v>
      </c>
      <c r="C23" t="s">
        <v>93</v>
      </c>
      <c r="D23" t="s">
        <v>5</v>
      </c>
      <c r="E23">
        <v>0</v>
      </c>
      <c r="F23">
        <v>0</v>
      </c>
      <c r="G23">
        <v>1</v>
      </c>
      <c r="H23">
        <v>0</v>
      </c>
      <c r="I23" t="s">
        <v>12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5.5</v>
      </c>
      <c r="AE23">
        <v>62</v>
      </c>
      <c r="AF23">
        <v>16.15591397849461</v>
      </c>
      <c r="AG23">
        <v>16.922729775194391</v>
      </c>
      <c r="AH23">
        <v>27.33300523727366</v>
      </c>
      <c r="AI23">
        <f>18.2156006572272*1</f>
        <v>18.215600657227199</v>
      </c>
      <c r="AJ23">
        <f>3.23918978213827*1</f>
        <v>3.2391897821382698</v>
      </c>
      <c r="AK23">
        <v>1</v>
      </c>
      <c r="AL23">
        <v>0</v>
      </c>
      <c r="AM23">
        <v>0</v>
      </c>
      <c r="AO23" t="s">
        <v>16</v>
      </c>
      <c r="AP23">
        <f>SUMPRODUCT(Table1[Selected],Table1[CHE])</f>
        <v>2</v>
      </c>
      <c r="AQ23">
        <v>3</v>
      </c>
    </row>
    <row r="24" spans="1:43" hidden="1" x14ac:dyDescent="0.2">
      <c r="A24" t="s">
        <v>94</v>
      </c>
      <c r="B24" t="s">
        <v>95</v>
      </c>
      <c r="C24" t="s">
        <v>95</v>
      </c>
      <c r="D24" t="s">
        <v>6</v>
      </c>
      <c r="E24">
        <v>0</v>
      </c>
      <c r="F24">
        <v>0</v>
      </c>
      <c r="G24">
        <v>0</v>
      </c>
      <c r="H24">
        <v>1</v>
      </c>
      <c r="I24" t="s">
        <v>12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9.1</v>
      </c>
      <c r="AE24">
        <v>63</v>
      </c>
      <c r="AF24">
        <v>28.89522363704182</v>
      </c>
      <c r="AG24">
        <v>22.526728281699761</v>
      </c>
      <c r="AH24">
        <v>29.504740440970942</v>
      </c>
      <c r="AI24">
        <f>21.8481636916463*1</f>
        <v>21.848163691646299</v>
      </c>
      <c r="AJ24">
        <f>4.47830787479719*1</f>
        <v>4.4783078747971903</v>
      </c>
      <c r="AK24">
        <v>1</v>
      </c>
      <c r="AL24">
        <v>0</v>
      </c>
      <c r="AM24">
        <v>0</v>
      </c>
      <c r="AO24" t="s">
        <v>17</v>
      </c>
      <c r="AP24">
        <f>SUMPRODUCT(Table1[Selected],Table1[CRY])</f>
        <v>0</v>
      </c>
      <c r="AQ24">
        <v>3</v>
      </c>
    </row>
    <row r="25" spans="1:43" hidden="1" x14ac:dyDescent="0.2">
      <c r="A25" t="s">
        <v>96</v>
      </c>
      <c r="B25" t="s">
        <v>97</v>
      </c>
      <c r="C25" t="s">
        <v>97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12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5.0999999999999996</v>
      </c>
      <c r="AE25">
        <v>64</v>
      </c>
      <c r="AF25">
        <v>12.3221375003061</v>
      </c>
      <c r="AG25">
        <v>11.68504351256318</v>
      </c>
      <c r="AH25">
        <v>13.061191648882341</v>
      </c>
      <c r="AI25">
        <f>17.7144531851763*1</f>
        <v>17.7144531851763</v>
      </c>
      <c r="AJ25">
        <f>3.62113973177302*1</f>
        <v>3.6211397317730198</v>
      </c>
      <c r="AK25">
        <v>1</v>
      </c>
      <c r="AL25">
        <v>0</v>
      </c>
      <c r="AM25">
        <v>0</v>
      </c>
      <c r="AO25" t="s">
        <v>18</v>
      </c>
      <c r="AP25">
        <f>SUMPRODUCT(Table1[Selected],Table1[EVE])</f>
        <v>0</v>
      </c>
      <c r="AQ25">
        <v>3</v>
      </c>
    </row>
    <row r="26" spans="1:43" hidden="1" x14ac:dyDescent="0.2">
      <c r="A26" t="s">
        <v>98</v>
      </c>
      <c r="B26" t="s">
        <v>99</v>
      </c>
      <c r="C26" t="s">
        <v>99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4.9000000000000004</v>
      </c>
      <c r="AE26">
        <v>74</v>
      </c>
      <c r="AF26">
        <v>10.743243243243249</v>
      </c>
      <c r="AG26">
        <v>9.9770194240431405</v>
      </c>
      <c r="AH26">
        <v>14.637222222222221</v>
      </c>
      <c r="AI26">
        <f>8.00252251132751*1</f>
        <v>8.0025225113275091</v>
      </c>
      <c r="AJ26">
        <f>1.71795635081083*1</f>
        <v>1.71795635081083</v>
      </c>
      <c r="AK26">
        <v>1</v>
      </c>
      <c r="AL26">
        <v>0</v>
      </c>
      <c r="AM26">
        <v>0</v>
      </c>
      <c r="AO26" t="s">
        <v>19</v>
      </c>
      <c r="AP26">
        <f>SUMPRODUCT(Table1[Selected],Table1[FUL])</f>
        <v>1</v>
      </c>
      <c r="AQ26">
        <v>3</v>
      </c>
    </row>
    <row r="27" spans="1:43" hidden="1" x14ac:dyDescent="0.2">
      <c r="A27" t="s">
        <v>100</v>
      </c>
      <c r="B27" t="s">
        <v>101</v>
      </c>
      <c r="C27" t="s">
        <v>101</v>
      </c>
      <c r="D27" t="s">
        <v>5</v>
      </c>
      <c r="E27">
        <v>0</v>
      </c>
      <c r="F27">
        <v>0</v>
      </c>
      <c r="G27">
        <v>1</v>
      </c>
      <c r="H27">
        <v>0</v>
      </c>
      <c r="I27" t="s">
        <v>13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75</v>
      </c>
      <c r="AF27">
        <v>15.11830005237219</v>
      </c>
      <c r="AG27">
        <v>7.4994249825247543</v>
      </c>
      <c r="AH27">
        <v>23.865380175380171</v>
      </c>
      <c r="AI27">
        <f>16.9029723120086*1</f>
        <v>16.9029723120086</v>
      </c>
      <c r="AJ27">
        <f>3.87742140555983*1</f>
        <v>3.8774214055598302</v>
      </c>
      <c r="AK27">
        <v>1</v>
      </c>
      <c r="AL27">
        <v>0</v>
      </c>
      <c r="AM27">
        <v>0</v>
      </c>
      <c r="AO27" t="s">
        <v>20</v>
      </c>
      <c r="AP27">
        <f>SUMPRODUCT(Table1[Selected],Table1[IPS])</f>
        <v>0</v>
      </c>
      <c r="AQ27">
        <v>3</v>
      </c>
    </row>
    <row r="28" spans="1:43" hidden="1" x14ac:dyDescent="0.2">
      <c r="A28" t="s">
        <v>102</v>
      </c>
      <c r="B28" t="s">
        <v>103</v>
      </c>
      <c r="C28" t="s">
        <v>103</v>
      </c>
      <c r="D28" t="s">
        <v>4</v>
      </c>
      <c r="E28">
        <v>0</v>
      </c>
      <c r="F28">
        <v>1</v>
      </c>
      <c r="G28">
        <v>0</v>
      </c>
      <c r="H28">
        <v>0</v>
      </c>
      <c r="I28" t="s">
        <v>13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4.4000000000000004</v>
      </c>
      <c r="AE28">
        <v>81</v>
      </c>
      <c r="AF28">
        <v>10.285714285714279</v>
      </c>
      <c r="AG28">
        <v>10.754672053436749</v>
      </c>
      <c r="AH28">
        <v>19.835760648423921</v>
      </c>
      <c r="AI28">
        <f>7.39107139210528*1</f>
        <v>7.39107139210528</v>
      </c>
      <c r="AJ28">
        <f>1.38564146801122*1</f>
        <v>1.3856414680112199</v>
      </c>
      <c r="AK28">
        <v>1</v>
      </c>
      <c r="AL28">
        <v>0</v>
      </c>
      <c r="AM28">
        <v>0</v>
      </c>
      <c r="AO28" t="s">
        <v>21</v>
      </c>
      <c r="AP28">
        <f>SUMPRODUCT(Table1[Selected],Table1[LEI])</f>
        <v>0</v>
      </c>
      <c r="AQ28">
        <v>3</v>
      </c>
    </row>
    <row r="29" spans="1:43" hidden="1" x14ac:dyDescent="0.2">
      <c r="A29" t="s">
        <v>104</v>
      </c>
      <c r="B29" t="s">
        <v>105</v>
      </c>
      <c r="C29" t="s">
        <v>105</v>
      </c>
      <c r="D29" t="s">
        <v>5</v>
      </c>
      <c r="E29">
        <v>0</v>
      </c>
      <c r="F29">
        <v>0</v>
      </c>
      <c r="G29">
        <v>1</v>
      </c>
      <c r="H29">
        <v>0</v>
      </c>
      <c r="I29" t="s">
        <v>13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5.3</v>
      </c>
      <c r="AE29">
        <v>82</v>
      </c>
      <c r="AF29">
        <v>15.512820512820509</v>
      </c>
      <c r="AG29">
        <v>13.9539603030357</v>
      </c>
      <c r="AH29">
        <v>31.4</v>
      </c>
      <c r="AI29">
        <f>7.81696338858264*1</f>
        <v>7.8169633885826402</v>
      </c>
      <c r="AJ29">
        <f>1.56115267456294*1</f>
        <v>1.56115267456294</v>
      </c>
      <c r="AK29">
        <v>1</v>
      </c>
      <c r="AL29">
        <v>0</v>
      </c>
      <c r="AM29">
        <v>0</v>
      </c>
      <c r="AO29" t="s">
        <v>22</v>
      </c>
      <c r="AP29">
        <f>SUMPRODUCT(Table1[Selected],Table1[LIV])</f>
        <v>3</v>
      </c>
      <c r="AQ29">
        <v>3</v>
      </c>
    </row>
    <row r="30" spans="1:43" hidden="1" x14ac:dyDescent="0.2">
      <c r="A30" t="s">
        <v>106</v>
      </c>
      <c r="B30" t="s">
        <v>107</v>
      </c>
      <c r="C30" t="s">
        <v>107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5.6</v>
      </c>
      <c r="AE30">
        <v>88</v>
      </c>
      <c r="AF30">
        <v>15.71428571428571</v>
      </c>
      <c r="AG30">
        <v>14.661885035525041</v>
      </c>
      <c r="AH30">
        <v>14</v>
      </c>
      <c r="AI30">
        <f>9.23874024094463*1</f>
        <v>9.2387402409446295</v>
      </c>
      <c r="AJ30">
        <f>1.87181793934625*1</f>
        <v>1.87181793934625</v>
      </c>
      <c r="AK30">
        <v>1</v>
      </c>
      <c r="AL30">
        <v>0</v>
      </c>
      <c r="AM30">
        <v>0</v>
      </c>
      <c r="AO30" t="s">
        <v>23</v>
      </c>
      <c r="AP30">
        <f>SUMPRODUCT(Table1[Selected],Table1[MCI])</f>
        <v>0</v>
      </c>
      <c r="AQ30">
        <v>3</v>
      </c>
    </row>
    <row r="31" spans="1:43" hidden="1" x14ac:dyDescent="0.2">
      <c r="A31" t="s">
        <v>108</v>
      </c>
      <c r="B31" t="s">
        <v>109</v>
      </c>
      <c r="C31" t="s">
        <v>109</v>
      </c>
      <c r="D31" t="s">
        <v>4</v>
      </c>
      <c r="E31">
        <v>0</v>
      </c>
      <c r="F31">
        <v>1</v>
      </c>
      <c r="G31">
        <v>0</v>
      </c>
      <c r="H31">
        <v>0</v>
      </c>
      <c r="I31" t="s">
        <v>13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4.8</v>
      </c>
      <c r="AE31">
        <v>89</v>
      </c>
      <c r="AF31">
        <v>16.04874305659278</v>
      </c>
      <c r="AG31">
        <v>12.83238196898971</v>
      </c>
      <c r="AH31">
        <v>18.290406491656491</v>
      </c>
      <c r="AI31">
        <f>4.72110933895799*1</f>
        <v>4.7211093389579899</v>
      </c>
      <c r="AJ31">
        <f>1.05792869830266*1</f>
        <v>1.0579286983026599</v>
      </c>
      <c r="AK31">
        <v>1</v>
      </c>
      <c r="AL31">
        <v>0</v>
      </c>
      <c r="AM31">
        <v>0</v>
      </c>
      <c r="AO31" t="s">
        <v>24</v>
      </c>
      <c r="AP31">
        <f>SUMPRODUCT(Table1[Selected],Table1[MUN])</f>
        <v>2</v>
      </c>
      <c r="AQ31">
        <v>3</v>
      </c>
    </row>
    <row r="32" spans="1:43" hidden="1" x14ac:dyDescent="0.2">
      <c r="A32" t="s">
        <v>110</v>
      </c>
      <c r="B32" t="s">
        <v>111</v>
      </c>
      <c r="C32" t="s">
        <v>111</v>
      </c>
      <c r="D32" t="s">
        <v>4</v>
      </c>
      <c r="E32">
        <v>0</v>
      </c>
      <c r="F32">
        <v>1</v>
      </c>
      <c r="G32">
        <v>0</v>
      </c>
      <c r="H32">
        <v>0</v>
      </c>
      <c r="I32" t="s">
        <v>13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4.5</v>
      </c>
      <c r="AE32">
        <v>91</v>
      </c>
      <c r="AF32">
        <v>12.016806722689079</v>
      </c>
      <c r="AG32">
        <v>11.663909709725599</v>
      </c>
      <c r="AH32">
        <v>9.5955539255503837</v>
      </c>
      <c r="AI32">
        <f>8.47486680447085*1</f>
        <v>8.4748668044708495</v>
      </c>
      <c r="AJ32">
        <f>1.74556550293074*1</f>
        <v>1.74556550293074</v>
      </c>
      <c r="AK32">
        <v>1</v>
      </c>
      <c r="AL32">
        <v>0</v>
      </c>
      <c r="AM32">
        <v>0</v>
      </c>
      <c r="AO32" t="s">
        <v>25</v>
      </c>
      <c r="AP32">
        <f>SUMPRODUCT(Table1[Selected],Table1[NEW])</f>
        <v>1</v>
      </c>
      <c r="AQ32">
        <v>3</v>
      </c>
    </row>
    <row r="33" spans="1:43" hidden="1" x14ac:dyDescent="0.2">
      <c r="A33" t="s">
        <v>112</v>
      </c>
      <c r="B33" t="s">
        <v>113</v>
      </c>
      <c r="C33" t="s">
        <v>113</v>
      </c>
      <c r="D33" t="s">
        <v>5</v>
      </c>
      <c r="E33">
        <v>0</v>
      </c>
      <c r="F33">
        <v>0</v>
      </c>
      <c r="G33">
        <v>1</v>
      </c>
      <c r="H33">
        <v>0</v>
      </c>
      <c r="I33" t="s">
        <v>13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5.5</v>
      </c>
      <c r="AE33">
        <v>92</v>
      </c>
      <c r="AF33">
        <v>17.03389830508474</v>
      </c>
      <c r="AG33">
        <v>20.20268243207299</v>
      </c>
      <c r="AH33">
        <v>11.532435617470581</v>
      </c>
      <c r="AI33">
        <f>11.5165656168393*1</f>
        <v>11.5165656168393</v>
      </c>
      <c r="AJ33">
        <f>2.09281258716528*1</f>
        <v>2.0928125871652798</v>
      </c>
      <c r="AK33">
        <v>1</v>
      </c>
      <c r="AL33">
        <v>0</v>
      </c>
      <c r="AM33">
        <v>0</v>
      </c>
      <c r="AO33" t="s">
        <v>26</v>
      </c>
      <c r="AP33">
        <f>SUMPRODUCT(Table1[Selected],Table1[NFO])</f>
        <v>1</v>
      </c>
      <c r="AQ33">
        <v>3</v>
      </c>
    </row>
    <row r="34" spans="1:43" hidden="1" x14ac:dyDescent="0.2">
      <c r="A34" t="s">
        <v>114</v>
      </c>
      <c r="B34" t="s">
        <v>115</v>
      </c>
      <c r="C34" t="s">
        <v>115</v>
      </c>
      <c r="D34" t="s">
        <v>4</v>
      </c>
      <c r="E34">
        <v>0</v>
      </c>
      <c r="F34">
        <v>1</v>
      </c>
      <c r="G34">
        <v>0</v>
      </c>
      <c r="H34">
        <v>0</v>
      </c>
      <c r="I34" t="s">
        <v>13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4.4000000000000004</v>
      </c>
      <c r="AE34">
        <v>94</v>
      </c>
      <c r="AF34">
        <v>11.25</v>
      </c>
      <c r="AG34">
        <v>12.793084486958399</v>
      </c>
      <c r="AH34">
        <v>8.4422151776671939</v>
      </c>
      <c r="AI34">
        <f>5.18124168043437*1</f>
        <v>5.1812416804343702</v>
      </c>
      <c r="AJ34">
        <f>1.10218491591302*1</f>
        <v>1.1021849159130199</v>
      </c>
      <c r="AK34">
        <v>1</v>
      </c>
      <c r="AL34">
        <v>0</v>
      </c>
      <c r="AM34">
        <v>0</v>
      </c>
      <c r="AO34" t="s">
        <v>27</v>
      </c>
      <c r="AP34">
        <f>SUMPRODUCT(Table1[Selected],Table1[SOU])</f>
        <v>0</v>
      </c>
      <c r="AQ34">
        <v>3</v>
      </c>
    </row>
    <row r="35" spans="1:43" hidden="1" x14ac:dyDescent="0.2">
      <c r="A35" t="s">
        <v>116</v>
      </c>
      <c r="B35" t="s">
        <v>117</v>
      </c>
      <c r="C35" t="s">
        <v>117</v>
      </c>
      <c r="D35" t="s">
        <v>4</v>
      </c>
      <c r="E35">
        <v>0</v>
      </c>
      <c r="F35">
        <v>1</v>
      </c>
      <c r="G35">
        <v>0</v>
      </c>
      <c r="H35">
        <v>0</v>
      </c>
      <c r="I35" t="s">
        <v>14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4.5</v>
      </c>
      <c r="AE35">
        <v>102</v>
      </c>
      <c r="AF35">
        <v>12.650602409638561</v>
      </c>
      <c r="AG35">
        <v>9.3670986711672271</v>
      </c>
      <c r="AH35">
        <v>12.65240674420475</v>
      </c>
      <c r="AI35">
        <f>9.44564894085432*1</f>
        <v>9.4456489408543192</v>
      </c>
      <c r="AJ35">
        <f>1.99539945015443*1</f>
        <v>1.9953994501544301</v>
      </c>
      <c r="AK35">
        <v>1</v>
      </c>
      <c r="AL35">
        <v>0</v>
      </c>
      <c r="AM35">
        <v>0</v>
      </c>
      <c r="AO35" t="s">
        <v>28</v>
      </c>
      <c r="AP35">
        <f>SUMPRODUCT(Table1[Selected],Table1[TOT])</f>
        <v>1</v>
      </c>
      <c r="AQ35">
        <v>3</v>
      </c>
    </row>
    <row r="36" spans="1:43" hidden="1" x14ac:dyDescent="0.2">
      <c r="A36" t="s">
        <v>118</v>
      </c>
      <c r="B36" t="s">
        <v>119</v>
      </c>
      <c r="C36" t="s">
        <v>119</v>
      </c>
      <c r="D36" t="s">
        <v>5</v>
      </c>
      <c r="E36">
        <v>0</v>
      </c>
      <c r="F36">
        <v>0</v>
      </c>
      <c r="G36">
        <v>1</v>
      </c>
      <c r="H36">
        <v>0</v>
      </c>
      <c r="I36" t="s">
        <v>14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103</v>
      </c>
      <c r="AF36">
        <v>16.63123200866205</v>
      </c>
      <c r="AG36">
        <v>6.7368773405912306</v>
      </c>
      <c r="AH36">
        <v>35.088881530362123</v>
      </c>
      <c r="AI36">
        <f>15.9174018668494*1</f>
        <v>15.917401866849399</v>
      </c>
      <c r="AJ36">
        <f>2.68763506209858*1</f>
        <v>2.6876350620985798</v>
      </c>
      <c r="AK36">
        <v>1</v>
      </c>
      <c r="AL36">
        <v>0</v>
      </c>
      <c r="AM36">
        <v>0</v>
      </c>
      <c r="AO36" t="s">
        <v>29</v>
      </c>
      <c r="AP36">
        <f>SUMPRODUCT(Table1[Selected],Table1[WHU])</f>
        <v>0</v>
      </c>
      <c r="AQ36">
        <v>3</v>
      </c>
    </row>
    <row r="37" spans="1:43" hidden="1" x14ac:dyDescent="0.2">
      <c r="A37" t="s">
        <v>120</v>
      </c>
      <c r="B37" t="s">
        <v>121</v>
      </c>
      <c r="C37" t="s">
        <v>121</v>
      </c>
      <c r="D37" t="s">
        <v>3</v>
      </c>
      <c r="E37">
        <v>1</v>
      </c>
      <c r="F37">
        <v>0</v>
      </c>
      <c r="G37">
        <v>0</v>
      </c>
      <c r="H37">
        <v>0</v>
      </c>
      <c r="I37" t="s">
        <v>14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4.5</v>
      </c>
      <c r="AE37">
        <v>105</v>
      </c>
      <c r="AF37">
        <v>16.02272727272727</v>
      </c>
      <c r="AG37">
        <v>19.161487222680741</v>
      </c>
      <c r="AH37">
        <v>14.4</v>
      </c>
      <c r="AI37">
        <f>5.77822141678968*1</f>
        <v>5.7782214167896804</v>
      </c>
      <c r="AJ37">
        <f>1.3624467019638*1</f>
        <v>1.3624467019638</v>
      </c>
      <c r="AK37">
        <v>1</v>
      </c>
      <c r="AL37">
        <v>0</v>
      </c>
      <c r="AM37">
        <v>0</v>
      </c>
      <c r="AO37" t="s">
        <v>30</v>
      </c>
      <c r="AP37">
        <f>SUMPRODUCT(Table1[Selected],Table1[WOL])</f>
        <v>0</v>
      </c>
      <c r="AQ37">
        <v>3</v>
      </c>
    </row>
    <row r="38" spans="1:43" hidden="1" x14ac:dyDescent="0.2">
      <c r="A38" t="s">
        <v>122</v>
      </c>
      <c r="B38" t="s">
        <v>123</v>
      </c>
      <c r="C38" t="s">
        <v>123</v>
      </c>
      <c r="D38" t="s">
        <v>5</v>
      </c>
      <c r="E38">
        <v>0</v>
      </c>
      <c r="F38">
        <v>0</v>
      </c>
      <c r="G38">
        <v>1</v>
      </c>
      <c r="H38">
        <v>0</v>
      </c>
      <c r="I38" t="s">
        <v>14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4.9000000000000004</v>
      </c>
      <c r="AE38">
        <v>108</v>
      </c>
      <c r="AF38">
        <v>12.962962962962971</v>
      </c>
      <c r="AG38">
        <v>12.32650150831785</v>
      </c>
      <c r="AH38">
        <v>11.58806591596414</v>
      </c>
      <c r="AI38">
        <f>10.9572688882902*1</f>
        <v>10.9572688882902</v>
      </c>
      <c r="AJ38">
        <f>2.15996763986531*1</f>
        <v>2.15996763986531</v>
      </c>
      <c r="AK38">
        <v>1</v>
      </c>
      <c r="AL38">
        <v>0</v>
      </c>
      <c r="AM38">
        <v>0</v>
      </c>
    </row>
    <row r="39" spans="1:43" hidden="1" x14ac:dyDescent="0.2">
      <c r="A39" t="s">
        <v>124</v>
      </c>
      <c r="B39" t="s">
        <v>125</v>
      </c>
      <c r="C39" t="s">
        <v>125</v>
      </c>
      <c r="D39" t="s">
        <v>5</v>
      </c>
      <c r="E39">
        <v>0</v>
      </c>
      <c r="F39">
        <v>0</v>
      </c>
      <c r="G39">
        <v>1</v>
      </c>
      <c r="H39">
        <v>0</v>
      </c>
      <c r="I39" t="s">
        <v>14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5.3</v>
      </c>
      <c r="AE39">
        <v>109</v>
      </c>
      <c r="AF39">
        <v>14.994314332958689</v>
      </c>
      <c r="AG39">
        <v>12.17733131371234</v>
      </c>
      <c r="AH39">
        <v>15.243141491383639</v>
      </c>
      <c r="AI39">
        <f>7.55235972688331*1</f>
        <v>7.55235972688331</v>
      </c>
      <c r="AJ39">
        <f>1.32276916762788*1</f>
        <v>1.3227691676278801</v>
      </c>
      <c r="AK39">
        <v>1</v>
      </c>
      <c r="AL39">
        <v>0</v>
      </c>
      <c r="AM39">
        <v>0</v>
      </c>
    </row>
    <row r="40" spans="1:43" hidden="1" x14ac:dyDescent="0.2">
      <c r="A40" t="s">
        <v>126</v>
      </c>
      <c r="B40" t="s">
        <v>127</v>
      </c>
      <c r="C40" t="s">
        <v>127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14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112</v>
      </c>
      <c r="AF40">
        <v>11.170212765957441</v>
      </c>
      <c r="AG40">
        <v>9.7783757955641466</v>
      </c>
      <c r="AH40">
        <v>25.714285714285719</v>
      </c>
      <c r="AI40">
        <f>4.89912985294416*1</f>
        <v>4.89912985294416</v>
      </c>
      <c r="AJ40">
        <f>0.912171632001938*1</f>
        <v>0.91217163200193796</v>
      </c>
      <c r="AK40">
        <v>1</v>
      </c>
      <c r="AL40">
        <v>0</v>
      </c>
      <c r="AM40">
        <v>0</v>
      </c>
    </row>
    <row r="41" spans="1:43" x14ac:dyDescent="0.2">
      <c r="A41" t="s">
        <v>165</v>
      </c>
      <c r="B41" t="s">
        <v>306</v>
      </c>
      <c r="C41" t="s">
        <v>306</v>
      </c>
      <c r="D41" t="s">
        <v>6</v>
      </c>
      <c r="E41">
        <v>0</v>
      </c>
      <c r="F41">
        <v>0</v>
      </c>
      <c r="G41">
        <v>0</v>
      </c>
      <c r="H41">
        <v>1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6.3</v>
      </c>
      <c r="AE41">
        <v>520</v>
      </c>
      <c r="AF41">
        <v>19.04242317881998</v>
      </c>
      <c r="AG41">
        <v>16.338504607804921</v>
      </c>
      <c r="AH41">
        <v>31.88592962529432</v>
      </c>
      <c r="AI41">
        <f>32.4049615071401*1</f>
        <v>32.404961507140101</v>
      </c>
      <c r="AJ41">
        <f>6.38998420977582*1</f>
        <v>6.3899842097758199</v>
      </c>
      <c r="AK41">
        <v>1</v>
      </c>
      <c r="AL41">
        <v>1</v>
      </c>
      <c r="AM41">
        <v>1</v>
      </c>
    </row>
    <row r="42" spans="1:43" hidden="1" x14ac:dyDescent="0.2">
      <c r="A42" t="s">
        <v>130</v>
      </c>
      <c r="B42" t="s">
        <v>131</v>
      </c>
      <c r="C42" t="s">
        <v>131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14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4.8</v>
      </c>
      <c r="AE42">
        <v>115</v>
      </c>
      <c r="AF42">
        <v>14.15730337078652</v>
      </c>
      <c r="AG42">
        <v>13.760109032995111</v>
      </c>
      <c r="AH42">
        <v>15.52739794272949</v>
      </c>
      <c r="AI42">
        <f>9.79649500078614*1</f>
        <v>9.7964950007861393</v>
      </c>
      <c r="AJ42">
        <f>1.80697270643375*1</f>
        <v>1.80697270643375</v>
      </c>
      <c r="AK42">
        <v>1</v>
      </c>
      <c r="AL42">
        <v>0</v>
      </c>
      <c r="AM42">
        <v>0</v>
      </c>
    </row>
    <row r="43" spans="1:43" hidden="1" x14ac:dyDescent="0.2">
      <c r="A43" t="s">
        <v>132</v>
      </c>
      <c r="B43" t="s">
        <v>133</v>
      </c>
      <c r="C43" t="s">
        <v>133</v>
      </c>
      <c r="D43" t="s">
        <v>4</v>
      </c>
      <c r="E43">
        <v>0</v>
      </c>
      <c r="F43">
        <v>1</v>
      </c>
      <c r="G43">
        <v>0</v>
      </c>
      <c r="H43">
        <v>0</v>
      </c>
      <c r="I43" t="s">
        <v>14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4.5</v>
      </c>
      <c r="AE43">
        <v>118</v>
      </c>
      <c r="AF43">
        <v>15.10526315789474</v>
      </c>
      <c r="AG43">
        <v>13.4857544475075</v>
      </c>
      <c r="AH43">
        <v>21.006612024074219</v>
      </c>
      <c r="AI43">
        <f>8.17611353992079*1</f>
        <v>8.1761135399207898</v>
      </c>
      <c r="AJ43">
        <f>1.48971878728123*1</f>
        <v>1.4897187872812301</v>
      </c>
      <c r="AK43">
        <v>1</v>
      </c>
      <c r="AL43">
        <v>0</v>
      </c>
      <c r="AM43">
        <v>0</v>
      </c>
    </row>
    <row r="44" spans="1:43" hidden="1" x14ac:dyDescent="0.2">
      <c r="A44" t="s">
        <v>134</v>
      </c>
      <c r="B44" t="s">
        <v>135</v>
      </c>
      <c r="C44" t="s">
        <v>135</v>
      </c>
      <c r="D44" t="s">
        <v>6</v>
      </c>
      <c r="E44">
        <v>0</v>
      </c>
      <c r="F44">
        <v>0</v>
      </c>
      <c r="G44">
        <v>0</v>
      </c>
      <c r="H44">
        <v>1</v>
      </c>
      <c r="I44" t="s">
        <v>14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5.9</v>
      </c>
      <c r="AE44">
        <v>124</v>
      </c>
      <c r="AF44">
        <v>18.911114746597288</v>
      </c>
      <c r="AG44">
        <v>12.022154167715881</v>
      </c>
      <c r="AH44">
        <v>34.440329670329668</v>
      </c>
      <c r="AI44">
        <f>12.8506810791508*1</f>
        <v>12.850681079150799</v>
      </c>
      <c r="AJ44">
        <f>2.22122177460107*1</f>
        <v>2.2212217746010698</v>
      </c>
      <c r="AK44">
        <v>1</v>
      </c>
      <c r="AL44">
        <v>0</v>
      </c>
      <c r="AM44">
        <v>0</v>
      </c>
    </row>
    <row r="45" spans="1:43" hidden="1" x14ac:dyDescent="0.2">
      <c r="A45" t="s">
        <v>136</v>
      </c>
      <c r="B45" t="s">
        <v>137</v>
      </c>
      <c r="C45" t="s">
        <v>137</v>
      </c>
      <c r="D45" t="s">
        <v>5</v>
      </c>
      <c r="E45">
        <v>0</v>
      </c>
      <c r="F45">
        <v>0</v>
      </c>
      <c r="G45">
        <v>1</v>
      </c>
      <c r="H45">
        <v>0</v>
      </c>
      <c r="I45" t="s">
        <v>15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5.4</v>
      </c>
      <c r="AE45">
        <v>133</v>
      </c>
      <c r="AF45">
        <v>16.118220032018851</v>
      </c>
      <c r="AG45">
        <v>18.895170785424831</v>
      </c>
      <c r="AH45">
        <v>12.11030259203701</v>
      </c>
      <c r="AI45">
        <f>10.5881771684064*1</f>
        <v>10.5881771684064</v>
      </c>
      <c r="AJ45">
        <f>1.97546955671975*1</f>
        <v>1.97546955671975</v>
      </c>
      <c r="AK45">
        <v>1</v>
      </c>
      <c r="AL45">
        <v>0</v>
      </c>
      <c r="AM45">
        <v>0</v>
      </c>
    </row>
    <row r="46" spans="1:43" hidden="1" x14ac:dyDescent="0.2">
      <c r="A46" t="s">
        <v>100</v>
      </c>
      <c r="B46" t="s">
        <v>138</v>
      </c>
      <c r="C46" t="s">
        <v>138</v>
      </c>
      <c r="D46" t="s">
        <v>4</v>
      </c>
      <c r="E46">
        <v>0</v>
      </c>
      <c r="F46">
        <v>1</v>
      </c>
      <c r="G46">
        <v>0</v>
      </c>
      <c r="H46">
        <v>0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4.5</v>
      </c>
      <c r="AE46">
        <v>139</v>
      </c>
      <c r="AF46">
        <v>15.725</v>
      </c>
      <c r="AG46">
        <v>15.84953932513614</v>
      </c>
      <c r="AH46">
        <v>12.38405587192354</v>
      </c>
      <c r="AI46">
        <f>10.2073001230415*1</f>
        <v>10.207300123041501</v>
      </c>
      <c r="AJ46">
        <f>1.5014763886207*1</f>
        <v>1.5014763886207001</v>
      </c>
      <c r="AK46">
        <v>1</v>
      </c>
      <c r="AL46">
        <v>0</v>
      </c>
      <c r="AM46">
        <v>0</v>
      </c>
    </row>
    <row r="47" spans="1:43" hidden="1" x14ac:dyDescent="0.2">
      <c r="A47" t="s">
        <v>139</v>
      </c>
      <c r="B47" t="s">
        <v>140</v>
      </c>
      <c r="C47" t="s">
        <v>141</v>
      </c>
      <c r="D47" t="s">
        <v>5</v>
      </c>
      <c r="E47">
        <v>0</v>
      </c>
      <c r="F47">
        <v>0</v>
      </c>
      <c r="G47">
        <v>1</v>
      </c>
      <c r="H47">
        <v>0</v>
      </c>
      <c r="I47" t="s">
        <v>15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6.5</v>
      </c>
      <c r="AE47">
        <v>144</v>
      </c>
      <c r="AF47">
        <v>17.8611111111111</v>
      </c>
      <c r="AG47">
        <v>16.74924318595404</v>
      </c>
      <c r="AH47">
        <v>10.298783498404971</v>
      </c>
      <c r="AI47">
        <f>4.69452366571893*1</f>
        <v>4.69452366571893</v>
      </c>
      <c r="AJ47">
        <f>0.874876822318115*1</f>
        <v>0.87487682231811503</v>
      </c>
      <c r="AK47">
        <v>1</v>
      </c>
      <c r="AL47">
        <v>0</v>
      </c>
      <c r="AM47">
        <v>0</v>
      </c>
    </row>
    <row r="48" spans="1:43" hidden="1" x14ac:dyDescent="0.2">
      <c r="A48" t="s">
        <v>142</v>
      </c>
      <c r="B48" t="s">
        <v>143</v>
      </c>
      <c r="C48" t="s">
        <v>142</v>
      </c>
      <c r="D48" t="s">
        <v>6</v>
      </c>
      <c r="E48">
        <v>0</v>
      </c>
      <c r="F48">
        <v>0</v>
      </c>
      <c r="G48">
        <v>0</v>
      </c>
      <c r="H48">
        <v>1</v>
      </c>
      <c r="I48" t="s">
        <v>15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5.4</v>
      </c>
      <c r="AE48">
        <v>148</v>
      </c>
      <c r="AF48">
        <v>17.74234071341338</v>
      </c>
      <c r="AG48">
        <v>13.397237850699691</v>
      </c>
      <c r="AH48">
        <v>39.520714285714291</v>
      </c>
      <c r="AI48">
        <f>19.6294812526626*1</f>
        <v>19.6294812526626</v>
      </c>
      <c r="AJ48">
        <f>2.85129878118217*1</f>
        <v>2.85129878118217</v>
      </c>
      <c r="AK48">
        <v>1</v>
      </c>
      <c r="AL48">
        <v>0</v>
      </c>
      <c r="AM48">
        <v>0</v>
      </c>
    </row>
    <row r="49" spans="1:39" hidden="1" x14ac:dyDescent="0.2">
      <c r="A49" t="s">
        <v>144</v>
      </c>
      <c r="B49" t="s">
        <v>145</v>
      </c>
      <c r="C49" t="s">
        <v>146</v>
      </c>
      <c r="D49" t="s">
        <v>4</v>
      </c>
      <c r="E49">
        <v>0</v>
      </c>
      <c r="F49">
        <v>1</v>
      </c>
      <c r="G49">
        <v>0</v>
      </c>
      <c r="H49">
        <v>0</v>
      </c>
      <c r="I49" t="s">
        <v>15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4.5</v>
      </c>
      <c r="AE49">
        <v>163</v>
      </c>
      <c r="AF49">
        <v>14.89998486961921</v>
      </c>
      <c r="AG49">
        <v>9.6325654344384368</v>
      </c>
      <c r="AH49">
        <v>23.07692307692308</v>
      </c>
      <c r="AI49">
        <f>6.78021777698409*1</f>
        <v>6.7802177769840899</v>
      </c>
      <c r="AJ49">
        <f>1.48773284309025*1</f>
        <v>1.4877328430902499</v>
      </c>
      <c r="AK49">
        <v>1</v>
      </c>
      <c r="AL49">
        <v>0</v>
      </c>
      <c r="AM49">
        <v>0</v>
      </c>
    </row>
    <row r="50" spans="1:39" hidden="1" x14ac:dyDescent="0.2">
      <c r="A50" t="s">
        <v>147</v>
      </c>
      <c r="B50" t="s">
        <v>148</v>
      </c>
      <c r="C50" t="s">
        <v>148</v>
      </c>
      <c r="D50" t="s">
        <v>4</v>
      </c>
      <c r="E50">
        <v>0</v>
      </c>
      <c r="F50">
        <v>1</v>
      </c>
      <c r="G50">
        <v>0</v>
      </c>
      <c r="H50">
        <v>0</v>
      </c>
      <c r="I50" t="s">
        <v>15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4.5</v>
      </c>
      <c r="AE50">
        <v>164</v>
      </c>
      <c r="AF50">
        <v>15.11997480045406</v>
      </c>
      <c r="AG50">
        <v>13.721772785099001</v>
      </c>
      <c r="AH50">
        <v>13.921086672546121</v>
      </c>
      <c r="AI50">
        <f>21.1559753435132*1</f>
        <v>21.155975343513202</v>
      </c>
      <c r="AJ50">
        <f>4.64704686989456*1</f>
        <v>4.6470468698945604</v>
      </c>
      <c r="AK50">
        <v>1</v>
      </c>
      <c r="AL50">
        <v>0</v>
      </c>
      <c r="AM50">
        <v>0</v>
      </c>
    </row>
    <row r="51" spans="1:39" hidden="1" x14ac:dyDescent="0.2">
      <c r="A51" t="s">
        <v>149</v>
      </c>
      <c r="B51" t="s">
        <v>150</v>
      </c>
      <c r="C51" t="s">
        <v>150</v>
      </c>
      <c r="D51" t="s">
        <v>6</v>
      </c>
      <c r="E51">
        <v>0</v>
      </c>
      <c r="F51">
        <v>0</v>
      </c>
      <c r="G51">
        <v>0</v>
      </c>
      <c r="H51">
        <v>1</v>
      </c>
      <c r="I51" t="s">
        <v>15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5.9</v>
      </c>
      <c r="AE51">
        <v>167</v>
      </c>
      <c r="AF51">
        <v>17.136729054807351</v>
      </c>
      <c r="AG51">
        <v>15.14526660133706</v>
      </c>
      <c r="AH51">
        <v>31.93612008957226</v>
      </c>
      <c r="AI51">
        <f>20.5839794189412*0.75</f>
        <v>15.437984564205902</v>
      </c>
      <c r="AJ51">
        <f>5.4650296967538*0.75</f>
        <v>4.0987722725653501</v>
      </c>
      <c r="AK51">
        <v>0.75</v>
      </c>
      <c r="AL51">
        <v>0</v>
      </c>
      <c r="AM51">
        <v>0</v>
      </c>
    </row>
    <row r="52" spans="1:39" hidden="1" x14ac:dyDescent="0.2">
      <c r="A52" t="s">
        <v>151</v>
      </c>
      <c r="B52" t="s">
        <v>152</v>
      </c>
      <c r="C52" t="s">
        <v>153</v>
      </c>
      <c r="D52" t="s">
        <v>5</v>
      </c>
      <c r="E52">
        <v>0</v>
      </c>
      <c r="F52">
        <v>0</v>
      </c>
      <c r="G52">
        <v>1</v>
      </c>
      <c r="H52">
        <v>0</v>
      </c>
      <c r="I52" t="s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4.9000000000000004</v>
      </c>
      <c r="AE52">
        <v>182</v>
      </c>
      <c r="AF52">
        <v>11.438356164383571</v>
      </c>
      <c r="AG52">
        <v>8.1480410521792273</v>
      </c>
      <c r="AH52">
        <v>11.330743066603199</v>
      </c>
      <c r="AI52">
        <f>7.75466974250467*1</f>
        <v>7.75466974250467</v>
      </c>
      <c r="AJ52">
        <f>1.57776074665561*1</f>
        <v>1.5777607466556101</v>
      </c>
      <c r="AK52">
        <v>1</v>
      </c>
      <c r="AL52">
        <v>0</v>
      </c>
      <c r="AM52">
        <v>0</v>
      </c>
    </row>
    <row r="53" spans="1:39" hidden="1" x14ac:dyDescent="0.2">
      <c r="A53" t="s">
        <v>154</v>
      </c>
      <c r="B53" t="s">
        <v>155</v>
      </c>
      <c r="C53" t="s">
        <v>155</v>
      </c>
      <c r="D53" t="s">
        <v>4</v>
      </c>
      <c r="E53">
        <v>0</v>
      </c>
      <c r="F53">
        <v>1</v>
      </c>
      <c r="G53">
        <v>0</v>
      </c>
      <c r="H53">
        <v>0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4.5999999999999996</v>
      </c>
      <c r="AE53">
        <v>186</v>
      </c>
      <c r="AF53">
        <v>13.19148936170212</v>
      </c>
      <c r="AG53">
        <v>16.898263662783219</v>
      </c>
      <c r="AH53">
        <v>5.3815789473684212</v>
      </c>
      <c r="AI53">
        <f>8.27032734138745*1</f>
        <v>8.2703273413874498</v>
      </c>
      <c r="AJ53">
        <f>1.77460276961641*1</f>
        <v>1.7746027696164099</v>
      </c>
      <c r="AK53">
        <v>1</v>
      </c>
      <c r="AL53">
        <v>0</v>
      </c>
      <c r="AM53">
        <v>0</v>
      </c>
    </row>
    <row r="54" spans="1:39" hidden="1" x14ac:dyDescent="0.2">
      <c r="A54" t="s">
        <v>156</v>
      </c>
      <c r="B54" t="s">
        <v>157</v>
      </c>
      <c r="C54" t="s">
        <v>157</v>
      </c>
      <c r="D54" t="s">
        <v>5</v>
      </c>
      <c r="E54">
        <v>0</v>
      </c>
      <c r="F54">
        <v>0</v>
      </c>
      <c r="G54">
        <v>1</v>
      </c>
      <c r="H54">
        <v>0</v>
      </c>
      <c r="I54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5.9</v>
      </c>
      <c r="AE54">
        <v>193</v>
      </c>
      <c r="AF54">
        <v>15.14988984423073</v>
      </c>
      <c r="AG54">
        <v>14.148358916717481</v>
      </c>
      <c r="AH54">
        <v>13.83418891388261</v>
      </c>
      <c r="AI54">
        <f>19.6025242638336*1</f>
        <v>19.602524263833601</v>
      </c>
      <c r="AJ54">
        <f>4.39710512655317*1</f>
        <v>4.3971051265531704</v>
      </c>
      <c r="AK54">
        <v>1</v>
      </c>
      <c r="AL54">
        <v>0</v>
      </c>
      <c r="AM54">
        <v>0</v>
      </c>
    </row>
    <row r="55" spans="1:39" x14ac:dyDescent="0.2">
      <c r="A55" t="s">
        <v>210</v>
      </c>
      <c r="B55" t="s">
        <v>211</v>
      </c>
      <c r="C55" t="s">
        <v>210</v>
      </c>
      <c r="D55" t="s">
        <v>6</v>
      </c>
      <c r="E55">
        <v>0</v>
      </c>
      <c r="F55">
        <v>0</v>
      </c>
      <c r="G55">
        <v>0</v>
      </c>
      <c r="H55">
        <v>1</v>
      </c>
      <c r="I55" t="s">
        <v>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5.7</v>
      </c>
      <c r="AE55">
        <v>295</v>
      </c>
      <c r="AF55">
        <v>21.167694431392039</v>
      </c>
      <c r="AG55">
        <v>18.957870379663738</v>
      </c>
      <c r="AH55">
        <v>29.101360124096939</v>
      </c>
      <c r="AI55">
        <f>34.9017642873805*1</f>
        <v>34.901764287380502</v>
      </c>
      <c r="AJ55">
        <f>6.11680932244353*1</f>
        <v>6.1168093224435296</v>
      </c>
      <c r="AK55">
        <v>1</v>
      </c>
      <c r="AL55">
        <v>1</v>
      </c>
      <c r="AM55">
        <v>1</v>
      </c>
    </row>
    <row r="56" spans="1:39" hidden="1" x14ac:dyDescent="0.2">
      <c r="A56" t="s">
        <v>160</v>
      </c>
      <c r="B56" t="s">
        <v>161</v>
      </c>
      <c r="C56" t="s">
        <v>162</v>
      </c>
      <c r="D56" t="s">
        <v>6</v>
      </c>
      <c r="E56">
        <v>0</v>
      </c>
      <c r="F56">
        <v>0</v>
      </c>
      <c r="G56">
        <v>0</v>
      </c>
      <c r="H56">
        <v>1</v>
      </c>
      <c r="I56" t="s">
        <v>16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7.9</v>
      </c>
      <c r="AE56">
        <v>204</v>
      </c>
      <c r="AF56">
        <v>22.31707317073171</v>
      </c>
      <c r="AG56">
        <v>21.39064101228422</v>
      </c>
      <c r="AH56">
        <v>35.711666666666673</v>
      </c>
      <c r="AI56">
        <f>11.6474415446399*1</f>
        <v>11.6474415446399</v>
      </c>
      <c r="AJ56">
        <f>2.42167024206825*1</f>
        <v>2.4216702420682501</v>
      </c>
      <c r="AK56">
        <v>1</v>
      </c>
      <c r="AL56">
        <v>0</v>
      </c>
      <c r="AM56">
        <v>0</v>
      </c>
    </row>
    <row r="57" spans="1:39" x14ac:dyDescent="0.2">
      <c r="A57" t="s">
        <v>227</v>
      </c>
      <c r="B57" t="s">
        <v>228</v>
      </c>
      <c r="C57" t="s">
        <v>228</v>
      </c>
      <c r="D57" t="s">
        <v>4</v>
      </c>
      <c r="E57">
        <v>0</v>
      </c>
      <c r="F57">
        <v>1</v>
      </c>
      <c r="G57">
        <v>0</v>
      </c>
      <c r="H57">
        <v>0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7.1</v>
      </c>
      <c r="AE57">
        <v>375</v>
      </c>
      <c r="AF57">
        <v>25.37786432626617</v>
      </c>
      <c r="AG57">
        <v>30.663090022285029</v>
      </c>
      <c r="AH57">
        <v>19.983889084561088</v>
      </c>
      <c r="AI57">
        <f>27.002495151309*1</f>
        <v>27.002495151308999</v>
      </c>
      <c r="AJ57">
        <f>5.3484192490693*1</f>
        <v>5.3484192490693001</v>
      </c>
      <c r="AK57">
        <v>1</v>
      </c>
      <c r="AL57">
        <v>0</v>
      </c>
      <c r="AM57">
        <v>1</v>
      </c>
    </row>
    <row r="58" spans="1:39" hidden="1" x14ac:dyDescent="0.2">
      <c r="A58" t="s">
        <v>165</v>
      </c>
      <c r="B58" t="s">
        <v>166</v>
      </c>
      <c r="C58" t="s">
        <v>167</v>
      </c>
      <c r="D58" t="s">
        <v>4</v>
      </c>
      <c r="E58">
        <v>0</v>
      </c>
      <c r="F58">
        <v>1</v>
      </c>
      <c r="G58">
        <v>0</v>
      </c>
      <c r="H58">
        <v>0</v>
      </c>
      <c r="I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4.4000000000000004</v>
      </c>
      <c r="AE58">
        <v>221</v>
      </c>
      <c r="AF58">
        <v>14.89866202641522</v>
      </c>
      <c r="AG58">
        <v>9.3542488232861203</v>
      </c>
      <c r="AH58">
        <v>16.67285380613556</v>
      </c>
      <c r="AI58">
        <f>4.51095690067008*1</f>
        <v>4.51095690067008</v>
      </c>
      <c r="AJ58">
        <f>0.819003422718365*1</f>
        <v>0.81900342271836502</v>
      </c>
      <c r="AK58">
        <v>1</v>
      </c>
      <c r="AL58">
        <v>0</v>
      </c>
      <c r="AM58">
        <v>0</v>
      </c>
    </row>
    <row r="59" spans="1:39" hidden="1" x14ac:dyDescent="0.2">
      <c r="A59" t="s">
        <v>168</v>
      </c>
      <c r="B59" t="s">
        <v>169</v>
      </c>
      <c r="C59" t="s">
        <v>169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6.7</v>
      </c>
      <c r="AE59">
        <v>225</v>
      </c>
      <c r="AF59">
        <v>19.473684210526329</v>
      </c>
      <c r="AG59">
        <v>14.788639397851689</v>
      </c>
      <c r="AH59">
        <v>12.189158706363029</v>
      </c>
      <c r="AI59">
        <f>11.4228971462536*1</f>
        <v>11.4228971462536</v>
      </c>
      <c r="AJ59">
        <f>2.25066479460652*1</f>
        <v>2.2506647946065201</v>
      </c>
      <c r="AK59">
        <v>1</v>
      </c>
      <c r="AL59">
        <v>0</v>
      </c>
      <c r="AM59">
        <v>0</v>
      </c>
    </row>
    <row r="60" spans="1:39" hidden="1" x14ac:dyDescent="0.2">
      <c r="A60" t="s">
        <v>170</v>
      </c>
      <c r="B60" t="s">
        <v>171</v>
      </c>
      <c r="C60" t="s">
        <v>171</v>
      </c>
      <c r="D60" t="s">
        <v>4</v>
      </c>
      <c r="E60">
        <v>0</v>
      </c>
      <c r="F60">
        <v>1</v>
      </c>
      <c r="G60">
        <v>0</v>
      </c>
      <c r="H60">
        <v>0</v>
      </c>
      <c r="I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4.4000000000000004</v>
      </c>
      <c r="AE60">
        <v>226</v>
      </c>
      <c r="AF60">
        <v>14.41176470588235</v>
      </c>
      <c r="AG60">
        <v>16.885990203239281</v>
      </c>
      <c r="AH60">
        <v>18.463322759853909</v>
      </c>
      <c r="AI60">
        <f>15.4409798081746*1</f>
        <v>15.4409798081746</v>
      </c>
      <c r="AJ60">
        <f>3.02042055595253*1</f>
        <v>3.0204205559525299</v>
      </c>
      <c r="AK60">
        <v>1</v>
      </c>
      <c r="AL60">
        <v>0</v>
      </c>
      <c r="AM60">
        <v>0</v>
      </c>
    </row>
    <row r="61" spans="1:39" hidden="1" x14ac:dyDescent="0.2">
      <c r="A61" t="s">
        <v>172</v>
      </c>
      <c r="B61" t="s">
        <v>173</v>
      </c>
      <c r="C61" t="s">
        <v>173</v>
      </c>
      <c r="D61" t="s">
        <v>6</v>
      </c>
      <c r="E61">
        <v>0</v>
      </c>
      <c r="F61">
        <v>0</v>
      </c>
      <c r="G61">
        <v>0</v>
      </c>
      <c r="H61">
        <v>1</v>
      </c>
      <c r="I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7.3</v>
      </c>
      <c r="AE61">
        <v>232</v>
      </c>
      <c r="AF61">
        <v>22.013673637504368</v>
      </c>
      <c r="AG61">
        <v>10.78985225411437</v>
      </c>
      <c r="AH61">
        <v>15.955555555555559</v>
      </c>
      <c r="AI61">
        <f>10.4332801431674*1</f>
        <v>10.4332801431674</v>
      </c>
      <c r="AJ61">
        <f>2.04825976227744*1</f>
        <v>2.0482597622774401</v>
      </c>
      <c r="AK61">
        <v>1</v>
      </c>
      <c r="AL61">
        <v>0</v>
      </c>
      <c r="AM61">
        <v>0</v>
      </c>
    </row>
    <row r="62" spans="1:39" hidden="1" x14ac:dyDescent="0.2">
      <c r="A62" t="s">
        <v>174</v>
      </c>
      <c r="B62" t="s">
        <v>175</v>
      </c>
      <c r="C62" t="s">
        <v>175</v>
      </c>
      <c r="D62" t="s">
        <v>4</v>
      </c>
      <c r="E62">
        <v>0</v>
      </c>
      <c r="F62">
        <v>1</v>
      </c>
      <c r="G62">
        <v>0</v>
      </c>
      <c r="H62">
        <v>0</v>
      </c>
      <c r="I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4.9000000000000004</v>
      </c>
      <c r="AE62">
        <v>235</v>
      </c>
      <c r="AF62">
        <v>13.414053054002981</v>
      </c>
      <c r="AG62">
        <v>13.74602281516098</v>
      </c>
      <c r="AH62">
        <v>12.915666208082211</v>
      </c>
      <c r="AI62">
        <f>4.59155837604988*1</f>
        <v>4.5915583760498802</v>
      </c>
      <c r="AJ62">
        <f>0.814964590075647*1</f>
        <v>0.81496459007564703</v>
      </c>
      <c r="AK62">
        <v>1</v>
      </c>
      <c r="AL62">
        <v>0</v>
      </c>
      <c r="AM62">
        <v>0</v>
      </c>
    </row>
    <row r="63" spans="1:39" hidden="1" x14ac:dyDescent="0.2">
      <c r="A63" t="s">
        <v>176</v>
      </c>
      <c r="B63" t="s">
        <v>177</v>
      </c>
      <c r="C63" t="s">
        <v>178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5.2</v>
      </c>
      <c r="AE63">
        <v>251</v>
      </c>
      <c r="AF63">
        <v>15.64864864864864</v>
      </c>
      <c r="AG63">
        <v>15.79695286411792</v>
      </c>
      <c r="AH63">
        <v>12.2524420521063</v>
      </c>
      <c r="AI63">
        <f>11.734639063269*1</f>
        <v>11.734639063269</v>
      </c>
      <c r="AJ63">
        <f>2.4008668666327*1</f>
        <v>2.4008668666327</v>
      </c>
      <c r="AK63">
        <v>1</v>
      </c>
      <c r="AL63">
        <v>0</v>
      </c>
      <c r="AM63">
        <v>0</v>
      </c>
    </row>
    <row r="64" spans="1:39" hidden="1" x14ac:dyDescent="0.2">
      <c r="A64" t="s">
        <v>179</v>
      </c>
      <c r="B64" t="s">
        <v>180</v>
      </c>
      <c r="C64" t="s">
        <v>180</v>
      </c>
      <c r="D64" t="s">
        <v>4</v>
      </c>
      <c r="E64">
        <v>0</v>
      </c>
      <c r="F64">
        <v>1</v>
      </c>
      <c r="G64">
        <v>0</v>
      </c>
      <c r="H64">
        <v>0</v>
      </c>
      <c r="I64" t="s">
        <v>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4.8</v>
      </c>
      <c r="AE64">
        <v>253</v>
      </c>
      <c r="AF64">
        <v>15.444444444444439</v>
      </c>
      <c r="AG64">
        <v>12.00633304978615</v>
      </c>
      <c r="AH64">
        <v>21.046743628665531</v>
      </c>
      <c r="AI64">
        <f>23.5851553400012*1</f>
        <v>23.585155340001201</v>
      </c>
      <c r="AJ64">
        <f>4.39536088856801*1</f>
        <v>4.3953608885680104</v>
      </c>
      <c r="AK64">
        <v>1</v>
      </c>
      <c r="AL64">
        <v>0</v>
      </c>
      <c r="AM64">
        <v>0</v>
      </c>
    </row>
    <row r="65" spans="1:39" hidden="1" x14ac:dyDescent="0.2">
      <c r="A65" t="s">
        <v>181</v>
      </c>
      <c r="B65" t="s">
        <v>182</v>
      </c>
      <c r="C65" t="s">
        <v>182</v>
      </c>
      <c r="D65" t="s">
        <v>6</v>
      </c>
      <c r="E65">
        <v>0</v>
      </c>
      <c r="F65">
        <v>0</v>
      </c>
      <c r="G65">
        <v>0</v>
      </c>
      <c r="H65">
        <v>1</v>
      </c>
      <c r="I65" t="s">
        <v>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</v>
      </c>
      <c r="AE65">
        <v>254</v>
      </c>
      <c r="AF65">
        <v>16.98553778033973</v>
      </c>
      <c r="AG65">
        <v>17.847157357836242</v>
      </c>
      <c r="AH65">
        <v>9.7716101084791251</v>
      </c>
      <c r="AI65">
        <f>10.3667075627179*1</f>
        <v>10.366707562717901</v>
      </c>
      <c r="AJ65">
        <f>2.08724273602591*1</f>
        <v>2.0872427360259098</v>
      </c>
      <c r="AK65">
        <v>1</v>
      </c>
      <c r="AL65">
        <v>0</v>
      </c>
      <c r="AM65">
        <v>0</v>
      </c>
    </row>
    <row r="66" spans="1:39" hidden="1" x14ac:dyDescent="0.2">
      <c r="A66" t="s">
        <v>183</v>
      </c>
      <c r="B66" t="s">
        <v>184</v>
      </c>
      <c r="C66" t="s">
        <v>184</v>
      </c>
      <c r="D66" t="s">
        <v>5</v>
      </c>
      <c r="E66">
        <v>0</v>
      </c>
      <c r="F66">
        <v>0</v>
      </c>
      <c r="G66">
        <v>1</v>
      </c>
      <c r="H66">
        <v>0</v>
      </c>
      <c r="I66" t="s">
        <v>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5.3</v>
      </c>
      <c r="AE66">
        <v>258</v>
      </c>
      <c r="AF66">
        <v>18.540145985401459</v>
      </c>
      <c r="AG66">
        <v>17.071096962667621</v>
      </c>
      <c r="AH66">
        <v>13.02121742099345</v>
      </c>
      <c r="AI66">
        <f>8.47468492758182*1</f>
        <v>8.4746849275818192</v>
      </c>
      <c r="AJ66">
        <f>1.59778869395166*1</f>
        <v>1.5977886939516599</v>
      </c>
      <c r="AK66">
        <v>1</v>
      </c>
      <c r="AL66">
        <v>0</v>
      </c>
      <c r="AM66">
        <v>0</v>
      </c>
    </row>
    <row r="67" spans="1:39" hidden="1" x14ac:dyDescent="0.2">
      <c r="A67" t="s">
        <v>185</v>
      </c>
      <c r="B67" t="s">
        <v>186</v>
      </c>
      <c r="C67" t="s">
        <v>186</v>
      </c>
      <c r="D67" t="s">
        <v>5</v>
      </c>
      <c r="E67">
        <v>0</v>
      </c>
      <c r="F67">
        <v>0</v>
      </c>
      <c r="G67">
        <v>1</v>
      </c>
      <c r="H67">
        <v>0</v>
      </c>
      <c r="I67" t="s">
        <v>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5.8</v>
      </c>
      <c r="AE67">
        <v>264</v>
      </c>
      <c r="AF67">
        <v>15.22897694113102</v>
      </c>
      <c r="AG67">
        <v>14.53832020037008</v>
      </c>
      <c r="AH67">
        <v>23.000450928483481</v>
      </c>
      <c r="AI67">
        <f>25.623143685769*1</f>
        <v>25.623143685769001</v>
      </c>
      <c r="AJ67">
        <f>4.45104592504326*1</f>
        <v>4.4510459250432604</v>
      </c>
      <c r="AK67">
        <v>1</v>
      </c>
      <c r="AL67">
        <v>0</v>
      </c>
      <c r="AM67">
        <v>0</v>
      </c>
    </row>
    <row r="68" spans="1:39" hidden="1" x14ac:dyDescent="0.2">
      <c r="A68" t="s">
        <v>187</v>
      </c>
      <c r="B68" t="s">
        <v>188</v>
      </c>
      <c r="C68" t="s">
        <v>188</v>
      </c>
      <c r="D68" t="s">
        <v>4</v>
      </c>
      <c r="E68">
        <v>0</v>
      </c>
      <c r="F68">
        <v>1</v>
      </c>
      <c r="G68">
        <v>0</v>
      </c>
      <c r="H68">
        <v>0</v>
      </c>
      <c r="I68" t="s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4.3</v>
      </c>
      <c r="AE68">
        <v>265</v>
      </c>
      <c r="AF68">
        <v>15.11842392897745</v>
      </c>
      <c r="AG68">
        <v>16.34488841232427</v>
      </c>
      <c r="AH68">
        <v>23.466666666666669</v>
      </c>
      <c r="AI68">
        <f>10.4451047880077*1</f>
        <v>10.445104788007701</v>
      </c>
      <c r="AJ68">
        <f>2.55623303329948*1</f>
        <v>2.5562330332994798</v>
      </c>
      <c r="AK68">
        <v>1</v>
      </c>
      <c r="AL68">
        <v>0</v>
      </c>
      <c r="AM68">
        <v>0</v>
      </c>
    </row>
    <row r="69" spans="1:39" hidden="1" x14ac:dyDescent="0.2">
      <c r="A69" t="s">
        <v>189</v>
      </c>
      <c r="B69" t="s">
        <v>190</v>
      </c>
      <c r="C69" t="s">
        <v>190</v>
      </c>
      <c r="D69" t="s">
        <v>3</v>
      </c>
      <c r="E69">
        <v>1</v>
      </c>
      <c r="F69">
        <v>0</v>
      </c>
      <c r="G69">
        <v>0</v>
      </c>
      <c r="H69">
        <v>0</v>
      </c>
      <c r="I69" t="s">
        <v>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4.8</v>
      </c>
      <c r="AE69">
        <v>268</v>
      </c>
      <c r="AF69">
        <v>18.04147465437789</v>
      </c>
      <c r="AG69">
        <v>16.429354104885061</v>
      </c>
      <c r="AH69">
        <v>34.26260064924125</v>
      </c>
      <c r="AI69">
        <f>10.7244790888933*1</f>
        <v>10.7244790888933</v>
      </c>
      <c r="AJ69">
        <f>2.19763741991991*1</f>
        <v>2.1976374199199098</v>
      </c>
      <c r="AK69">
        <v>1</v>
      </c>
      <c r="AL69">
        <v>0</v>
      </c>
      <c r="AM69">
        <v>0</v>
      </c>
    </row>
    <row r="70" spans="1:39" hidden="1" x14ac:dyDescent="0.2">
      <c r="A70" t="s">
        <v>191</v>
      </c>
      <c r="B70" t="s">
        <v>192</v>
      </c>
      <c r="C70" t="s">
        <v>192</v>
      </c>
      <c r="D70" t="s">
        <v>4</v>
      </c>
      <c r="E70">
        <v>0</v>
      </c>
      <c r="F70">
        <v>1</v>
      </c>
      <c r="G70">
        <v>0</v>
      </c>
      <c r="H70">
        <v>0</v>
      </c>
      <c r="I70" t="s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4.8</v>
      </c>
      <c r="AE70">
        <v>269</v>
      </c>
      <c r="AF70">
        <v>13.30523441203276</v>
      </c>
      <c r="AG70">
        <v>17.7810325432825</v>
      </c>
      <c r="AH70">
        <v>18.610290220033949</v>
      </c>
      <c r="AI70">
        <f>6.31059122215177*1</f>
        <v>6.3105912221517704</v>
      </c>
      <c r="AJ70">
        <f>1.26638978028958*1</f>
        <v>1.26638978028958</v>
      </c>
      <c r="AK70">
        <v>1</v>
      </c>
      <c r="AL70">
        <v>0</v>
      </c>
      <c r="AM70">
        <v>0</v>
      </c>
    </row>
    <row r="71" spans="1:39" hidden="1" x14ac:dyDescent="0.2">
      <c r="A71" t="s">
        <v>193</v>
      </c>
      <c r="B71" t="s">
        <v>194</v>
      </c>
      <c r="C71" t="s">
        <v>194</v>
      </c>
      <c r="D71" t="s">
        <v>4</v>
      </c>
      <c r="E71">
        <v>0</v>
      </c>
      <c r="F71">
        <v>1</v>
      </c>
      <c r="G71">
        <v>0</v>
      </c>
      <c r="H71">
        <v>0</v>
      </c>
      <c r="I71" t="s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4.5</v>
      </c>
      <c r="AE71">
        <v>271</v>
      </c>
      <c r="AF71">
        <v>12.244094488188971</v>
      </c>
      <c r="AG71">
        <v>7.7853259514033608</v>
      </c>
      <c r="AH71">
        <v>25.302848812562669</v>
      </c>
      <c r="AI71">
        <f>12.3983993814851*1</f>
        <v>12.398399381485101</v>
      </c>
      <c r="AJ71">
        <f>2.20713518212568*1</f>
        <v>2.2071351821256799</v>
      </c>
      <c r="AK71">
        <v>1</v>
      </c>
      <c r="AL71">
        <v>0</v>
      </c>
      <c r="AM71">
        <v>0</v>
      </c>
    </row>
    <row r="72" spans="1:39" hidden="1" x14ac:dyDescent="0.2">
      <c r="A72" t="s">
        <v>195</v>
      </c>
      <c r="B72" t="s">
        <v>196</v>
      </c>
      <c r="C72" t="s">
        <v>196</v>
      </c>
      <c r="D72" t="s">
        <v>4</v>
      </c>
      <c r="E72">
        <v>0</v>
      </c>
      <c r="F72">
        <v>1</v>
      </c>
      <c r="G72">
        <v>0</v>
      </c>
      <c r="H72">
        <v>0</v>
      </c>
      <c r="I72" t="s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4.3</v>
      </c>
      <c r="AE72">
        <v>281</v>
      </c>
      <c r="AF72">
        <v>14.22491741858649</v>
      </c>
      <c r="AG72">
        <v>13.2916532687317</v>
      </c>
      <c r="AH72">
        <v>7.5176941484335487</v>
      </c>
      <c r="AI72">
        <f>7.39621909675712*1</f>
        <v>7.39621909675712</v>
      </c>
      <c r="AJ72">
        <f>1.35649070110337*1</f>
        <v>1.35649070110337</v>
      </c>
      <c r="AK72">
        <v>1</v>
      </c>
      <c r="AL72">
        <v>0</v>
      </c>
      <c r="AM72">
        <v>0</v>
      </c>
    </row>
    <row r="73" spans="1:39" hidden="1" x14ac:dyDescent="0.2">
      <c r="A73" t="s">
        <v>197</v>
      </c>
      <c r="B73" t="s">
        <v>198</v>
      </c>
      <c r="C73" t="s">
        <v>197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5.3</v>
      </c>
      <c r="AE73">
        <v>283</v>
      </c>
      <c r="AF73">
        <v>17.662337662337659</v>
      </c>
      <c r="AG73">
        <v>13.92496903421088</v>
      </c>
      <c r="AH73">
        <v>25.80777777777778</v>
      </c>
      <c r="AI73">
        <f>13.137334339477*1</f>
        <v>13.137334339477</v>
      </c>
      <c r="AJ73">
        <f>2.54872248290335*1</f>
        <v>2.5487224829033499</v>
      </c>
      <c r="AK73">
        <v>1</v>
      </c>
      <c r="AL73">
        <v>0</v>
      </c>
      <c r="AM73">
        <v>0</v>
      </c>
    </row>
    <row r="74" spans="1:39" hidden="1" x14ac:dyDescent="0.2">
      <c r="A74" t="s">
        <v>199</v>
      </c>
      <c r="B74" t="s">
        <v>200</v>
      </c>
      <c r="C74" t="s">
        <v>200</v>
      </c>
      <c r="D74" t="s">
        <v>4</v>
      </c>
      <c r="E74">
        <v>0</v>
      </c>
      <c r="F74">
        <v>1</v>
      </c>
      <c r="G74">
        <v>0</v>
      </c>
      <c r="H74">
        <v>0</v>
      </c>
      <c r="I74" t="s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4.5</v>
      </c>
      <c r="AE74">
        <v>284</v>
      </c>
      <c r="AF74">
        <v>8.2586649791706837</v>
      </c>
      <c r="AG74">
        <v>8.6791794787226202</v>
      </c>
      <c r="AH74">
        <v>9.4727272727272727</v>
      </c>
      <c r="AI74">
        <f>5.76844966735891*1</f>
        <v>5.7684496673589098</v>
      </c>
      <c r="AJ74">
        <f>1.03154281794886*1</f>
        <v>1.0315428179488599</v>
      </c>
      <c r="AK74">
        <v>1</v>
      </c>
      <c r="AL74">
        <v>0</v>
      </c>
      <c r="AM74">
        <v>0</v>
      </c>
    </row>
    <row r="75" spans="1:39" hidden="1" x14ac:dyDescent="0.2">
      <c r="A75" t="s">
        <v>201</v>
      </c>
      <c r="B75" t="s">
        <v>202</v>
      </c>
      <c r="C75" t="s">
        <v>202</v>
      </c>
      <c r="D75" t="s">
        <v>4</v>
      </c>
      <c r="E75">
        <v>0</v>
      </c>
      <c r="F75">
        <v>1</v>
      </c>
      <c r="G75">
        <v>0</v>
      </c>
      <c r="H75">
        <v>0</v>
      </c>
      <c r="I75" t="s">
        <v>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4.2</v>
      </c>
      <c r="AE75">
        <v>287</v>
      </c>
      <c r="AF75">
        <v>15.208732081524721</v>
      </c>
      <c r="AG75">
        <v>13.710136159017051</v>
      </c>
      <c r="AH75">
        <v>5.5446171537305631</v>
      </c>
      <c r="AI75">
        <f>10.7246094676755*1</f>
        <v>10.724609467675499</v>
      </c>
      <c r="AJ75">
        <f>1.82358169067625*1</f>
        <v>1.8235816906762501</v>
      </c>
      <c r="AK75">
        <v>1</v>
      </c>
      <c r="AL75">
        <v>0</v>
      </c>
      <c r="AM75">
        <v>0</v>
      </c>
    </row>
    <row r="76" spans="1:39" hidden="1" x14ac:dyDescent="0.2">
      <c r="A76" t="s">
        <v>203</v>
      </c>
      <c r="B76" t="s">
        <v>204</v>
      </c>
      <c r="C76" t="s">
        <v>204</v>
      </c>
      <c r="D76" t="s">
        <v>5</v>
      </c>
      <c r="E76">
        <v>0</v>
      </c>
      <c r="F76">
        <v>0</v>
      </c>
      <c r="G76">
        <v>1</v>
      </c>
      <c r="H76">
        <v>0</v>
      </c>
      <c r="I76" t="s">
        <v>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5.5</v>
      </c>
      <c r="AE76">
        <v>290</v>
      </c>
      <c r="AF76">
        <v>14.15789473684212</v>
      </c>
      <c r="AG76">
        <v>12.60673578150989</v>
      </c>
      <c r="AH76">
        <v>11.81523073207299</v>
      </c>
      <c r="AI76">
        <f>13.9851050595702*1</f>
        <v>13.9851050595702</v>
      </c>
      <c r="AJ76">
        <f>2.75625546942409*1</f>
        <v>2.7562554694240902</v>
      </c>
      <c r="AK76">
        <v>1</v>
      </c>
      <c r="AL76">
        <v>0</v>
      </c>
      <c r="AM76">
        <v>0</v>
      </c>
    </row>
    <row r="77" spans="1:39" hidden="1" x14ac:dyDescent="0.2">
      <c r="A77" t="s">
        <v>205</v>
      </c>
      <c r="B77" t="s">
        <v>206</v>
      </c>
      <c r="C77" t="s">
        <v>206</v>
      </c>
      <c r="D77" t="s">
        <v>3</v>
      </c>
      <c r="E77">
        <v>1</v>
      </c>
      <c r="F77">
        <v>0</v>
      </c>
      <c r="G77">
        <v>0</v>
      </c>
      <c r="H77">
        <v>0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291</v>
      </c>
      <c r="AF77">
        <v>17.779460761102701</v>
      </c>
      <c r="AG77">
        <v>19.359807226377221</v>
      </c>
      <c r="AH77">
        <v>20.443892363409251</v>
      </c>
      <c r="AI77">
        <f>14.1197036697092*1</f>
        <v>14.1197036697092</v>
      </c>
      <c r="AJ77">
        <f>2.88133999033842*1</f>
        <v>2.8813399903384198</v>
      </c>
      <c r="AK77">
        <v>1</v>
      </c>
      <c r="AL77">
        <v>0</v>
      </c>
      <c r="AM77">
        <v>0</v>
      </c>
    </row>
    <row r="78" spans="1:39" hidden="1" x14ac:dyDescent="0.2">
      <c r="A78" t="s">
        <v>207</v>
      </c>
      <c r="B78" t="s">
        <v>208</v>
      </c>
      <c r="C78" t="s">
        <v>209</v>
      </c>
      <c r="D78" t="s">
        <v>6</v>
      </c>
      <c r="E78">
        <v>0</v>
      </c>
      <c r="F78">
        <v>0</v>
      </c>
      <c r="G78">
        <v>0</v>
      </c>
      <c r="H78">
        <v>1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5.7</v>
      </c>
      <c r="AE78">
        <v>294</v>
      </c>
      <c r="AF78">
        <v>18.37419529394683</v>
      </c>
      <c r="AG78">
        <v>21.571144784826661</v>
      </c>
      <c r="AH78">
        <v>11.92</v>
      </c>
      <c r="AI78">
        <f>7.54392133368368*1</f>
        <v>7.5439213336836799</v>
      </c>
      <c r="AJ78">
        <f>1.37558806854647*1</f>
        <v>1.3755880685464701</v>
      </c>
      <c r="AK78">
        <v>1</v>
      </c>
      <c r="AL78">
        <v>0</v>
      </c>
      <c r="AM78">
        <v>0</v>
      </c>
    </row>
    <row r="79" spans="1:39" x14ac:dyDescent="0.2">
      <c r="A79" t="s">
        <v>231</v>
      </c>
      <c r="B79" t="s">
        <v>271</v>
      </c>
      <c r="C79" t="s">
        <v>272</v>
      </c>
      <c r="D79" t="s">
        <v>4</v>
      </c>
      <c r="E79">
        <v>0</v>
      </c>
      <c r="F79">
        <v>1</v>
      </c>
      <c r="G79">
        <v>0</v>
      </c>
      <c r="H79">
        <v>0</v>
      </c>
      <c r="I79" t="s">
        <v>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5.0999999999999996</v>
      </c>
      <c r="AE79">
        <v>436</v>
      </c>
      <c r="AF79">
        <v>17.68656716417911</v>
      </c>
      <c r="AG79">
        <v>19.091266987990469</v>
      </c>
      <c r="AH79">
        <v>23.727441897741379</v>
      </c>
      <c r="AI79">
        <f>27.3977788143805*1</f>
        <v>27.397778814380501</v>
      </c>
      <c r="AJ79">
        <f>5.3013113056242*1</f>
        <v>5.3013113056241998</v>
      </c>
      <c r="AK79">
        <v>1</v>
      </c>
      <c r="AL79">
        <v>1</v>
      </c>
      <c r="AM79">
        <v>1</v>
      </c>
    </row>
    <row r="80" spans="1:39" hidden="1" x14ac:dyDescent="0.2">
      <c r="A80" t="s">
        <v>212</v>
      </c>
      <c r="B80" t="s">
        <v>213</v>
      </c>
      <c r="C80" t="s">
        <v>213</v>
      </c>
      <c r="D80" t="s">
        <v>4</v>
      </c>
      <c r="E80">
        <v>0</v>
      </c>
      <c r="F80">
        <v>1</v>
      </c>
      <c r="G80">
        <v>0</v>
      </c>
      <c r="H80">
        <v>0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4.7</v>
      </c>
      <c r="AE80">
        <v>298</v>
      </c>
      <c r="AF80">
        <v>12.952380952380951</v>
      </c>
      <c r="AG80">
        <v>12.39421226857368</v>
      </c>
      <c r="AH80">
        <v>21.75337903447241</v>
      </c>
      <c r="AI80">
        <f>12.3272396381501*1</f>
        <v>12.3272396381501</v>
      </c>
      <c r="AJ80">
        <f>2.52917022038584*1</f>
        <v>2.5291702203858399</v>
      </c>
      <c r="AK80">
        <v>1</v>
      </c>
      <c r="AL80">
        <v>0</v>
      </c>
      <c r="AM80">
        <v>0</v>
      </c>
    </row>
    <row r="81" spans="1:39" hidden="1" x14ac:dyDescent="0.2">
      <c r="A81" t="s">
        <v>214</v>
      </c>
      <c r="B81" t="s">
        <v>215</v>
      </c>
      <c r="C81" t="s">
        <v>215</v>
      </c>
      <c r="D81" t="s">
        <v>5</v>
      </c>
      <c r="E81">
        <v>0</v>
      </c>
      <c r="F81">
        <v>0</v>
      </c>
      <c r="G81">
        <v>1</v>
      </c>
      <c r="H81">
        <v>0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5.3</v>
      </c>
      <c r="AE81">
        <v>302</v>
      </c>
      <c r="AF81">
        <v>12.88659793814433</v>
      </c>
      <c r="AG81">
        <v>13.40470036008022</v>
      </c>
      <c r="AH81">
        <v>4.628571428571429</v>
      </c>
      <c r="AI81">
        <f>12.081768195679*1</f>
        <v>12.081768195679</v>
      </c>
      <c r="AJ81">
        <f>2.29031436522203*1</f>
        <v>2.2903143652220299</v>
      </c>
      <c r="AK81">
        <v>1</v>
      </c>
      <c r="AL81">
        <v>0</v>
      </c>
      <c r="AM81">
        <v>0</v>
      </c>
    </row>
    <row r="82" spans="1:39" hidden="1" x14ac:dyDescent="0.2">
      <c r="A82" t="s">
        <v>216</v>
      </c>
      <c r="B82" t="s">
        <v>217</v>
      </c>
      <c r="C82" t="s">
        <v>217</v>
      </c>
      <c r="D82" t="s">
        <v>4</v>
      </c>
      <c r="E82">
        <v>0</v>
      </c>
      <c r="F82">
        <v>1</v>
      </c>
      <c r="G82">
        <v>0</v>
      </c>
      <c r="H82">
        <v>0</v>
      </c>
      <c r="I82" t="s">
        <v>20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338</v>
      </c>
      <c r="AF82">
        <v>8.7499999999999982</v>
      </c>
      <c r="AG82">
        <v>6.9330922921850826</v>
      </c>
      <c r="AH82">
        <v>10.62796896779011</v>
      </c>
      <c r="AI82">
        <f>4.32012518888705*1</f>
        <v>4.32012518888705</v>
      </c>
      <c r="AJ82">
        <f>0.861198780402657*1</f>
        <v>0.86119878040265696</v>
      </c>
      <c r="AK82">
        <v>1</v>
      </c>
      <c r="AL82">
        <v>0</v>
      </c>
      <c r="AM82">
        <v>0</v>
      </c>
    </row>
    <row r="83" spans="1:39" hidden="1" x14ac:dyDescent="0.2">
      <c r="A83" t="s">
        <v>218</v>
      </c>
      <c r="B83" t="s">
        <v>219</v>
      </c>
      <c r="C83" t="s">
        <v>219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20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</v>
      </c>
      <c r="AE83">
        <v>340</v>
      </c>
      <c r="AF83">
        <v>13.54838709677419</v>
      </c>
      <c r="AG83">
        <v>19.407678236486809</v>
      </c>
      <c r="AH83">
        <v>9.7666666666666657</v>
      </c>
      <c r="AI83">
        <f>7.55564452131585*1</f>
        <v>7.5556445213158501</v>
      </c>
      <c r="AJ83">
        <f>1.5712136760509*1</f>
        <v>1.5712136760508999</v>
      </c>
      <c r="AK83">
        <v>1</v>
      </c>
      <c r="AL83">
        <v>0</v>
      </c>
      <c r="AM83">
        <v>0</v>
      </c>
    </row>
    <row r="84" spans="1:39" hidden="1" x14ac:dyDescent="0.2">
      <c r="A84" t="s">
        <v>220</v>
      </c>
      <c r="B84" t="s">
        <v>221</v>
      </c>
      <c r="C84" t="s">
        <v>221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341</v>
      </c>
      <c r="AF84">
        <v>13.13953488372093</v>
      </c>
      <c r="AG84">
        <v>8.9199903147171948</v>
      </c>
      <c r="AH84">
        <v>39.502380952380953</v>
      </c>
      <c r="AI84">
        <f>21.8986184301157*1</f>
        <v>21.8986184301157</v>
      </c>
      <c r="AJ84">
        <f>4.36910828089063*1</f>
        <v>4.3691082808906296</v>
      </c>
      <c r="AK84">
        <v>1</v>
      </c>
      <c r="AL84">
        <v>0</v>
      </c>
      <c r="AM84">
        <v>0</v>
      </c>
    </row>
    <row r="85" spans="1:39" hidden="1" x14ac:dyDescent="0.2">
      <c r="A85" t="s">
        <v>189</v>
      </c>
      <c r="B85" t="s">
        <v>222</v>
      </c>
      <c r="C85" t="s">
        <v>223</v>
      </c>
      <c r="D85" t="s">
        <v>5</v>
      </c>
      <c r="E85">
        <v>0</v>
      </c>
      <c r="F85">
        <v>0</v>
      </c>
      <c r="G85">
        <v>1</v>
      </c>
      <c r="H85">
        <v>0</v>
      </c>
      <c r="I85" t="s">
        <v>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5.2</v>
      </c>
      <c r="AE85">
        <v>342</v>
      </c>
      <c r="AF85">
        <v>13.85204081632652</v>
      </c>
      <c r="AG85">
        <v>13.65157182804403</v>
      </c>
      <c r="AH85">
        <v>14.002546224866871</v>
      </c>
      <c r="AI85">
        <f>7.30918149603065*1</f>
        <v>7.30918149603065</v>
      </c>
      <c r="AJ85">
        <f>1.43542988215801*1</f>
        <v>1.43542988215801</v>
      </c>
      <c r="AK85">
        <v>1</v>
      </c>
      <c r="AL85">
        <v>0</v>
      </c>
      <c r="AM85">
        <v>0</v>
      </c>
    </row>
    <row r="86" spans="1:39" hidden="1" x14ac:dyDescent="0.2">
      <c r="A86" t="s">
        <v>224</v>
      </c>
      <c r="B86" t="s">
        <v>225</v>
      </c>
      <c r="C86" t="s">
        <v>226</v>
      </c>
      <c r="D86" t="s">
        <v>3</v>
      </c>
      <c r="E86">
        <v>1</v>
      </c>
      <c r="F86">
        <v>0</v>
      </c>
      <c r="G86">
        <v>0</v>
      </c>
      <c r="H86">
        <v>0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5.4</v>
      </c>
      <c r="AE86">
        <v>374</v>
      </c>
      <c r="AF86">
        <v>22.852056849959119</v>
      </c>
      <c r="AG86">
        <v>20.489302445956501</v>
      </c>
      <c r="AH86">
        <v>28.828008631019379</v>
      </c>
      <c r="AI86">
        <f>23.4095039186848*1</f>
        <v>23.409503918684798</v>
      </c>
      <c r="AJ86">
        <f>5.00751825357024*1</f>
        <v>5.0075182535702396</v>
      </c>
      <c r="AK86">
        <v>1</v>
      </c>
      <c r="AL86">
        <v>0</v>
      </c>
      <c r="AM86">
        <v>0</v>
      </c>
    </row>
    <row r="87" spans="1:39" x14ac:dyDescent="0.2">
      <c r="A87" t="s">
        <v>128</v>
      </c>
      <c r="B87" t="s">
        <v>129</v>
      </c>
      <c r="C87" t="s">
        <v>129</v>
      </c>
      <c r="D87" t="s">
        <v>5</v>
      </c>
      <c r="E87">
        <v>0</v>
      </c>
      <c r="F87">
        <v>0</v>
      </c>
      <c r="G87">
        <v>1</v>
      </c>
      <c r="H87">
        <v>0</v>
      </c>
      <c r="I87" t="s">
        <v>14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7.6</v>
      </c>
      <c r="AE87">
        <v>113</v>
      </c>
      <c r="AF87">
        <v>26.395346737277929</v>
      </c>
      <c r="AG87">
        <v>19.646965346420249</v>
      </c>
      <c r="AH87">
        <v>40.953662518037518</v>
      </c>
      <c r="AI87">
        <f>22.6395369487485*1</f>
        <v>22.6395369487485</v>
      </c>
      <c r="AJ87">
        <f>4.51250464475191*1</f>
        <v>4.5125046447519104</v>
      </c>
      <c r="AK87">
        <v>1</v>
      </c>
      <c r="AL87">
        <v>1</v>
      </c>
      <c r="AM87">
        <v>1</v>
      </c>
    </row>
    <row r="88" spans="1:39" hidden="1" x14ac:dyDescent="0.2">
      <c r="A88" t="s">
        <v>229</v>
      </c>
      <c r="B88" t="s">
        <v>230</v>
      </c>
      <c r="C88" t="s">
        <v>229</v>
      </c>
      <c r="D88" t="s">
        <v>6</v>
      </c>
      <c r="E88">
        <v>0</v>
      </c>
      <c r="F88">
        <v>0</v>
      </c>
      <c r="G88">
        <v>0</v>
      </c>
      <c r="H88">
        <v>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7.1</v>
      </c>
      <c r="AE88">
        <v>379</v>
      </c>
      <c r="AF88">
        <v>17.835820895522389</v>
      </c>
      <c r="AG88">
        <v>26.378218349992689</v>
      </c>
      <c r="AH88">
        <v>8.8928585357443719</v>
      </c>
      <c r="AI88">
        <f>6.97083286841972*1</f>
        <v>6.9708328684197198</v>
      </c>
      <c r="AJ88">
        <f>1.47721341434006*1</f>
        <v>1.4772134143400599</v>
      </c>
      <c r="AK88">
        <v>1</v>
      </c>
      <c r="AL88">
        <v>0</v>
      </c>
      <c r="AM88">
        <v>0</v>
      </c>
    </row>
    <row r="89" spans="1:39" hidden="1" x14ac:dyDescent="0.2">
      <c r="A89" t="s">
        <v>231</v>
      </c>
      <c r="B89" t="s">
        <v>232</v>
      </c>
      <c r="C89" t="s">
        <v>233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7.4</v>
      </c>
      <c r="AE89">
        <v>380</v>
      </c>
      <c r="AF89">
        <v>22.7659574468085</v>
      </c>
      <c r="AG89">
        <v>28.139889070623031</v>
      </c>
      <c r="AH89">
        <v>32.313333333333333</v>
      </c>
      <c r="AI89">
        <f>20.6192619692368*1</f>
        <v>20.619261969236799</v>
      </c>
      <c r="AJ89">
        <f>3.87795751315926*1</f>
        <v>3.8779575131592599</v>
      </c>
      <c r="AK89">
        <v>1</v>
      </c>
      <c r="AL89">
        <v>0</v>
      </c>
      <c r="AM89">
        <v>0</v>
      </c>
    </row>
    <row r="90" spans="1:39" hidden="1" x14ac:dyDescent="0.2">
      <c r="A90" t="s">
        <v>234</v>
      </c>
      <c r="B90" t="s">
        <v>235</v>
      </c>
      <c r="C90" t="s">
        <v>235</v>
      </c>
      <c r="D90" t="s">
        <v>5</v>
      </c>
      <c r="E90">
        <v>0</v>
      </c>
      <c r="F90">
        <v>0</v>
      </c>
      <c r="G90">
        <v>1</v>
      </c>
      <c r="H90">
        <v>0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5.2</v>
      </c>
      <c r="AE90">
        <v>382</v>
      </c>
      <c r="AF90">
        <v>10.999032011828779</v>
      </c>
      <c r="AG90">
        <v>8.635288903982163</v>
      </c>
      <c r="AH90">
        <v>34.220204081632652</v>
      </c>
      <c r="AI90">
        <f>16.1629570549426*1</f>
        <v>16.162957054942598</v>
      </c>
      <c r="AJ90">
        <f>3.04547801675008*1</f>
        <v>3.0454780167500801</v>
      </c>
      <c r="AK90">
        <v>1</v>
      </c>
      <c r="AL90">
        <v>0</v>
      </c>
      <c r="AM90">
        <v>0</v>
      </c>
    </row>
    <row r="91" spans="1:39" hidden="1" x14ac:dyDescent="0.2">
      <c r="A91" t="s">
        <v>236</v>
      </c>
      <c r="B91" t="s">
        <v>237</v>
      </c>
      <c r="C91" t="s">
        <v>237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5.3</v>
      </c>
      <c r="AE91">
        <v>387</v>
      </c>
      <c r="AF91">
        <v>11.19318181818182</v>
      </c>
      <c r="AG91">
        <v>9.5746665151347763</v>
      </c>
      <c r="AH91">
        <v>24.06190476190476</v>
      </c>
      <c r="AI91">
        <f>12.480375014718*1</f>
        <v>12.480375014718</v>
      </c>
      <c r="AJ91">
        <f>2.57704526521959*1</f>
        <v>2.5770452652195899</v>
      </c>
      <c r="AK91">
        <v>1</v>
      </c>
      <c r="AL91">
        <v>0</v>
      </c>
      <c r="AM91">
        <v>0</v>
      </c>
    </row>
    <row r="92" spans="1:39" hidden="1" x14ac:dyDescent="0.2">
      <c r="A92" t="s">
        <v>238</v>
      </c>
      <c r="B92" t="s">
        <v>239</v>
      </c>
      <c r="C92" t="s">
        <v>239</v>
      </c>
      <c r="D92" t="s">
        <v>4</v>
      </c>
      <c r="E92">
        <v>0</v>
      </c>
      <c r="F92">
        <v>1</v>
      </c>
      <c r="G92">
        <v>0</v>
      </c>
      <c r="H92">
        <v>0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5.3</v>
      </c>
      <c r="AE92">
        <v>389</v>
      </c>
      <c r="AF92">
        <v>15.438596491228081</v>
      </c>
      <c r="AG92">
        <v>12.215735756409069</v>
      </c>
      <c r="AH92">
        <v>18.166063424354022</v>
      </c>
      <c r="AI92">
        <f>17.5418811899751*1</f>
        <v>17.541881189975101</v>
      </c>
      <c r="AJ92">
        <f>3.38130204476658*1</f>
        <v>3.38130204476658</v>
      </c>
      <c r="AK92">
        <v>1</v>
      </c>
      <c r="AL92">
        <v>0</v>
      </c>
      <c r="AM92">
        <v>0</v>
      </c>
    </row>
    <row r="93" spans="1:39" x14ac:dyDescent="0.2">
      <c r="A93" t="s">
        <v>234</v>
      </c>
      <c r="B93" t="s">
        <v>282</v>
      </c>
      <c r="C93" t="s">
        <v>282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6.5</v>
      </c>
      <c r="AE93">
        <v>464</v>
      </c>
      <c r="AF93">
        <v>20.009868542884249</v>
      </c>
      <c r="AG93">
        <v>17.01695728406834</v>
      </c>
      <c r="AH93">
        <v>11.232187858463989</v>
      </c>
      <c r="AI93">
        <f>22.1514460406499*1</f>
        <v>22.151446040649901</v>
      </c>
      <c r="AJ93">
        <f>4.18101226662277*1</f>
        <v>4.18101226662277</v>
      </c>
      <c r="AK93">
        <v>1</v>
      </c>
      <c r="AL93">
        <v>1</v>
      </c>
      <c r="AM93">
        <v>1</v>
      </c>
    </row>
    <row r="94" spans="1:39" hidden="1" x14ac:dyDescent="0.2">
      <c r="A94" t="s">
        <v>243</v>
      </c>
      <c r="B94" t="s">
        <v>244</v>
      </c>
      <c r="C94" t="s">
        <v>245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12.6</v>
      </c>
      <c r="AE94">
        <v>391</v>
      </c>
      <c r="AF94">
        <v>34.597156398104246</v>
      </c>
      <c r="AG94">
        <v>33.286229601660352</v>
      </c>
      <c r="AH94">
        <v>36.800488433446112</v>
      </c>
      <c r="AI94">
        <f>37.0604127832618*1</f>
        <v>37.060412783261803</v>
      </c>
      <c r="AJ94">
        <f>7.46049791443669*1</f>
        <v>7.4604979144366901</v>
      </c>
      <c r="AK94">
        <v>1</v>
      </c>
      <c r="AL94">
        <v>0</v>
      </c>
      <c r="AM94">
        <v>0</v>
      </c>
    </row>
    <row r="95" spans="1:39" x14ac:dyDescent="0.2">
      <c r="A95" t="s">
        <v>314</v>
      </c>
      <c r="B95" t="s">
        <v>315</v>
      </c>
      <c r="C95" t="s">
        <v>316</v>
      </c>
      <c r="D95" t="s">
        <v>4</v>
      </c>
      <c r="E95">
        <v>0</v>
      </c>
      <c r="F95">
        <v>1</v>
      </c>
      <c r="G95">
        <v>0</v>
      </c>
      <c r="H95">
        <v>0</v>
      </c>
      <c r="I95" t="s">
        <v>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5.5</v>
      </c>
      <c r="AE95">
        <v>583</v>
      </c>
      <c r="AF95">
        <v>19.017857142857149</v>
      </c>
      <c r="AG95">
        <v>16.633254308293019</v>
      </c>
      <c r="AH95">
        <v>8.4422619047619065</v>
      </c>
      <c r="AI95">
        <f>22.0170844739425*1</f>
        <v>22.0170844739425</v>
      </c>
      <c r="AJ95">
        <f>3.50545696636459*1</f>
        <v>3.5054569663645898</v>
      </c>
      <c r="AK95">
        <v>1</v>
      </c>
      <c r="AL95">
        <v>1</v>
      </c>
      <c r="AM95">
        <v>1</v>
      </c>
    </row>
    <row r="96" spans="1:39" hidden="1" x14ac:dyDescent="0.2">
      <c r="A96" t="s">
        <v>248</v>
      </c>
      <c r="B96" t="s">
        <v>249</v>
      </c>
      <c r="C96" t="s">
        <v>248</v>
      </c>
      <c r="D96" t="s">
        <v>4</v>
      </c>
      <c r="E96">
        <v>0</v>
      </c>
      <c r="F96">
        <v>1</v>
      </c>
      <c r="G96">
        <v>0</v>
      </c>
      <c r="H96">
        <v>0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</v>
      </c>
      <c r="AE96">
        <v>401</v>
      </c>
      <c r="AF96">
        <v>19.457583984094999</v>
      </c>
      <c r="AG96">
        <v>27.832039979021928</v>
      </c>
      <c r="AH96">
        <v>19.792329992130789</v>
      </c>
      <c r="AI96">
        <f>25.6097498313329*1</f>
        <v>25.609749831332898</v>
      </c>
      <c r="AJ96">
        <f>5.36686584243971*1</f>
        <v>5.3668658424397098</v>
      </c>
      <c r="AK96">
        <v>1</v>
      </c>
      <c r="AL96">
        <v>0</v>
      </c>
      <c r="AM96">
        <v>0</v>
      </c>
    </row>
    <row r="97" spans="1:39" hidden="1" x14ac:dyDescent="0.2">
      <c r="A97" t="s">
        <v>116</v>
      </c>
      <c r="B97" t="s">
        <v>250</v>
      </c>
      <c r="C97" t="s">
        <v>250</v>
      </c>
      <c r="D97" t="s">
        <v>4</v>
      </c>
      <c r="E97">
        <v>0</v>
      </c>
      <c r="F97">
        <v>1</v>
      </c>
      <c r="G97">
        <v>0</v>
      </c>
      <c r="H97">
        <v>0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5.3</v>
      </c>
      <c r="AE97">
        <v>405</v>
      </c>
      <c r="AF97">
        <v>16.27586206896553</v>
      </c>
      <c r="AG97">
        <v>16.230080212738361</v>
      </c>
      <c r="AH97">
        <v>16.307936173887811</v>
      </c>
      <c r="AI97">
        <f>6.09951035215096*1</f>
        <v>6.0995103521509604</v>
      </c>
      <c r="AJ97">
        <f>1.23392852191313*1</f>
        <v>1.23392852191313</v>
      </c>
      <c r="AK97">
        <v>1</v>
      </c>
      <c r="AL97">
        <v>0</v>
      </c>
      <c r="AM97">
        <v>0</v>
      </c>
    </row>
    <row r="98" spans="1:39" hidden="1" x14ac:dyDescent="0.2">
      <c r="A98" t="s">
        <v>251</v>
      </c>
      <c r="B98" t="s">
        <v>252</v>
      </c>
      <c r="C98" t="s">
        <v>251</v>
      </c>
      <c r="D98" t="s">
        <v>5</v>
      </c>
      <c r="E98">
        <v>0</v>
      </c>
      <c r="F98">
        <v>0</v>
      </c>
      <c r="G98">
        <v>1</v>
      </c>
      <c r="H98">
        <v>0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6.5</v>
      </c>
      <c r="AE98">
        <v>406</v>
      </c>
      <c r="AF98">
        <v>18.42857142857142</v>
      </c>
      <c r="AG98">
        <v>21.524245104755028</v>
      </c>
      <c r="AH98">
        <v>13.85791666666667</v>
      </c>
      <c r="AI98">
        <f>16.8501272541249*1</f>
        <v>16.850127254124899</v>
      </c>
      <c r="AJ98">
        <f>3.07896164846021*1</f>
        <v>3.07896164846021</v>
      </c>
      <c r="AK98">
        <v>1</v>
      </c>
      <c r="AL98">
        <v>0</v>
      </c>
      <c r="AM98">
        <v>0</v>
      </c>
    </row>
    <row r="99" spans="1:39" hidden="1" x14ac:dyDescent="0.2">
      <c r="A99" t="s">
        <v>253</v>
      </c>
      <c r="B99" t="s">
        <v>254</v>
      </c>
      <c r="C99" t="s">
        <v>254</v>
      </c>
      <c r="D99" t="s">
        <v>5</v>
      </c>
      <c r="E99">
        <v>0</v>
      </c>
      <c r="F99">
        <v>0</v>
      </c>
      <c r="G99">
        <v>1</v>
      </c>
      <c r="H99">
        <v>0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6.3</v>
      </c>
      <c r="AE99">
        <v>410</v>
      </c>
      <c r="AF99">
        <v>17.058823529411761</v>
      </c>
      <c r="AG99">
        <v>23.769155770307918</v>
      </c>
      <c r="AH99">
        <v>15.585714285714291</v>
      </c>
      <c r="AI99">
        <f>19.053654574147*1</f>
        <v>19.053654574147</v>
      </c>
      <c r="AJ99">
        <f>3.43543294340171*1</f>
        <v>3.4354329434017101</v>
      </c>
      <c r="AK99">
        <v>1</v>
      </c>
      <c r="AL99">
        <v>0</v>
      </c>
      <c r="AM99">
        <v>0</v>
      </c>
    </row>
    <row r="100" spans="1:39" hidden="1" x14ac:dyDescent="0.2">
      <c r="A100" t="s">
        <v>255</v>
      </c>
      <c r="B100" t="s">
        <v>256</v>
      </c>
      <c r="C100" t="s">
        <v>257</v>
      </c>
      <c r="D100" t="s">
        <v>3</v>
      </c>
      <c r="E100">
        <v>1</v>
      </c>
      <c r="F100">
        <v>0</v>
      </c>
      <c r="G100">
        <v>0</v>
      </c>
      <c r="H100">
        <v>0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5.5</v>
      </c>
      <c r="AE100">
        <v>411</v>
      </c>
      <c r="AF100">
        <v>19.306220095693782</v>
      </c>
      <c r="AG100">
        <v>19.179159493086502</v>
      </c>
      <c r="AH100">
        <v>6.0889856150793662</v>
      </c>
      <c r="AI100">
        <f>15.1848426586192*1</f>
        <v>15.1848426586192</v>
      </c>
      <c r="AJ100">
        <f>2.90076629117987*1</f>
        <v>2.9007662911798699</v>
      </c>
      <c r="AK100">
        <v>1</v>
      </c>
      <c r="AL100">
        <v>0</v>
      </c>
      <c r="AM100">
        <v>0</v>
      </c>
    </row>
    <row r="101" spans="1:39" hidden="1" x14ac:dyDescent="0.2">
      <c r="A101" t="s">
        <v>183</v>
      </c>
      <c r="B101" t="s">
        <v>258</v>
      </c>
      <c r="C101" t="s">
        <v>258</v>
      </c>
      <c r="D101" t="s">
        <v>5</v>
      </c>
      <c r="E101">
        <v>0</v>
      </c>
      <c r="F101">
        <v>0</v>
      </c>
      <c r="G101">
        <v>1</v>
      </c>
      <c r="H101">
        <v>0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6.4</v>
      </c>
      <c r="AE101">
        <v>413</v>
      </c>
      <c r="AF101">
        <v>18.878010823123191</v>
      </c>
      <c r="AG101">
        <v>18.202525324215191</v>
      </c>
      <c r="AH101">
        <v>11.470488487352061</v>
      </c>
      <c r="AI101">
        <f>8.91104744159301*1</f>
        <v>8.9110474415930092</v>
      </c>
      <c r="AJ101">
        <f>1.87956501081808*1</f>
        <v>1.8795650108180799</v>
      </c>
      <c r="AK101">
        <v>1</v>
      </c>
      <c r="AL101">
        <v>0</v>
      </c>
      <c r="AM101">
        <v>0</v>
      </c>
    </row>
    <row r="102" spans="1:39" hidden="1" x14ac:dyDescent="0.2">
      <c r="A102" t="s">
        <v>259</v>
      </c>
      <c r="B102" t="s">
        <v>260</v>
      </c>
      <c r="C102" t="s">
        <v>260</v>
      </c>
      <c r="D102" t="s">
        <v>4</v>
      </c>
      <c r="E102">
        <v>0</v>
      </c>
      <c r="F102">
        <v>1</v>
      </c>
      <c r="G102">
        <v>0</v>
      </c>
      <c r="H102">
        <v>0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6.1</v>
      </c>
      <c r="AE102">
        <v>414</v>
      </c>
      <c r="AF102">
        <v>19.285714285714281</v>
      </c>
      <c r="AG102">
        <v>22.23960469009187</v>
      </c>
      <c r="AH102">
        <v>31.82</v>
      </c>
      <c r="AI102">
        <f>10.7666685244689*1</f>
        <v>10.7666685244689</v>
      </c>
      <c r="AJ102">
        <f>1.91691850567033*1</f>
        <v>1.91691850567033</v>
      </c>
      <c r="AK102">
        <v>1</v>
      </c>
      <c r="AL102">
        <v>0</v>
      </c>
      <c r="AM102">
        <v>0</v>
      </c>
    </row>
    <row r="103" spans="1:39" hidden="1" x14ac:dyDescent="0.2">
      <c r="A103" t="s">
        <v>261</v>
      </c>
      <c r="B103" t="s">
        <v>262</v>
      </c>
      <c r="C103" t="s">
        <v>262</v>
      </c>
      <c r="D103" t="s">
        <v>6</v>
      </c>
      <c r="E103">
        <v>0</v>
      </c>
      <c r="F103">
        <v>0</v>
      </c>
      <c r="G103">
        <v>0</v>
      </c>
      <c r="H103">
        <v>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15.4</v>
      </c>
      <c r="AE103">
        <v>415</v>
      </c>
      <c r="AF103">
        <v>39.632352941176471</v>
      </c>
      <c r="AG103">
        <v>35.828389454362039</v>
      </c>
      <c r="AH103">
        <v>22.027573696145119</v>
      </c>
      <c r="AI103">
        <f>17.5985707822798*1</f>
        <v>17.598570782279801</v>
      </c>
      <c r="AJ103">
        <f>3.13752362559663*1</f>
        <v>3.1375236255966299</v>
      </c>
      <c r="AK103">
        <v>1</v>
      </c>
      <c r="AL103">
        <v>0</v>
      </c>
      <c r="AM103">
        <v>0</v>
      </c>
    </row>
    <row r="104" spans="1:39" hidden="1" x14ac:dyDescent="0.2">
      <c r="A104" t="s">
        <v>263</v>
      </c>
      <c r="B104" t="s">
        <v>264</v>
      </c>
      <c r="C104" t="s">
        <v>265</v>
      </c>
      <c r="D104" t="s">
        <v>6</v>
      </c>
      <c r="E104">
        <v>0</v>
      </c>
      <c r="F104">
        <v>0</v>
      </c>
      <c r="G104">
        <v>0</v>
      </c>
      <c r="H104">
        <v>1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</v>
      </c>
      <c r="AE104">
        <v>416</v>
      </c>
      <c r="AF104">
        <v>18.571428571428569</v>
      </c>
      <c r="AG104">
        <v>21.77979028198385</v>
      </c>
      <c r="AH104">
        <v>20.320009851056739</v>
      </c>
      <c r="AI104">
        <f>13.8333791503899*1</f>
        <v>13.8333791503899</v>
      </c>
      <c r="AJ104">
        <f>2.40181957986004*1</f>
        <v>2.4018195798600401</v>
      </c>
      <c r="AK104">
        <v>1</v>
      </c>
      <c r="AL104">
        <v>0</v>
      </c>
      <c r="AM104">
        <v>0</v>
      </c>
    </row>
    <row r="105" spans="1:39" hidden="1" x14ac:dyDescent="0.2">
      <c r="A105" t="s">
        <v>266</v>
      </c>
      <c r="B105" t="s">
        <v>267</v>
      </c>
      <c r="C105" t="s">
        <v>267</v>
      </c>
      <c r="D105" t="s">
        <v>5</v>
      </c>
      <c r="E105">
        <v>0</v>
      </c>
      <c r="F105">
        <v>0</v>
      </c>
      <c r="G105">
        <v>1</v>
      </c>
      <c r="H105">
        <v>0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5.6</v>
      </c>
      <c r="AE105">
        <v>418</v>
      </c>
      <c r="AF105">
        <v>25.497637800649851</v>
      </c>
      <c r="AG105">
        <v>9.9671162068429506</v>
      </c>
      <c r="AH105">
        <v>34.760247908090243</v>
      </c>
      <c r="AI105">
        <f>32.872514766937*1</f>
        <v>32.872514766937002</v>
      </c>
      <c r="AJ105">
        <f>7.64497976065236*1</f>
        <v>7.64497976065236</v>
      </c>
      <c r="AK105">
        <v>1</v>
      </c>
      <c r="AL105">
        <v>0</v>
      </c>
      <c r="AM105">
        <v>0</v>
      </c>
    </row>
    <row r="106" spans="1:39" hidden="1" x14ac:dyDescent="0.2">
      <c r="A106" t="s">
        <v>268</v>
      </c>
      <c r="B106" t="s">
        <v>269</v>
      </c>
      <c r="C106" t="s">
        <v>270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8.1999999999999993</v>
      </c>
      <c r="AE106">
        <v>433</v>
      </c>
      <c r="AF106">
        <v>21.866666666666671</v>
      </c>
      <c r="AG106">
        <v>18.585683291650639</v>
      </c>
      <c r="AH106">
        <v>8</v>
      </c>
      <c r="AI106">
        <f>2.76247237759943*1</f>
        <v>2.7624723775994302</v>
      </c>
      <c r="AJ106">
        <f>0.536767342402567*1</f>
        <v>0.53676734240256696</v>
      </c>
      <c r="AK106">
        <v>1</v>
      </c>
      <c r="AL106">
        <v>0</v>
      </c>
      <c r="AM106">
        <v>0</v>
      </c>
    </row>
    <row r="107" spans="1:39" x14ac:dyDescent="0.2">
      <c r="A107" t="s">
        <v>246</v>
      </c>
      <c r="B107" t="s">
        <v>247</v>
      </c>
      <c r="C107" t="s">
        <v>247</v>
      </c>
      <c r="D107" t="s">
        <v>4</v>
      </c>
      <c r="E107">
        <v>0</v>
      </c>
      <c r="F107">
        <v>1</v>
      </c>
      <c r="G107">
        <v>0</v>
      </c>
      <c r="H107">
        <v>0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</v>
      </c>
      <c r="AE107">
        <v>398</v>
      </c>
      <c r="AF107">
        <v>19.06356770767955</v>
      </c>
      <c r="AG107">
        <v>25.715799310978412</v>
      </c>
      <c r="AH107">
        <v>10.155159099902949</v>
      </c>
      <c r="AI107">
        <f>16.243177090857*1</f>
        <v>16.243177090856999</v>
      </c>
      <c r="AJ107">
        <f>3.43404014248697*1</f>
        <v>3.4340401424869702</v>
      </c>
      <c r="AK107">
        <v>1</v>
      </c>
      <c r="AL107">
        <v>1</v>
      </c>
      <c r="AM107">
        <v>1</v>
      </c>
    </row>
    <row r="108" spans="1:39" hidden="1" x14ac:dyDescent="0.2">
      <c r="A108" t="s">
        <v>130</v>
      </c>
      <c r="B108" t="s">
        <v>273</v>
      </c>
      <c r="C108" t="s">
        <v>273</v>
      </c>
      <c r="D108" t="s">
        <v>5</v>
      </c>
      <c r="E108">
        <v>0</v>
      </c>
      <c r="F108">
        <v>0</v>
      </c>
      <c r="G108">
        <v>1</v>
      </c>
      <c r="H108">
        <v>0</v>
      </c>
      <c r="I108" t="s">
        <v>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5.4</v>
      </c>
      <c r="AE108">
        <v>437</v>
      </c>
      <c r="AF108">
        <v>11.18740941241612</v>
      </c>
      <c r="AG108">
        <v>14.62421193252302</v>
      </c>
      <c r="AH108">
        <v>11.46471028971029</v>
      </c>
      <c r="AI108">
        <f>6.66462892786949*1</f>
        <v>6.6646289278694901</v>
      </c>
      <c r="AJ108">
        <f>1.15706425471374*1</f>
        <v>1.15706425471374</v>
      </c>
      <c r="AK108">
        <v>1</v>
      </c>
      <c r="AL108">
        <v>0</v>
      </c>
      <c r="AM108">
        <v>0</v>
      </c>
    </row>
    <row r="109" spans="1:39" hidden="1" x14ac:dyDescent="0.2">
      <c r="A109" t="s">
        <v>274</v>
      </c>
      <c r="B109" t="s">
        <v>275</v>
      </c>
      <c r="C109" t="s">
        <v>275</v>
      </c>
      <c r="D109" t="s">
        <v>4</v>
      </c>
      <c r="E109">
        <v>0</v>
      </c>
      <c r="F109">
        <v>1</v>
      </c>
      <c r="G109">
        <v>0</v>
      </c>
      <c r="H109">
        <v>0</v>
      </c>
      <c r="I109" t="s">
        <v>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4.4000000000000004</v>
      </c>
      <c r="AE109">
        <v>438</v>
      </c>
      <c r="AF109">
        <v>14.687499999999989</v>
      </c>
      <c r="AG109">
        <v>14.05556215127919</v>
      </c>
      <c r="AH109">
        <v>12.929524753297111</v>
      </c>
      <c r="AI109">
        <f>10.6983276974418*1</f>
        <v>10.698327697441799</v>
      </c>
      <c r="AJ109">
        <f>2.01934484920829*1</f>
        <v>2.0193448492082902</v>
      </c>
      <c r="AK109">
        <v>1</v>
      </c>
      <c r="AL109">
        <v>0</v>
      </c>
      <c r="AM109">
        <v>0</v>
      </c>
    </row>
    <row r="110" spans="1:39" hidden="1" x14ac:dyDescent="0.2">
      <c r="A110" t="s">
        <v>276</v>
      </c>
      <c r="B110" t="s">
        <v>277</v>
      </c>
      <c r="C110" t="s">
        <v>277</v>
      </c>
      <c r="D110" t="s">
        <v>5</v>
      </c>
      <c r="E110">
        <v>0</v>
      </c>
      <c r="F110">
        <v>0</v>
      </c>
      <c r="G110">
        <v>1</v>
      </c>
      <c r="H110">
        <v>0</v>
      </c>
      <c r="I110" t="s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6.2</v>
      </c>
      <c r="AE110">
        <v>439</v>
      </c>
      <c r="AF110">
        <v>17.60414877100585</v>
      </c>
      <c r="AG110">
        <v>17.33789738152948</v>
      </c>
      <c r="AH110">
        <v>42.999999999999993</v>
      </c>
      <c r="AI110">
        <f>14.9001793664862*1</f>
        <v>14.900179366486199</v>
      </c>
      <c r="AJ110">
        <f>1.95102038770283*1</f>
        <v>1.95102038770283</v>
      </c>
      <c r="AK110">
        <v>1</v>
      </c>
      <c r="AL110">
        <v>0</v>
      </c>
      <c r="AM110">
        <v>0</v>
      </c>
    </row>
    <row r="111" spans="1:39" hidden="1" x14ac:dyDescent="0.2">
      <c r="A111" t="s">
        <v>278</v>
      </c>
      <c r="B111" t="s">
        <v>279</v>
      </c>
      <c r="C111" t="s">
        <v>279</v>
      </c>
      <c r="D111" t="s">
        <v>6</v>
      </c>
      <c r="E111">
        <v>0</v>
      </c>
      <c r="F111">
        <v>0</v>
      </c>
      <c r="G111">
        <v>0</v>
      </c>
      <c r="H111">
        <v>1</v>
      </c>
      <c r="I111" t="s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6.9</v>
      </c>
      <c r="AE111">
        <v>442</v>
      </c>
      <c r="AF111">
        <v>22.09058373929529</v>
      </c>
      <c r="AG111">
        <v>33.952108488017842</v>
      </c>
      <c r="AH111">
        <v>18.68</v>
      </c>
      <c r="AI111">
        <f>19.7605087341109*1</f>
        <v>19.7605087341109</v>
      </c>
      <c r="AJ111">
        <f>4.1523168905863*1</f>
        <v>4.1523168905862997</v>
      </c>
      <c r="AK111">
        <v>1</v>
      </c>
      <c r="AL111">
        <v>0</v>
      </c>
      <c r="AM111">
        <v>0</v>
      </c>
    </row>
    <row r="112" spans="1:39" x14ac:dyDescent="0.2">
      <c r="A112" t="s">
        <v>45</v>
      </c>
      <c r="B112" t="s">
        <v>46</v>
      </c>
      <c r="C112" t="s">
        <v>45</v>
      </c>
      <c r="D112" t="s">
        <v>4</v>
      </c>
      <c r="E112">
        <v>0</v>
      </c>
      <c r="F112">
        <v>1</v>
      </c>
      <c r="G112">
        <v>0</v>
      </c>
      <c r="H112">
        <v>0</v>
      </c>
      <c r="I112" t="s">
        <v>11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6.3</v>
      </c>
      <c r="AE112">
        <v>2</v>
      </c>
      <c r="AF112">
        <v>20.207128127345229</v>
      </c>
      <c r="AG112">
        <v>20.390149872732671</v>
      </c>
      <c r="AH112">
        <v>6.2411773643023638</v>
      </c>
      <c r="AI112">
        <f>14.5053068698595*1</f>
        <v>14.505306869859499</v>
      </c>
      <c r="AJ112">
        <f>3.38562675356852*1</f>
        <v>3.3856267535685198</v>
      </c>
      <c r="AK112">
        <v>1</v>
      </c>
      <c r="AL112">
        <v>1</v>
      </c>
      <c r="AM112">
        <v>1</v>
      </c>
    </row>
    <row r="113" spans="1:39" hidden="1" x14ac:dyDescent="0.2">
      <c r="A113" t="s">
        <v>112</v>
      </c>
      <c r="B113" t="s">
        <v>281</v>
      </c>
      <c r="C113" t="s">
        <v>281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6.9</v>
      </c>
      <c r="AE113">
        <v>452</v>
      </c>
      <c r="AF113">
        <v>21.89473684210526</v>
      </c>
      <c r="AG113">
        <v>24.09488840749372</v>
      </c>
      <c r="AH113">
        <v>18.83766891182599</v>
      </c>
      <c r="AI113">
        <f>14.1464533433178*1</f>
        <v>14.1464533433178</v>
      </c>
      <c r="AJ113">
        <f>2.58532251665371*1</f>
        <v>2.5853225166537102</v>
      </c>
      <c r="AK113">
        <v>1</v>
      </c>
      <c r="AL113">
        <v>0</v>
      </c>
      <c r="AM113">
        <v>0</v>
      </c>
    </row>
    <row r="114" spans="1:39" x14ac:dyDescent="0.2">
      <c r="A114" t="s">
        <v>280</v>
      </c>
      <c r="B114" t="s">
        <v>97</v>
      </c>
      <c r="C114" t="s">
        <v>97</v>
      </c>
      <c r="D114" t="s">
        <v>3</v>
      </c>
      <c r="E114">
        <v>1</v>
      </c>
      <c r="F114">
        <v>0</v>
      </c>
      <c r="G114">
        <v>0</v>
      </c>
      <c r="H114">
        <v>0</v>
      </c>
      <c r="I114" t="s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</v>
      </c>
      <c r="AE114">
        <v>450</v>
      </c>
      <c r="AF114">
        <v>19</v>
      </c>
      <c r="AG114">
        <v>12.48718386705746</v>
      </c>
      <c r="AH114">
        <v>28.457826626527019</v>
      </c>
      <c r="AI114">
        <f>17.1243182664674*1</f>
        <v>17.124318266467402</v>
      </c>
      <c r="AJ114">
        <f>3.22674673428646*1</f>
        <v>3.22674673428646</v>
      </c>
      <c r="AK114">
        <v>1</v>
      </c>
      <c r="AL114">
        <v>1</v>
      </c>
      <c r="AM114">
        <v>1</v>
      </c>
    </row>
    <row r="115" spans="1:39" hidden="1" x14ac:dyDescent="0.2">
      <c r="A115" t="s">
        <v>268</v>
      </c>
      <c r="B115" t="s">
        <v>283</v>
      </c>
      <c r="C115" t="s">
        <v>284</v>
      </c>
      <c r="D115" t="s">
        <v>5</v>
      </c>
      <c r="E115">
        <v>0</v>
      </c>
      <c r="F115">
        <v>0</v>
      </c>
      <c r="G115">
        <v>1</v>
      </c>
      <c r="H115">
        <v>0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6.2</v>
      </c>
      <c r="AE115">
        <v>466</v>
      </c>
      <c r="AF115">
        <v>18.52272727272727</v>
      </c>
      <c r="AG115">
        <v>14.509431459836071</v>
      </c>
      <c r="AH115">
        <v>19.04037464479774</v>
      </c>
      <c r="AI115">
        <f>11.1542872316642*1</f>
        <v>11.154287231664201</v>
      </c>
      <c r="AJ115">
        <f>2.24962273327487*1</f>
        <v>2.2496227332748702</v>
      </c>
      <c r="AK115">
        <v>1</v>
      </c>
      <c r="AL115">
        <v>0</v>
      </c>
      <c r="AM115">
        <v>0</v>
      </c>
    </row>
    <row r="116" spans="1:39" hidden="1" x14ac:dyDescent="0.2">
      <c r="A116" t="s">
        <v>285</v>
      </c>
      <c r="B116" t="s">
        <v>286</v>
      </c>
      <c r="C116" t="s">
        <v>286</v>
      </c>
      <c r="D116" t="s">
        <v>4</v>
      </c>
      <c r="E116">
        <v>0</v>
      </c>
      <c r="F116">
        <v>1</v>
      </c>
      <c r="G116">
        <v>0</v>
      </c>
      <c r="H116">
        <v>0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4.4000000000000004</v>
      </c>
      <c r="AE116">
        <v>467</v>
      </c>
      <c r="AF116">
        <v>14.32579095491452</v>
      </c>
      <c r="AG116">
        <v>15.67965432898251</v>
      </c>
      <c r="AH116">
        <v>15.190115769340871</v>
      </c>
      <c r="AI116">
        <f>10.2397584838855*1</f>
        <v>10.239758483885501</v>
      </c>
      <c r="AJ116">
        <f>2.25879690726751*1</f>
        <v>2.2587969072675098</v>
      </c>
      <c r="AK116">
        <v>1</v>
      </c>
      <c r="AL116">
        <v>0</v>
      </c>
      <c r="AM116">
        <v>0</v>
      </c>
    </row>
    <row r="117" spans="1:39" hidden="1" x14ac:dyDescent="0.2">
      <c r="A117" t="s">
        <v>287</v>
      </c>
      <c r="B117" t="s">
        <v>288</v>
      </c>
      <c r="C117" t="s">
        <v>288</v>
      </c>
      <c r="D117" t="s">
        <v>5</v>
      </c>
      <c r="E117">
        <v>0</v>
      </c>
      <c r="F117">
        <v>0</v>
      </c>
      <c r="G117">
        <v>1</v>
      </c>
      <c r="H117">
        <v>0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7.3</v>
      </c>
      <c r="AE117">
        <v>469</v>
      </c>
      <c r="AF117">
        <v>-1.0793013627870749</v>
      </c>
      <c r="AG117">
        <v>14.880939320638261</v>
      </c>
      <c r="AH117">
        <v>11.510691619611359</v>
      </c>
      <c r="AI117">
        <f>1.54128315589245*1</f>
        <v>1.54128315589245</v>
      </c>
      <c r="AJ117">
        <f>0.0644122487923431*1</f>
        <v>6.4412248792343099E-2</v>
      </c>
      <c r="AK117">
        <v>1</v>
      </c>
      <c r="AL117">
        <v>0</v>
      </c>
      <c r="AM117">
        <v>0</v>
      </c>
    </row>
    <row r="118" spans="1:39" hidden="1" x14ac:dyDescent="0.2">
      <c r="A118" t="s">
        <v>289</v>
      </c>
      <c r="B118" t="s">
        <v>290</v>
      </c>
      <c r="C118" t="s">
        <v>290</v>
      </c>
      <c r="D118" t="s">
        <v>6</v>
      </c>
      <c r="E118">
        <v>0</v>
      </c>
      <c r="F118">
        <v>0</v>
      </c>
      <c r="G118">
        <v>0</v>
      </c>
      <c r="H118">
        <v>1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8.3000000000000007</v>
      </c>
      <c r="AE118">
        <v>472</v>
      </c>
      <c r="AF118">
        <v>25.818181818181809</v>
      </c>
      <c r="AG118">
        <v>32.988920726666016</v>
      </c>
      <c r="AH118">
        <v>25.93987912422195</v>
      </c>
      <c r="AI118">
        <f>16.316324919269*1</f>
        <v>16.316324919269</v>
      </c>
      <c r="AJ118">
        <f>3.00210021372544*1</f>
        <v>3.00210021372544</v>
      </c>
      <c r="AK118">
        <v>1</v>
      </c>
      <c r="AL118">
        <v>0</v>
      </c>
      <c r="AM118">
        <v>0</v>
      </c>
    </row>
    <row r="119" spans="1:39" hidden="1" x14ac:dyDescent="0.2">
      <c r="A119" t="s">
        <v>291</v>
      </c>
      <c r="B119" t="s">
        <v>292</v>
      </c>
      <c r="C119" t="s">
        <v>293</v>
      </c>
      <c r="D119" t="s">
        <v>5</v>
      </c>
      <c r="E119">
        <v>0</v>
      </c>
      <c r="F119">
        <v>0</v>
      </c>
      <c r="G119">
        <v>1</v>
      </c>
      <c r="H119">
        <v>0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5.0999999999999996</v>
      </c>
      <c r="AE119">
        <v>473</v>
      </c>
      <c r="AF119">
        <v>12.2265625</v>
      </c>
      <c r="AG119">
        <v>10.263619393056681</v>
      </c>
      <c r="AH119">
        <v>9.9956818492372292</v>
      </c>
      <c r="AI119">
        <f>4.92614343193608*1</f>
        <v>4.9261434319360804</v>
      </c>
      <c r="AJ119">
        <f>1.04416619776365*1</f>
        <v>1.0441661977636501</v>
      </c>
      <c r="AK119">
        <v>1</v>
      </c>
      <c r="AL119">
        <v>0</v>
      </c>
      <c r="AM119">
        <v>0</v>
      </c>
    </row>
    <row r="120" spans="1:39" hidden="1" x14ac:dyDescent="0.2">
      <c r="A120" t="s">
        <v>294</v>
      </c>
      <c r="B120" t="s">
        <v>295</v>
      </c>
      <c r="C120" t="s">
        <v>295</v>
      </c>
      <c r="D120" t="s">
        <v>4</v>
      </c>
      <c r="E120">
        <v>0</v>
      </c>
      <c r="F120">
        <v>1</v>
      </c>
      <c r="G120">
        <v>0</v>
      </c>
      <c r="H120">
        <v>0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5.4</v>
      </c>
      <c r="AE120">
        <v>486</v>
      </c>
      <c r="AF120">
        <v>15.705627030672259</v>
      </c>
      <c r="AG120">
        <v>16.787563583208119</v>
      </c>
      <c r="AH120">
        <v>14.786469435157461</v>
      </c>
      <c r="AI120">
        <f>5.56726231154031*1</f>
        <v>5.5672623115403104</v>
      </c>
      <c r="AJ120">
        <f>1.22666862223613*1</f>
        <v>1.22666862223613</v>
      </c>
      <c r="AK120">
        <v>1</v>
      </c>
      <c r="AL120">
        <v>0</v>
      </c>
      <c r="AM120">
        <v>0</v>
      </c>
    </row>
    <row r="121" spans="1:39" hidden="1" x14ac:dyDescent="0.2">
      <c r="A121" t="s">
        <v>296</v>
      </c>
      <c r="B121" t="s">
        <v>297</v>
      </c>
      <c r="C121" t="s">
        <v>297</v>
      </c>
      <c r="D121" t="s">
        <v>4</v>
      </c>
      <c r="E121">
        <v>0</v>
      </c>
      <c r="F121">
        <v>1</v>
      </c>
      <c r="G121">
        <v>0</v>
      </c>
      <c r="H121">
        <v>0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5.7</v>
      </c>
      <c r="AE121">
        <v>489</v>
      </c>
      <c r="AF121">
        <v>24.35953531048257</v>
      </c>
      <c r="AG121">
        <v>35.563037259616237</v>
      </c>
      <c r="AH121">
        <v>18.473946305691239</v>
      </c>
      <c r="AI121">
        <f>8.73554486629312*1</f>
        <v>8.7355448662931199</v>
      </c>
      <c r="AJ121">
        <f>2.00425856475504*1</f>
        <v>2.0042585647550402</v>
      </c>
      <c r="AK121">
        <v>1</v>
      </c>
      <c r="AL121">
        <v>0</v>
      </c>
      <c r="AM121">
        <v>0</v>
      </c>
    </row>
    <row r="122" spans="1:39" hidden="1" x14ac:dyDescent="0.2">
      <c r="A122" t="s">
        <v>298</v>
      </c>
      <c r="B122" t="s">
        <v>299</v>
      </c>
      <c r="C122" t="s">
        <v>298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4.8</v>
      </c>
      <c r="AE122">
        <v>503</v>
      </c>
      <c r="AF122">
        <v>11.902028364055409</v>
      </c>
      <c r="AG122">
        <v>17.492808076801001</v>
      </c>
      <c r="AH122">
        <v>9.4683953473427138</v>
      </c>
      <c r="AI122">
        <f>16.0415312951578*1</f>
        <v>16.0415312951578</v>
      </c>
      <c r="AJ122">
        <f>2.1003797655345*1</f>
        <v>2.1003797655345</v>
      </c>
      <c r="AK122">
        <v>1</v>
      </c>
      <c r="AL122">
        <v>0</v>
      </c>
      <c r="AM122">
        <v>0</v>
      </c>
    </row>
    <row r="123" spans="1:39" hidden="1" x14ac:dyDescent="0.2">
      <c r="A123" t="s">
        <v>300</v>
      </c>
      <c r="B123" t="s">
        <v>301</v>
      </c>
      <c r="C123" t="s">
        <v>301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6.3</v>
      </c>
      <c r="AE123">
        <v>507</v>
      </c>
      <c r="AF123">
        <v>18.829597600840678</v>
      </c>
      <c r="AG123">
        <v>13.69142958626418</v>
      </c>
      <c r="AH123">
        <v>4.4571428571428573</v>
      </c>
      <c r="AI123">
        <f>9.12687825770805*1</f>
        <v>9.1268782577080501</v>
      </c>
      <c r="AJ123">
        <f>1.79810012781361*1</f>
        <v>1.7981001278136099</v>
      </c>
      <c r="AK123">
        <v>1</v>
      </c>
      <c r="AL123">
        <v>0</v>
      </c>
      <c r="AM123">
        <v>0</v>
      </c>
    </row>
    <row r="124" spans="1:39" hidden="1" x14ac:dyDescent="0.2">
      <c r="A124" t="s">
        <v>302</v>
      </c>
      <c r="B124" t="s">
        <v>303</v>
      </c>
      <c r="C124" t="s">
        <v>303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5.4</v>
      </c>
      <c r="AE124">
        <v>508</v>
      </c>
      <c r="AF124">
        <v>14.911465813117699</v>
      </c>
      <c r="AG124">
        <v>15.43408556605392</v>
      </c>
      <c r="AH124">
        <v>11.861959217111201</v>
      </c>
      <c r="AI124">
        <f>3.28341123753844*1</f>
        <v>3.2834112375384401</v>
      </c>
      <c r="AJ124">
        <f>0.686691397202955*1</f>
        <v>0.68669139720295502</v>
      </c>
      <c r="AK124">
        <v>1</v>
      </c>
      <c r="AL124">
        <v>0</v>
      </c>
      <c r="AM124">
        <v>0</v>
      </c>
    </row>
    <row r="125" spans="1:39" hidden="1" x14ac:dyDescent="0.2">
      <c r="A125" t="s">
        <v>304</v>
      </c>
      <c r="B125" t="s">
        <v>305</v>
      </c>
      <c r="C125" t="s">
        <v>304</v>
      </c>
      <c r="D125" t="s">
        <v>4</v>
      </c>
      <c r="E125">
        <v>0</v>
      </c>
      <c r="F125">
        <v>1</v>
      </c>
      <c r="G125">
        <v>0</v>
      </c>
      <c r="H125">
        <v>0</v>
      </c>
      <c r="I125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4.5</v>
      </c>
      <c r="AE125">
        <v>510</v>
      </c>
      <c r="AF125">
        <v>10.875</v>
      </c>
      <c r="AG125">
        <v>9.0642068164851057</v>
      </c>
      <c r="AH125">
        <v>23.52</v>
      </c>
      <c r="AI125">
        <f>24.4800030151292*1</f>
        <v>24.480003015129199</v>
      </c>
      <c r="AJ125">
        <f>4.54385354013021*1</f>
        <v>4.5438535401302103</v>
      </c>
      <c r="AK125">
        <v>1</v>
      </c>
      <c r="AL125">
        <v>0</v>
      </c>
      <c r="AM125">
        <v>0</v>
      </c>
    </row>
    <row r="126" spans="1:39" x14ac:dyDescent="0.2">
      <c r="A126" t="s">
        <v>53</v>
      </c>
      <c r="B126" t="s">
        <v>54</v>
      </c>
      <c r="C126" t="s">
        <v>55</v>
      </c>
      <c r="D126" t="s">
        <v>3</v>
      </c>
      <c r="E126">
        <v>1</v>
      </c>
      <c r="F126">
        <v>0</v>
      </c>
      <c r="G126">
        <v>0</v>
      </c>
      <c r="H126">
        <v>0</v>
      </c>
      <c r="I126" t="s">
        <v>11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5.7</v>
      </c>
      <c r="AE126">
        <v>11</v>
      </c>
      <c r="AF126">
        <v>20.909090909090899</v>
      </c>
      <c r="AG126">
        <v>20.77402299319693</v>
      </c>
      <c r="AH126">
        <v>13.76861878619939</v>
      </c>
      <c r="AI126">
        <f>11.1339590228425*1</f>
        <v>11.1339590228425</v>
      </c>
      <c r="AJ126">
        <f>2.23552650313986*1</f>
        <v>2.2355265031398601</v>
      </c>
      <c r="AK126">
        <v>1</v>
      </c>
      <c r="AL126">
        <v>1</v>
      </c>
      <c r="AM126">
        <v>1</v>
      </c>
    </row>
    <row r="127" spans="1:39" hidden="1" x14ac:dyDescent="0.2">
      <c r="A127" t="s">
        <v>307</v>
      </c>
      <c r="B127" t="s">
        <v>308</v>
      </c>
      <c r="C127" t="s">
        <v>308</v>
      </c>
      <c r="D127" t="s">
        <v>6</v>
      </c>
      <c r="E127">
        <v>0</v>
      </c>
      <c r="F127">
        <v>0</v>
      </c>
      <c r="G127">
        <v>0</v>
      </c>
      <c r="H127">
        <v>1</v>
      </c>
      <c r="I127" t="s">
        <v>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5</v>
      </c>
      <c r="AE127">
        <v>529</v>
      </c>
      <c r="AF127">
        <v>12.065217391304349</v>
      </c>
      <c r="AG127">
        <v>12.93267600419523</v>
      </c>
      <c r="AH127">
        <v>20.349605097846819</v>
      </c>
      <c r="AI127">
        <f>11.2989640386793*1</f>
        <v>11.2989640386793</v>
      </c>
      <c r="AJ127">
        <f>2.33676230412775*1</f>
        <v>2.3367623041277499</v>
      </c>
      <c r="AK127">
        <v>1</v>
      </c>
      <c r="AL127">
        <v>0</v>
      </c>
      <c r="AM127">
        <v>0</v>
      </c>
    </row>
    <row r="128" spans="1:39" hidden="1" x14ac:dyDescent="0.2">
      <c r="A128" t="s">
        <v>309</v>
      </c>
      <c r="B128" t="s">
        <v>310</v>
      </c>
      <c r="C128" t="s">
        <v>310</v>
      </c>
      <c r="D128" t="s">
        <v>5</v>
      </c>
      <c r="E128">
        <v>0</v>
      </c>
      <c r="F128">
        <v>0</v>
      </c>
      <c r="G128">
        <v>1</v>
      </c>
      <c r="H128">
        <v>0</v>
      </c>
      <c r="I128" t="s">
        <v>28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6.7</v>
      </c>
      <c r="AE128">
        <v>579</v>
      </c>
      <c r="AF128">
        <v>17.82051282051281</v>
      </c>
      <c r="AG128">
        <v>13.946913110277549</v>
      </c>
      <c r="AH128">
        <v>42.613533834586462</v>
      </c>
      <c r="AI128">
        <f>23.27828684085*1</f>
        <v>23.278286840850001</v>
      </c>
      <c r="AJ128">
        <f>4.56742870950445*1</f>
        <v>4.5674287095044503</v>
      </c>
      <c r="AK128">
        <v>1</v>
      </c>
      <c r="AL128">
        <v>0</v>
      </c>
      <c r="AM128">
        <v>0</v>
      </c>
    </row>
    <row r="129" spans="1:39" hidden="1" x14ac:dyDescent="0.2">
      <c r="A129" t="s">
        <v>311</v>
      </c>
      <c r="B129" t="s">
        <v>312</v>
      </c>
      <c r="C129" t="s">
        <v>312</v>
      </c>
      <c r="D129" t="s">
        <v>5</v>
      </c>
      <c r="E129">
        <v>0</v>
      </c>
      <c r="F129">
        <v>0</v>
      </c>
      <c r="G129">
        <v>1</v>
      </c>
      <c r="H129">
        <v>0</v>
      </c>
      <c r="I129" t="s">
        <v>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6.2</v>
      </c>
      <c r="AE129">
        <v>580</v>
      </c>
      <c r="AF129">
        <v>19.476744186046531</v>
      </c>
      <c r="AG129">
        <v>21.147010508754811</v>
      </c>
      <c r="AH129">
        <v>43.599999999999987</v>
      </c>
      <c r="AI129">
        <f>23.3403978486498*1</f>
        <v>23.3403978486498</v>
      </c>
      <c r="AJ129">
        <f>4.29413579410158*1</f>
        <v>4.2941357941015799</v>
      </c>
      <c r="AK129">
        <v>1</v>
      </c>
      <c r="AL129">
        <v>0</v>
      </c>
      <c r="AM129">
        <v>0</v>
      </c>
    </row>
    <row r="130" spans="1:39" hidden="1" x14ac:dyDescent="0.2">
      <c r="A130" t="s">
        <v>191</v>
      </c>
      <c r="B130" t="s">
        <v>313</v>
      </c>
      <c r="C130" t="s">
        <v>313</v>
      </c>
      <c r="D130" t="s">
        <v>5</v>
      </c>
      <c r="E130">
        <v>0</v>
      </c>
      <c r="F130">
        <v>0</v>
      </c>
      <c r="G130">
        <v>1</v>
      </c>
      <c r="H130">
        <v>0</v>
      </c>
      <c r="I130" t="s">
        <v>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7.6</v>
      </c>
      <c r="AE130">
        <v>582</v>
      </c>
      <c r="AF130">
        <v>23.824659727068479</v>
      </c>
      <c r="AG130">
        <v>22.748889920522181</v>
      </c>
      <c r="AH130">
        <v>32.401356720306033</v>
      </c>
      <c r="AI130">
        <f>28.880089731561*1</f>
        <v>28.880089731561</v>
      </c>
      <c r="AJ130">
        <f>4.99593964296293*1</f>
        <v>4.9959396429629299</v>
      </c>
      <c r="AK130">
        <v>1</v>
      </c>
      <c r="AL130">
        <v>0</v>
      </c>
      <c r="AM130">
        <v>0</v>
      </c>
    </row>
    <row r="131" spans="1:39" x14ac:dyDescent="0.2">
      <c r="A131" t="s">
        <v>81</v>
      </c>
      <c r="B131" t="s">
        <v>82</v>
      </c>
      <c r="C131" t="s">
        <v>83</v>
      </c>
      <c r="D131" t="s">
        <v>6</v>
      </c>
      <c r="E131">
        <v>0</v>
      </c>
      <c r="F131">
        <v>0</v>
      </c>
      <c r="G131">
        <v>0</v>
      </c>
      <c r="H131">
        <v>1</v>
      </c>
      <c r="I131" t="s">
        <v>12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6.2</v>
      </c>
      <c r="AE131">
        <v>43</v>
      </c>
      <c r="AF131">
        <v>12.117393390882521</v>
      </c>
      <c r="AG131">
        <v>8.3178740570254561</v>
      </c>
      <c r="AH131">
        <v>8.5</v>
      </c>
      <c r="AI131">
        <f>5.95843122999719*1</f>
        <v>5.9584312299971902</v>
      </c>
      <c r="AJ131">
        <f>1.38468624941666*1</f>
        <v>1.3846862494166601</v>
      </c>
      <c r="AK131">
        <v>1</v>
      </c>
      <c r="AL131">
        <v>1</v>
      </c>
      <c r="AM131">
        <v>1</v>
      </c>
    </row>
    <row r="132" spans="1:39" hidden="1" x14ac:dyDescent="0.2">
      <c r="A132" t="s">
        <v>317</v>
      </c>
      <c r="B132" t="s">
        <v>318</v>
      </c>
      <c r="C132" t="s">
        <v>317</v>
      </c>
      <c r="D132" t="s">
        <v>6</v>
      </c>
      <c r="E132">
        <v>0</v>
      </c>
      <c r="F132">
        <v>0</v>
      </c>
      <c r="G132">
        <v>0</v>
      </c>
      <c r="H132">
        <v>1</v>
      </c>
      <c r="I132" t="s">
        <v>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6.8</v>
      </c>
      <c r="AE132">
        <v>585</v>
      </c>
      <c r="AF132">
        <v>19.289617486338809</v>
      </c>
      <c r="AG132">
        <v>17.253842658063611</v>
      </c>
      <c r="AH132">
        <v>8.1225214789110218</v>
      </c>
      <c r="AI132">
        <f>3.2483580683515*1</f>
        <v>3.2483580683515001</v>
      </c>
      <c r="AJ132">
        <f>0.604283314982028*1</f>
        <v>0.60428331498202803</v>
      </c>
      <c r="AK132">
        <v>1</v>
      </c>
      <c r="AL132">
        <v>0</v>
      </c>
      <c r="AM132">
        <v>0</v>
      </c>
    </row>
    <row r="133" spans="1:39" hidden="1" x14ac:dyDescent="0.2">
      <c r="A133" t="s">
        <v>319</v>
      </c>
      <c r="B133" t="s">
        <v>320</v>
      </c>
      <c r="C133" t="s">
        <v>320</v>
      </c>
      <c r="D133" t="s">
        <v>4</v>
      </c>
      <c r="E133">
        <v>0</v>
      </c>
      <c r="F133">
        <v>1</v>
      </c>
      <c r="G133">
        <v>0</v>
      </c>
      <c r="H133">
        <v>0</v>
      </c>
      <c r="I133" t="s">
        <v>28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5.0999999999999996</v>
      </c>
      <c r="AE133">
        <v>586</v>
      </c>
      <c r="AF133">
        <v>15.058823529411759</v>
      </c>
      <c r="AG133">
        <v>15.24970467653676</v>
      </c>
      <c r="AH133">
        <v>7.1046772953719737</v>
      </c>
      <c r="AI133">
        <f>18.9379023775566*1</f>
        <v>18.9379023775566</v>
      </c>
      <c r="AJ133">
        <f>4.27597520254249*1</f>
        <v>4.2759752025424902</v>
      </c>
      <c r="AK133">
        <v>1</v>
      </c>
      <c r="AL133">
        <v>0</v>
      </c>
      <c r="AM133">
        <v>0</v>
      </c>
    </row>
    <row r="134" spans="1:39" hidden="1" x14ac:dyDescent="0.2">
      <c r="A134" t="s">
        <v>321</v>
      </c>
      <c r="B134" t="s">
        <v>322</v>
      </c>
      <c r="C134" t="s">
        <v>323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4.9000000000000004</v>
      </c>
      <c r="AE134">
        <v>587</v>
      </c>
      <c r="AF134">
        <v>10.98039215686274</v>
      </c>
      <c r="AG134">
        <v>14.27146043304379</v>
      </c>
      <c r="AH134">
        <v>12.013333333333341</v>
      </c>
      <c r="AI134">
        <f>8.17989617000367*1</f>
        <v>8.1798961700036692</v>
      </c>
      <c r="AJ134">
        <f>1.51078469548918*1</f>
        <v>1.5107846954891799</v>
      </c>
      <c r="AK134">
        <v>1</v>
      </c>
      <c r="AL134">
        <v>0</v>
      </c>
      <c r="AM134">
        <v>0</v>
      </c>
    </row>
    <row r="135" spans="1:39" hidden="1" x14ac:dyDescent="0.2">
      <c r="A135" t="s">
        <v>324</v>
      </c>
      <c r="B135" t="s">
        <v>325</v>
      </c>
      <c r="C135" t="s">
        <v>324</v>
      </c>
      <c r="D135" t="s">
        <v>5</v>
      </c>
      <c r="E135">
        <v>0</v>
      </c>
      <c r="F135">
        <v>0</v>
      </c>
      <c r="G135">
        <v>1</v>
      </c>
      <c r="H135">
        <v>0</v>
      </c>
      <c r="I135" t="s">
        <v>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9.9</v>
      </c>
      <c r="AE135">
        <v>590</v>
      </c>
      <c r="AF135">
        <v>26.21439647811837</v>
      </c>
      <c r="AG135">
        <v>35.047535245427248</v>
      </c>
      <c r="AH135">
        <v>42.518175366850173</v>
      </c>
      <c r="AI135">
        <f>31.0391698281918*1</f>
        <v>31.039169828191799</v>
      </c>
      <c r="AJ135">
        <f>5.60445033770832*1</f>
        <v>5.6044503377083199</v>
      </c>
      <c r="AK135">
        <v>1</v>
      </c>
      <c r="AL135">
        <v>0</v>
      </c>
      <c r="AM135">
        <v>0</v>
      </c>
    </row>
    <row r="136" spans="1:39" hidden="1" x14ac:dyDescent="0.2">
      <c r="A136" t="s">
        <v>326</v>
      </c>
      <c r="B136" t="s">
        <v>327</v>
      </c>
      <c r="C136" t="s">
        <v>328</v>
      </c>
      <c r="D136" t="s">
        <v>4</v>
      </c>
      <c r="E136">
        <v>0</v>
      </c>
      <c r="F136">
        <v>1</v>
      </c>
      <c r="G136">
        <v>0</v>
      </c>
      <c r="H136">
        <v>0</v>
      </c>
      <c r="I136" t="s">
        <v>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4.7</v>
      </c>
      <c r="AE136">
        <v>593</v>
      </c>
      <c r="AF136">
        <v>14.84375</v>
      </c>
      <c r="AG136">
        <v>14.626910309752081</v>
      </c>
      <c r="AH136">
        <v>11.93333333333333</v>
      </c>
      <c r="AI136">
        <f>20.9274654496272*1</f>
        <v>20.927465449627199</v>
      </c>
      <c r="AJ136">
        <f>3.91518948382557*1</f>
        <v>3.9151894838255701</v>
      </c>
      <c r="AK136">
        <v>1</v>
      </c>
      <c r="AL136">
        <v>0</v>
      </c>
      <c r="AM136">
        <v>0</v>
      </c>
    </row>
    <row r="137" spans="1:39" hidden="1" x14ac:dyDescent="0.2">
      <c r="A137" t="s">
        <v>329</v>
      </c>
      <c r="B137" t="s">
        <v>330</v>
      </c>
      <c r="C137" t="s">
        <v>330</v>
      </c>
      <c r="D137" t="s">
        <v>3</v>
      </c>
      <c r="E137">
        <v>1</v>
      </c>
      <c r="F137">
        <v>0</v>
      </c>
      <c r="G137">
        <v>0</v>
      </c>
      <c r="H137">
        <v>0</v>
      </c>
      <c r="I137" t="s">
        <v>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5</v>
      </c>
      <c r="AE137">
        <v>595</v>
      </c>
      <c r="AF137">
        <v>15</v>
      </c>
      <c r="AG137">
        <v>17.46633234103011</v>
      </c>
      <c r="AH137">
        <v>11.891774983312761</v>
      </c>
      <c r="AI137">
        <f>10.9167572634405*1</f>
        <v>10.9167572634405</v>
      </c>
      <c r="AJ137">
        <f>1.79441446543558*1</f>
        <v>1.79441446543558</v>
      </c>
      <c r="AK137">
        <v>1</v>
      </c>
      <c r="AL137">
        <v>0</v>
      </c>
      <c r="AM137">
        <v>0</v>
      </c>
    </row>
    <row r="138" spans="1:39" hidden="1" x14ac:dyDescent="0.2">
      <c r="A138" t="s">
        <v>215</v>
      </c>
      <c r="B138" t="s">
        <v>331</v>
      </c>
      <c r="C138" t="s">
        <v>331</v>
      </c>
      <c r="D138" t="s">
        <v>5</v>
      </c>
      <c r="E138">
        <v>0</v>
      </c>
      <c r="F138">
        <v>0</v>
      </c>
      <c r="G138">
        <v>1</v>
      </c>
      <c r="H138">
        <v>0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5.3</v>
      </c>
      <c r="AE138">
        <v>600</v>
      </c>
      <c r="AF138">
        <v>13.75</v>
      </c>
      <c r="AG138">
        <v>16.23685413614605</v>
      </c>
      <c r="AH138">
        <v>9.3428571428571416</v>
      </c>
      <c r="AI138">
        <f>8.89093486743091*1</f>
        <v>8.8909348674309108</v>
      </c>
      <c r="AJ138">
        <f>1.59175125387091*1</f>
        <v>1.59175125387091</v>
      </c>
      <c r="AK138">
        <v>1</v>
      </c>
      <c r="AL138">
        <v>0</v>
      </c>
      <c r="AM138">
        <v>0</v>
      </c>
    </row>
    <row r="139" spans="1:39" hidden="1" x14ac:dyDescent="0.2">
      <c r="A139" t="s">
        <v>332</v>
      </c>
      <c r="B139" t="s">
        <v>333</v>
      </c>
      <c r="C139" t="s">
        <v>333</v>
      </c>
      <c r="D139" t="s">
        <v>6</v>
      </c>
      <c r="E139">
        <v>0</v>
      </c>
      <c r="F139">
        <v>0</v>
      </c>
      <c r="G139">
        <v>0</v>
      </c>
      <c r="H139">
        <v>1</v>
      </c>
      <c r="I139" t="s">
        <v>29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5.4</v>
      </c>
      <c r="AE139">
        <v>603</v>
      </c>
      <c r="AF139">
        <v>18.04945054945053</v>
      </c>
      <c r="AG139">
        <v>19.74424180328365</v>
      </c>
      <c r="AH139">
        <v>73.985030396628915</v>
      </c>
      <c r="AI139">
        <f>21.7734635086001*1</f>
        <v>21.773463508600098</v>
      </c>
      <c r="AJ139">
        <f>4.07546006278923*1</f>
        <v>4.0754600627892303</v>
      </c>
      <c r="AK139">
        <v>1</v>
      </c>
      <c r="AL139">
        <v>0</v>
      </c>
      <c r="AM139">
        <v>0</v>
      </c>
    </row>
    <row r="140" spans="1:39" hidden="1" x14ac:dyDescent="0.2">
      <c r="A140" t="s">
        <v>334</v>
      </c>
      <c r="B140" t="s">
        <v>335</v>
      </c>
      <c r="C140" t="s">
        <v>335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7.4</v>
      </c>
      <c r="AE140">
        <v>605</v>
      </c>
      <c r="AF140">
        <v>21.716247040292931</v>
      </c>
      <c r="AG140">
        <v>21.358832136394451</v>
      </c>
      <c r="AH140">
        <v>44.37851632964211</v>
      </c>
      <c r="AI140">
        <f>12.8133720586384*1</f>
        <v>12.8133720586384</v>
      </c>
      <c r="AJ140">
        <f>1.93289010459569*1</f>
        <v>1.9328901045956901</v>
      </c>
      <c r="AK140">
        <v>1</v>
      </c>
      <c r="AL140">
        <v>0</v>
      </c>
      <c r="AM140">
        <v>0</v>
      </c>
    </row>
    <row r="141" spans="1:39" hidden="1" x14ac:dyDescent="0.2">
      <c r="A141" t="s">
        <v>336</v>
      </c>
      <c r="B141" t="s">
        <v>337</v>
      </c>
      <c r="C141" t="s">
        <v>337</v>
      </c>
      <c r="D141" t="s">
        <v>4</v>
      </c>
      <c r="E141">
        <v>0</v>
      </c>
      <c r="F141">
        <v>1</v>
      </c>
      <c r="G141">
        <v>0</v>
      </c>
      <c r="H141">
        <v>0</v>
      </c>
      <c r="I141" t="s">
        <v>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4.4000000000000004</v>
      </c>
      <c r="AE141">
        <v>606</v>
      </c>
      <c r="AF141">
        <v>11.75</v>
      </c>
      <c r="AG141">
        <v>8.7836708452305707</v>
      </c>
      <c r="AH141">
        <v>9.1296681613129422</v>
      </c>
      <c r="AI141">
        <f>4.98892434212147*1</f>
        <v>4.9889243421214697</v>
      </c>
      <c r="AJ141">
        <f>1.00846919174151*1</f>
        <v>1.0084691917415101</v>
      </c>
      <c r="AK141">
        <v>1</v>
      </c>
      <c r="AL141">
        <v>0</v>
      </c>
      <c r="AM141">
        <v>0</v>
      </c>
    </row>
    <row r="142" spans="1:39" hidden="1" x14ac:dyDescent="0.2">
      <c r="A142" t="s">
        <v>338</v>
      </c>
      <c r="B142" t="s">
        <v>339</v>
      </c>
      <c r="C142" t="s">
        <v>339</v>
      </c>
      <c r="D142" t="s">
        <v>3</v>
      </c>
      <c r="E142">
        <v>1</v>
      </c>
      <c r="F142">
        <v>0</v>
      </c>
      <c r="G142">
        <v>0</v>
      </c>
      <c r="H142">
        <v>0</v>
      </c>
      <c r="I142" t="s">
        <v>29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4.4000000000000004</v>
      </c>
      <c r="AE142">
        <v>611</v>
      </c>
      <c r="AF142">
        <v>11.666666666666661</v>
      </c>
      <c r="AG142">
        <v>14.17602719385259</v>
      </c>
      <c r="AH142">
        <v>10.769879315478571</v>
      </c>
      <c r="AI142">
        <f>8.76305969852136*1</f>
        <v>8.76305969852136</v>
      </c>
      <c r="AJ142">
        <f>1.58472932466326*1</f>
        <v>1.5847293246632601</v>
      </c>
      <c r="AK142">
        <v>1</v>
      </c>
      <c r="AL142">
        <v>0</v>
      </c>
      <c r="AM142">
        <v>0</v>
      </c>
    </row>
    <row r="143" spans="1:39" hidden="1" x14ac:dyDescent="0.2">
      <c r="A143" t="s">
        <v>340</v>
      </c>
      <c r="B143" t="s">
        <v>341</v>
      </c>
      <c r="C143" t="s">
        <v>341</v>
      </c>
      <c r="D143" t="s">
        <v>5</v>
      </c>
      <c r="E143">
        <v>0</v>
      </c>
      <c r="F143">
        <v>0</v>
      </c>
      <c r="G143">
        <v>1</v>
      </c>
      <c r="H143">
        <v>0</v>
      </c>
      <c r="I143" t="s">
        <v>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6.3</v>
      </c>
      <c r="AE143">
        <v>614</v>
      </c>
      <c r="AF143">
        <v>18.92989137747746</v>
      </c>
      <c r="AG143">
        <v>28.972027021997039</v>
      </c>
      <c r="AH143">
        <v>17.630903901605372</v>
      </c>
      <c r="AI143">
        <f>15.2686254970817*1</f>
        <v>15.2686254970817</v>
      </c>
      <c r="AJ143">
        <f>2.7353405241357*1</f>
        <v>2.7353405241357001</v>
      </c>
      <c r="AK143">
        <v>1</v>
      </c>
      <c r="AL143">
        <v>0</v>
      </c>
      <c r="AM143">
        <v>0</v>
      </c>
    </row>
    <row r="144" spans="1:39" hidden="1" x14ac:dyDescent="0.2">
      <c r="A144" t="s">
        <v>79</v>
      </c>
      <c r="B144" t="s">
        <v>342</v>
      </c>
      <c r="C144" t="s">
        <v>343</v>
      </c>
      <c r="D144" t="s">
        <v>5</v>
      </c>
      <c r="E144">
        <v>0</v>
      </c>
      <c r="F144">
        <v>0</v>
      </c>
      <c r="G144">
        <v>1</v>
      </c>
      <c r="H144">
        <v>0</v>
      </c>
      <c r="I144" t="s">
        <v>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5.9</v>
      </c>
      <c r="AE144">
        <v>616</v>
      </c>
      <c r="AF144">
        <v>16.769230769230781</v>
      </c>
      <c r="AG144">
        <v>19.266205111858209</v>
      </c>
      <c r="AH144">
        <v>13.329233612705901</v>
      </c>
      <c r="AI144">
        <f>12.5465492934006*1</f>
        <v>12.5465492934006</v>
      </c>
      <c r="AJ144">
        <f>2.71777372900759*1</f>
        <v>2.7177737290075901</v>
      </c>
      <c r="AK144">
        <v>1</v>
      </c>
      <c r="AL144">
        <v>0</v>
      </c>
      <c r="AM144">
        <v>0</v>
      </c>
    </row>
    <row r="145" spans="1:39" hidden="1" x14ac:dyDescent="0.2">
      <c r="A145" t="s">
        <v>344</v>
      </c>
      <c r="B145" t="s">
        <v>345</v>
      </c>
      <c r="C145" t="s">
        <v>345</v>
      </c>
      <c r="D145" t="s">
        <v>5</v>
      </c>
      <c r="E145">
        <v>0</v>
      </c>
      <c r="F145">
        <v>0</v>
      </c>
      <c r="G145">
        <v>1</v>
      </c>
      <c r="H145">
        <v>0</v>
      </c>
      <c r="I145" t="s">
        <v>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5</v>
      </c>
      <c r="AE145">
        <v>619</v>
      </c>
      <c r="AF145">
        <v>16</v>
      </c>
      <c r="AG145">
        <v>18.903807495899979</v>
      </c>
      <c r="AH145">
        <v>12.84589846820454</v>
      </c>
      <c r="AI145">
        <f>17.3814042859808*1</f>
        <v>17.3814042859808</v>
      </c>
      <c r="AJ145">
        <f>3.29660191828822*1</f>
        <v>3.29660191828822</v>
      </c>
      <c r="AK145">
        <v>1</v>
      </c>
      <c r="AL145">
        <v>0</v>
      </c>
      <c r="AM145">
        <v>0</v>
      </c>
    </row>
    <row r="146" spans="1:39" hidden="1" x14ac:dyDescent="0.2">
      <c r="A146" t="s">
        <v>346</v>
      </c>
      <c r="B146" t="s">
        <v>347</v>
      </c>
      <c r="C146" t="s">
        <v>347</v>
      </c>
      <c r="D146" t="s">
        <v>4</v>
      </c>
      <c r="E146">
        <v>0</v>
      </c>
      <c r="F146">
        <v>1</v>
      </c>
      <c r="G146">
        <v>0</v>
      </c>
      <c r="H146">
        <v>0</v>
      </c>
      <c r="I146" t="s">
        <v>30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4.4000000000000004</v>
      </c>
      <c r="AE146">
        <v>629</v>
      </c>
      <c r="AF146">
        <v>13.66414846969897</v>
      </c>
      <c r="AG146">
        <v>11.188773201384731</v>
      </c>
      <c r="AH146">
        <v>39.18181818181818</v>
      </c>
      <c r="AI146">
        <f>17.9784567444074*1</f>
        <v>17.978456744407399</v>
      </c>
      <c r="AJ146">
        <f>4.87023394110905*1</f>
        <v>4.8702339411090501</v>
      </c>
      <c r="AK146">
        <v>1</v>
      </c>
      <c r="AL146">
        <v>0</v>
      </c>
      <c r="AM146">
        <v>0</v>
      </c>
    </row>
    <row r="147" spans="1:39" hidden="1" x14ac:dyDescent="0.2">
      <c r="A147" t="s">
        <v>348</v>
      </c>
      <c r="B147" t="s">
        <v>349</v>
      </c>
      <c r="C147" t="s">
        <v>349</v>
      </c>
      <c r="D147" t="s">
        <v>5</v>
      </c>
      <c r="E147">
        <v>0</v>
      </c>
      <c r="F147">
        <v>0</v>
      </c>
      <c r="G147">
        <v>1</v>
      </c>
      <c r="H147">
        <v>0</v>
      </c>
      <c r="I147" t="s">
        <v>30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5</v>
      </c>
      <c r="AE147">
        <v>631</v>
      </c>
      <c r="AF147">
        <v>11.300603036503629</v>
      </c>
      <c r="AG147">
        <v>7.9110457701744634</v>
      </c>
      <c r="AH147">
        <v>9.3624383735994972</v>
      </c>
      <c r="AI147">
        <f>9.22624615566033*1</f>
        <v>9.2262461556603306</v>
      </c>
      <c r="AJ147">
        <f>1.95226929559588*1</f>
        <v>1.95226929559588</v>
      </c>
      <c r="AK147">
        <v>1</v>
      </c>
      <c r="AL147">
        <v>0</v>
      </c>
      <c r="AM147">
        <v>0</v>
      </c>
    </row>
    <row r="148" spans="1:39" hidden="1" x14ac:dyDescent="0.2">
      <c r="A148" t="s">
        <v>350</v>
      </c>
      <c r="B148" t="s">
        <v>351</v>
      </c>
      <c r="C148" t="s">
        <v>352</v>
      </c>
      <c r="D148" t="s">
        <v>6</v>
      </c>
      <c r="E148">
        <v>0</v>
      </c>
      <c r="F148">
        <v>0</v>
      </c>
      <c r="G148">
        <v>0</v>
      </c>
      <c r="H148">
        <v>1</v>
      </c>
      <c r="I148" t="s">
        <v>30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6.5</v>
      </c>
      <c r="AE148">
        <v>637</v>
      </c>
      <c r="AF148">
        <v>21.672430776072371</v>
      </c>
      <c r="AG148">
        <v>21.913332240466829</v>
      </c>
      <c r="AH148">
        <v>61.412000000000013</v>
      </c>
      <c r="AI148">
        <f>23.6780960923001*1</f>
        <v>23.678096092300098</v>
      </c>
      <c r="AJ148">
        <f>4.89390514673928*1</f>
        <v>4.8939051467392796</v>
      </c>
      <c r="AK148">
        <v>1</v>
      </c>
      <c r="AL148">
        <v>0</v>
      </c>
      <c r="AM148">
        <v>0</v>
      </c>
    </row>
    <row r="149" spans="1:39" hidden="1" x14ac:dyDescent="0.2">
      <c r="A149" t="s">
        <v>353</v>
      </c>
      <c r="B149" t="s">
        <v>354</v>
      </c>
      <c r="C149" t="s">
        <v>355</v>
      </c>
      <c r="D149" t="s">
        <v>5</v>
      </c>
      <c r="E149">
        <v>0</v>
      </c>
      <c r="F149">
        <v>0</v>
      </c>
      <c r="G149">
        <v>1</v>
      </c>
      <c r="H149">
        <v>0</v>
      </c>
      <c r="I149" t="s">
        <v>30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5</v>
      </c>
      <c r="AE149">
        <v>653</v>
      </c>
      <c r="AF149">
        <v>11.588785046728971</v>
      </c>
      <c r="AG149">
        <v>9.6589185815321272</v>
      </c>
      <c r="AH149">
        <v>10.733333333333331</v>
      </c>
      <c r="AI149">
        <f>12.8491234477609*1</f>
        <v>12.849123447760901</v>
      </c>
      <c r="AJ149">
        <f>2.62569274084988*1</f>
        <v>2.62569274084988</v>
      </c>
      <c r="AK149">
        <v>1</v>
      </c>
      <c r="AL149">
        <v>0</v>
      </c>
      <c r="AM14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2024-10-24T18:00:00Z</dcterms:created>
  <dcterms:modified xsi:type="dcterms:W3CDTF">2024-10-24T18:01:47Z</dcterms:modified>
</cp:coreProperties>
</file>