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idog/Documents/GitHub/FPL-Predictor/Calibrations/2023-24/"/>
    </mc:Choice>
  </mc:AlternateContent>
  <xr:revisionPtr revIDLastSave="0" documentId="13_ncr:1_{E9F63211-2458-2041-81E0-5B18BE88ED57}" xr6:coauthVersionLast="47" xr6:coauthVersionMax="47" xr10:uidLastSave="{00000000-0000-0000-0000-000000000000}"/>
  <bookViews>
    <workbookView xWindow="0" yWindow="740" windowWidth="17240" windowHeight="21600" firstSheet="11" activeTab="19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BUR" sheetId="6" r:id="rId6"/>
    <sheet name="CHE" sheetId="7" r:id="rId7"/>
    <sheet name="CRY" sheetId="8" r:id="rId8"/>
    <sheet name="EVE" sheetId="9" r:id="rId9"/>
    <sheet name="FUL" sheetId="10" r:id="rId10"/>
    <sheet name="LIV" sheetId="11" r:id="rId11"/>
    <sheet name="LUT" sheetId="12" r:id="rId12"/>
    <sheet name="MCI" sheetId="13" r:id="rId13"/>
    <sheet name="MUN" sheetId="14" r:id="rId14"/>
    <sheet name="NEW" sheetId="15" r:id="rId15"/>
    <sheet name="NFO" sheetId="16" r:id="rId16"/>
    <sheet name="SHU" sheetId="17" r:id="rId17"/>
    <sheet name="TOT" sheetId="18" r:id="rId18"/>
    <sheet name="WHU" sheetId="19" r:id="rId19"/>
    <sheet name="WOL" sheetId="20" r:id="rId20"/>
  </sheets>
  <definedNames>
    <definedName name="solver_adj" localSheetId="0" hidden="1">ARS!$I$2:$I$3</definedName>
    <definedName name="solver_adj" localSheetId="1" hidden="1">AVL!$I$2:$I$3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itr" localSheetId="0" hidden="1">2147483647</definedName>
    <definedName name="solver_itr" localSheetId="1" hidden="1">2147483647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1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opt" localSheetId="0" hidden="1">ARS!$I$5</definedName>
    <definedName name="solver_opt" localSheetId="1" hidden="1">AVL!$I$5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20" l="1"/>
  <c r="F9" i="20" s="1"/>
  <c r="D8" i="20"/>
  <c r="F8" i="20" s="1"/>
  <c r="D7" i="20"/>
  <c r="F7" i="20" s="1"/>
  <c r="F6" i="20"/>
  <c r="D6" i="20"/>
  <c r="I5" i="20"/>
  <c r="F5" i="20"/>
  <c r="D5" i="20"/>
  <c r="D4" i="20"/>
  <c r="F4" i="20" s="1"/>
  <c r="I7" i="20" s="1"/>
  <c r="F3" i="20"/>
  <c r="D3" i="20"/>
  <c r="F2" i="20"/>
  <c r="D2" i="20"/>
  <c r="F7" i="19"/>
  <c r="D7" i="19"/>
  <c r="D6" i="19"/>
  <c r="F6" i="19" s="1"/>
  <c r="F5" i="19"/>
  <c r="D5" i="19"/>
  <c r="I5" i="19" s="1"/>
  <c r="F4" i="19"/>
  <c r="D4" i="19"/>
  <c r="F3" i="19"/>
  <c r="D3" i="19"/>
  <c r="F2" i="19"/>
  <c r="D2" i="19"/>
  <c r="D9" i="18"/>
  <c r="F9" i="18" s="1"/>
  <c r="F8" i="18"/>
  <c r="D8" i="18"/>
  <c r="D7" i="18"/>
  <c r="F7" i="18" s="1"/>
  <c r="F6" i="18"/>
  <c r="D6" i="18"/>
  <c r="D5" i="18"/>
  <c r="I5" i="18" s="1"/>
  <c r="F4" i="18"/>
  <c r="D4" i="18"/>
  <c r="F3" i="18"/>
  <c r="D3" i="18"/>
  <c r="F2" i="18"/>
  <c r="D2" i="18"/>
  <c r="D2" i="17"/>
  <c r="I5" i="17" s="1"/>
  <c r="F6" i="16"/>
  <c r="D6" i="16"/>
  <c r="D5" i="16"/>
  <c r="I5" i="16" s="1"/>
  <c r="D4" i="16"/>
  <c r="F4" i="16" s="1"/>
  <c r="D3" i="16"/>
  <c r="F3" i="16" s="1"/>
  <c r="F2" i="16"/>
  <c r="D2" i="16"/>
  <c r="F12" i="15"/>
  <c r="D12" i="15"/>
  <c r="D11" i="15"/>
  <c r="F11" i="15" s="1"/>
  <c r="D10" i="15"/>
  <c r="F10" i="15" s="1"/>
  <c r="D9" i="15"/>
  <c r="F9" i="15" s="1"/>
  <c r="F8" i="15"/>
  <c r="D8" i="15"/>
  <c r="D7" i="15"/>
  <c r="F7" i="15" s="1"/>
  <c r="F6" i="15"/>
  <c r="D6" i="15"/>
  <c r="D5" i="15"/>
  <c r="I5" i="15" s="1"/>
  <c r="F4" i="15"/>
  <c r="D4" i="15"/>
  <c r="F3" i="15"/>
  <c r="D3" i="15"/>
  <c r="D2" i="15"/>
  <c r="F2" i="15" s="1"/>
  <c r="D9" i="14"/>
  <c r="F9" i="14" s="1"/>
  <c r="D8" i="14"/>
  <c r="F8" i="14" s="1"/>
  <c r="F7" i="14"/>
  <c r="D7" i="14"/>
  <c r="D6" i="14"/>
  <c r="F6" i="14" s="1"/>
  <c r="I5" i="14"/>
  <c r="D5" i="14"/>
  <c r="F5" i="14" s="1"/>
  <c r="D4" i="14"/>
  <c r="F4" i="14" s="1"/>
  <c r="F3" i="14"/>
  <c r="D3" i="14"/>
  <c r="F2" i="14"/>
  <c r="D2" i="14"/>
  <c r="D10" i="13"/>
  <c r="F10" i="13" s="1"/>
  <c r="D9" i="13"/>
  <c r="F9" i="13" s="1"/>
  <c r="D8" i="13"/>
  <c r="F8" i="13" s="1"/>
  <c r="F7" i="13"/>
  <c r="D7" i="13"/>
  <c r="F6" i="13"/>
  <c r="D6" i="13"/>
  <c r="I5" i="13"/>
  <c r="D5" i="13"/>
  <c r="F5" i="13" s="1"/>
  <c r="D4" i="13"/>
  <c r="F4" i="13" s="1"/>
  <c r="F3" i="13"/>
  <c r="D3" i="13"/>
  <c r="D2" i="13"/>
  <c r="F2" i="13" s="1"/>
  <c r="I7" i="13" s="1"/>
  <c r="I5" i="12"/>
  <c r="D2" i="12"/>
  <c r="F2" i="12" s="1"/>
  <c r="I7" i="12" s="1"/>
  <c r="D11" i="11"/>
  <c r="F11" i="11" s="1"/>
  <c r="F10" i="11"/>
  <c r="D10" i="11"/>
  <c r="D9" i="11"/>
  <c r="F9" i="11" s="1"/>
  <c r="D8" i="11"/>
  <c r="F8" i="11" s="1"/>
  <c r="F7" i="11"/>
  <c r="D7" i="11"/>
  <c r="D6" i="11"/>
  <c r="F6" i="11" s="1"/>
  <c r="I5" i="11"/>
  <c r="D5" i="11"/>
  <c r="F5" i="11" s="1"/>
  <c r="D4" i="11"/>
  <c r="F4" i="11" s="1"/>
  <c r="D3" i="11"/>
  <c r="F3" i="11" s="1"/>
  <c r="D2" i="11"/>
  <c r="F2" i="11" s="1"/>
  <c r="F12" i="10"/>
  <c r="D12" i="10"/>
  <c r="F11" i="10"/>
  <c r="D11" i="10"/>
  <c r="D10" i="10"/>
  <c r="F10" i="10" s="1"/>
  <c r="D9" i="10"/>
  <c r="F9" i="10" s="1"/>
  <c r="D8" i="10"/>
  <c r="F8" i="10" s="1"/>
  <c r="F7" i="10"/>
  <c r="D7" i="10"/>
  <c r="D6" i="10"/>
  <c r="F6" i="10" s="1"/>
  <c r="I5" i="10"/>
  <c r="D5" i="10"/>
  <c r="F5" i="10" s="1"/>
  <c r="D4" i="10"/>
  <c r="F4" i="10" s="1"/>
  <c r="F3" i="10"/>
  <c r="D3" i="10"/>
  <c r="F2" i="10"/>
  <c r="D2" i="10"/>
  <c r="D11" i="9"/>
  <c r="F11" i="9" s="1"/>
  <c r="D10" i="9"/>
  <c r="F10" i="9" s="1"/>
  <c r="D9" i="9"/>
  <c r="F9" i="9" s="1"/>
  <c r="F8" i="9"/>
  <c r="D8" i="9"/>
  <c r="F7" i="9"/>
  <c r="D7" i="9"/>
  <c r="F6" i="9"/>
  <c r="D6" i="9"/>
  <c r="I5" i="9"/>
  <c r="D5" i="9"/>
  <c r="F5" i="9" s="1"/>
  <c r="F4" i="9"/>
  <c r="D4" i="9"/>
  <c r="D3" i="9"/>
  <c r="F3" i="9" s="1"/>
  <c r="D2" i="9"/>
  <c r="F2" i="9" s="1"/>
  <c r="D11" i="8"/>
  <c r="F11" i="8" s="1"/>
  <c r="D10" i="8"/>
  <c r="F10" i="8" s="1"/>
  <c r="F9" i="8"/>
  <c r="D9" i="8"/>
  <c r="D8" i="8"/>
  <c r="F8" i="8" s="1"/>
  <c r="F7" i="8"/>
  <c r="D7" i="8"/>
  <c r="F6" i="8"/>
  <c r="D6" i="8"/>
  <c r="F5" i="8"/>
  <c r="D5" i="8"/>
  <c r="I5" i="8" s="1"/>
  <c r="D4" i="8"/>
  <c r="F4" i="8" s="1"/>
  <c r="D3" i="8"/>
  <c r="F3" i="8" s="1"/>
  <c r="D2" i="8"/>
  <c r="F2" i="8" s="1"/>
  <c r="D9" i="7"/>
  <c r="F9" i="7" s="1"/>
  <c r="F8" i="7"/>
  <c r="D8" i="7"/>
  <c r="F7" i="7"/>
  <c r="D7" i="7"/>
  <c r="F6" i="7"/>
  <c r="D6" i="7"/>
  <c r="I5" i="7"/>
  <c r="D5" i="7"/>
  <c r="F5" i="7" s="1"/>
  <c r="F4" i="7"/>
  <c r="D4" i="7"/>
  <c r="D3" i="7"/>
  <c r="F3" i="7" s="1"/>
  <c r="D2" i="7"/>
  <c r="F2" i="7" s="1"/>
  <c r="I5" i="6"/>
  <c r="D4" i="6"/>
  <c r="F4" i="6" s="1"/>
  <c r="F3" i="6"/>
  <c r="D3" i="6"/>
  <c r="D2" i="6"/>
  <c r="F2" i="6" s="1"/>
  <c r="I7" i="6" s="1"/>
  <c r="F7" i="5"/>
  <c r="D7" i="5"/>
  <c r="F6" i="5"/>
  <c r="D6" i="5"/>
  <c r="D5" i="5"/>
  <c r="F5" i="5" s="1"/>
  <c r="D4" i="5"/>
  <c r="F4" i="5" s="1"/>
  <c r="D3" i="5"/>
  <c r="F3" i="5" s="1"/>
  <c r="D2" i="5"/>
  <c r="F2" i="5" s="1"/>
  <c r="D8" i="4"/>
  <c r="F8" i="4" s="1"/>
  <c r="F7" i="4"/>
  <c r="D7" i="4"/>
  <c r="D6" i="4"/>
  <c r="F6" i="4" s="1"/>
  <c r="I5" i="4"/>
  <c r="F5" i="4"/>
  <c r="D5" i="4"/>
  <c r="D4" i="4"/>
  <c r="F4" i="4" s="1"/>
  <c r="F3" i="4"/>
  <c r="D3" i="4"/>
  <c r="D2" i="4"/>
  <c r="F2" i="4" s="1"/>
  <c r="I7" i="4" s="1"/>
  <c r="D11" i="3"/>
  <c r="F11" i="3" s="1"/>
  <c r="F10" i="3"/>
  <c r="D10" i="3"/>
  <c r="D9" i="3"/>
  <c r="F9" i="3" s="1"/>
  <c r="D8" i="3"/>
  <c r="F8" i="3" s="1"/>
  <c r="D7" i="3"/>
  <c r="F7" i="3" s="1"/>
  <c r="F6" i="3"/>
  <c r="D6" i="3"/>
  <c r="I5" i="3"/>
  <c r="D5" i="3"/>
  <c r="F5" i="3" s="1"/>
  <c r="D4" i="3"/>
  <c r="F4" i="3" s="1"/>
  <c r="D3" i="3"/>
  <c r="F3" i="3" s="1"/>
  <c r="D2" i="3"/>
  <c r="F2" i="3" s="1"/>
  <c r="D9" i="2"/>
  <c r="F9" i="2" s="1"/>
  <c r="D8" i="2"/>
  <c r="F8" i="2" s="1"/>
  <c r="D7" i="2"/>
  <c r="F7" i="2" s="1"/>
  <c r="D6" i="2"/>
  <c r="F6" i="2" s="1"/>
  <c r="D5" i="2"/>
  <c r="I5" i="2" s="1"/>
  <c r="D4" i="2"/>
  <c r="F4" i="2" s="1"/>
  <c r="D3" i="2"/>
  <c r="F3" i="2" s="1"/>
  <c r="D2" i="2"/>
  <c r="F2" i="2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D4" i="1"/>
  <c r="F4" i="1" s="1"/>
  <c r="D3" i="1"/>
  <c r="F3" i="1" s="1"/>
  <c r="D2" i="1"/>
  <c r="F2" i="1" s="1"/>
  <c r="F5" i="2" l="1"/>
  <c r="I7" i="2" s="1"/>
  <c r="I5" i="1" a="1"/>
  <c r="I5" i="1" s="1"/>
  <c r="I7" i="7"/>
  <c r="I7" i="14"/>
  <c r="I7" i="3"/>
  <c r="I7" i="8"/>
  <c r="I7" i="10"/>
  <c r="I7" i="9"/>
  <c r="I7" i="16"/>
  <c r="I7" i="5"/>
  <c r="I7" i="11"/>
  <c r="I7" i="15"/>
  <c r="I7" i="19"/>
  <c r="F5" i="16"/>
  <c r="F5" i="1"/>
  <c r="I7" i="1" s="1"/>
  <c r="I5" i="5"/>
  <c r="F5" i="15"/>
  <c r="F2" i="17"/>
  <c r="I7" i="17" s="1"/>
  <c r="F5" i="18"/>
  <c r="I7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<sst xmlns="http://schemas.openxmlformats.org/spreadsheetml/2006/main" count="353" uniqueCount="162">
  <si>
    <t>ARIMA</t>
  </si>
  <si>
    <t>LSTM</t>
  </si>
  <si>
    <t>OFF</t>
  </si>
  <si>
    <t>AVG</t>
  </si>
  <si>
    <t>Name</t>
  </si>
  <si>
    <t>ARIMAPP</t>
  </si>
  <si>
    <t>LSTMPP</t>
  </si>
  <si>
    <t>PP</t>
  </si>
  <si>
    <t>AP</t>
  </si>
  <si>
    <t>DIFF</t>
  </si>
  <si>
    <t>Rice</t>
  </si>
  <si>
    <t>G.Jesus</t>
  </si>
  <si>
    <t>Zinchenko</t>
  </si>
  <si>
    <t>Saka</t>
  </si>
  <si>
    <t>Trossard</t>
  </si>
  <si>
    <t>Havertz</t>
  </si>
  <si>
    <t>Ødegaard</t>
  </si>
  <si>
    <t>Raya</t>
  </si>
  <si>
    <t>Saliba</t>
  </si>
  <si>
    <t>White</t>
  </si>
  <si>
    <t>Martinelli</t>
  </si>
  <si>
    <t>Nketiah</t>
  </si>
  <si>
    <t>Gabriel</t>
  </si>
  <si>
    <t>Digne</t>
  </si>
  <si>
    <t>Tielemans</t>
  </si>
  <si>
    <t>Douglas Luiz</t>
  </si>
  <si>
    <t>McGinn</t>
  </si>
  <si>
    <t>Konsa</t>
  </si>
  <si>
    <t>Watkins</t>
  </si>
  <si>
    <t>Bailey</t>
  </si>
  <si>
    <t>Martinez</t>
  </si>
  <si>
    <t>Smith</t>
  </si>
  <si>
    <t>Billing</t>
  </si>
  <si>
    <t>L.Cook</t>
  </si>
  <si>
    <t>Solanke</t>
  </si>
  <si>
    <t>Christie</t>
  </si>
  <si>
    <t>Tavernier</t>
  </si>
  <si>
    <t>Senesi</t>
  </si>
  <si>
    <t>Neto</t>
  </si>
  <si>
    <t>Semenyo</t>
  </si>
  <si>
    <t>Zabarnyi</t>
  </si>
  <si>
    <t>Maupay</t>
  </si>
  <si>
    <t>Pinnock</t>
  </si>
  <si>
    <t>Janelt</t>
  </si>
  <si>
    <t>Mbeumo</t>
  </si>
  <si>
    <t>Wissa</t>
  </si>
  <si>
    <t>Jensen</t>
  </si>
  <si>
    <t>Collins</t>
  </si>
  <si>
    <t>Gross</t>
  </si>
  <si>
    <t>Welbeck</t>
  </si>
  <si>
    <t>João Pedro</t>
  </si>
  <si>
    <t>Steele</t>
  </si>
  <si>
    <t>Ferguson</t>
  </si>
  <si>
    <t>Mitoma</t>
  </si>
  <si>
    <t>Taylor</t>
  </si>
  <si>
    <t>Berge</t>
  </si>
  <si>
    <t>Brownhill</t>
  </si>
  <si>
    <t>Sterling</t>
  </si>
  <si>
    <t>Gallagher</t>
  </si>
  <si>
    <t>Sanchez</t>
  </si>
  <si>
    <t>Palmer</t>
  </si>
  <si>
    <t>T.Silva</t>
  </si>
  <si>
    <t>Colwill</t>
  </si>
  <si>
    <t>Mudryk</t>
  </si>
  <si>
    <t>Enzo</t>
  </si>
  <si>
    <t>Schlupp</t>
  </si>
  <si>
    <t>Ward</t>
  </si>
  <si>
    <t>J.Ayew</t>
  </si>
  <si>
    <t>Mitchell</t>
  </si>
  <si>
    <t>Eze</t>
  </si>
  <si>
    <t>Johnstone</t>
  </si>
  <si>
    <t>Mateta</t>
  </si>
  <si>
    <t>Guéhi</t>
  </si>
  <si>
    <t>Edouard</t>
  </si>
  <si>
    <t>Lerma</t>
  </si>
  <si>
    <t>A.Doucoure</t>
  </si>
  <si>
    <t>Tarkowski</t>
  </si>
  <si>
    <t>Pickford</t>
  </si>
  <si>
    <t>Calvert-Lewin</t>
  </si>
  <si>
    <t>McNeil</t>
  </si>
  <si>
    <t>Garner</t>
  </si>
  <si>
    <t>Branthwaite</t>
  </si>
  <si>
    <t>Harrison</t>
  </si>
  <si>
    <t>Mykolenko</t>
  </si>
  <si>
    <t>Onana</t>
  </si>
  <si>
    <t>Raúl</t>
  </si>
  <si>
    <t>Cairney</t>
  </si>
  <si>
    <t>Iwobi</t>
  </si>
  <si>
    <t>Leno</t>
  </si>
  <si>
    <t>Wilson</t>
  </si>
  <si>
    <t>Castagne</t>
  </si>
  <si>
    <t>Robinson</t>
  </si>
  <si>
    <t>J.Palhinha</t>
  </si>
  <si>
    <t>Andreas</t>
  </si>
  <si>
    <t>De Cordova-Reid</t>
  </si>
  <si>
    <t>Willian</t>
  </si>
  <si>
    <t>A.Becker</t>
  </si>
  <si>
    <t>Salah</t>
  </si>
  <si>
    <t>Alexander-Arnold</t>
  </si>
  <si>
    <t>Virgil</t>
  </si>
  <si>
    <t>Jones</t>
  </si>
  <si>
    <t>Konaté</t>
  </si>
  <si>
    <t>Luis Díaz</t>
  </si>
  <si>
    <t>Darwin</t>
  </si>
  <si>
    <t>Diogo J.</t>
  </si>
  <si>
    <t>Gakpo</t>
  </si>
  <si>
    <t>Barkley</t>
  </si>
  <si>
    <t>Ederson M.</t>
  </si>
  <si>
    <t>Walker</t>
  </si>
  <si>
    <t>Aké</t>
  </si>
  <si>
    <t>Foden</t>
  </si>
  <si>
    <t>Rodrigo</t>
  </si>
  <si>
    <t>Haaland</t>
  </si>
  <si>
    <t>Bernardo</t>
  </si>
  <si>
    <t>J.Alvarez</t>
  </si>
  <si>
    <t>Akanji</t>
  </si>
  <si>
    <t>Rashford</t>
  </si>
  <si>
    <t>McTominay</t>
  </si>
  <si>
    <t>Lindelof</t>
  </si>
  <si>
    <t>Martial</t>
  </si>
  <si>
    <t>Evans</t>
  </si>
  <si>
    <t>B.Fernandes</t>
  </si>
  <si>
    <t>Dalot</t>
  </si>
  <si>
    <t>Garnacho</t>
  </si>
  <si>
    <t>Lascelles</t>
  </si>
  <si>
    <t>Trippier</t>
  </si>
  <si>
    <t>Longstaff</t>
  </si>
  <si>
    <t>Burn</t>
  </si>
  <si>
    <t>Joelinton</t>
  </si>
  <si>
    <t>Pope</t>
  </si>
  <si>
    <t>Gordon</t>
  </si>
  <si>
    <t>Bruno G.</t>
  </si>
  <si>
    <t>Almirón</t>
  </si>
  <si>
    <t>Isak</t>
  </si>
  <si>
    <t>Wood</t>
  </si>
  <si>
    <t>Gibbs-White</t>
  </si>
  <si>
    <t>Elanga</t>
  </si>
  <si>
    <t>Mangala</t>
  </si>
  <si>
    <t>Toffolo</t>
  </si>
  <si>
    <t>Archer</t>
  </si>
  <si>
    <t>Maddison</t>
  </si>
  <si>
    <t>Richarlison</t>
  </si>
  <si>
    <t>Romero</t>
  </si>
  <si>
    <t>Kulusevski</t>
  </si>
  <si>
    <t>Johnson</t>
  </si>
  <si>
    <t>Son</t>
  </si>
  <si>
    <t>Sarr</t>
  </si>
  <si>
    <t>Pedro Porro</t>
  </si>
  <si>
    <t>Ward-Prowse</t>
  </si>
  <si>
    <t>Zouma</t>
  </si>
  <si>
    <t>Emerson</t>
  </si>
  <si>
    <t>Bowen</t>
  </si>
  <si>
    <t>Areola</t>
  </si>
  <si>
    <t>L.Paquetá</t>
  </si>
  <si>
    <t>Lemina</t>
  </si>
  <si>
    <t>Kilman</t>
  </si>
  <si>
    <t>Dawson</t>
  </si>
  <si>
    <t>José Sá</t>
  </si>
  <si>
    <t>Toti</t>
  </si>
  <si>
    <t>Hee Chan</t>
  </si>
  <si>
    <t>Cunha</t>
  </si>
  <si>
    <t>Sarabia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</si>
</sst>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14" totalsRowShown="0">
  <autoFilter ref="A1:F14" xr:uid="{00000000-0009-0000-0100-000001000000}"/>
  <tableColumns count="6">
    <tableColumn id="1" xr3:uid="{00000000-0010-0000-0000-000001000000}" name="Name"/>
    <tableColumn id="2" xr3:uid="{00000000-0010-0000-0000-000002000000}" name="ARIMAPP"/>
    <tableColumn id="3" xr3:uid="{00000000-0010-0000-0000-000003000000}" name="LSTMPP"/>
    <tableColumn id="4" xr3:uid="{00000000-0010-0000-0000-000004000000}" name="PP">
      <calculatedColumnFormula>TableARS[[#This Row],[ARIMAPP]]*$I$2+TableARS[[#This Row],[LSTMPP]]*$I$3</calculatedColumnFormula>
    </tableColumn>
    <tableColumn id="5" xr3:uid="{00000000-0010-0000-0000-000005000000}" name="AP"/>
    <tableColumn id="6" xr3:uid="{00000000-0010-0000-0000-000006000000}" name="DIFF">
      <calculatedColumnFormula>ABS(TableARS[[#This Row],[PP]]-TableARS[[#This Row],[AP]])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9" totalsRowShown="0">
  <autoFilter ref="A1:F9" xr:uid="{00000000-0009-0000-0100-000002000000}"/>
  <tableColumns count="6">
    <tableColumn id="1" xr3:uid="{00000000-0010-0000-0100-000001000000}" name="Name"/>
    <tableColumn id="2" xr3:uid="{00000000-0010-0000-0100-000002000000}" name="ARIMAPP"/>
    <tableColumn id="3" xr3:uid="{00000000-0010-0000-0100-000003000000}" name="LSTMPP"/>
    <tableColumn id="4" xr3:uid="{00000000-0010-0000-0100-000004000000}" name="PP">
      <calculatedColumnFormula>TableAVL[[#This Row],[ARIMAPP]]*$I$2+TableAVL[[#This Row],[LSTMPP]]*$I$3</calculatedColumnFormula>
    </tableColumn>
    <tableColumn id="5" xr3:uid="{00000000-0010-0000-0100-000005000000}" name="AP"/>
    <tableColumn id="6" xr3:uid="{00000000-0010-0000-0100-000006000000}" name="DIFF">
      <calculatedColumnFormula>ABS(TableAVL[[#This Row],[PP]]-TableAVL[[#This Row],[AP]])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11" totalsRowShown="0">
  <autoFilter ref="A1:F11" xr:uid="{00000000-0009-0000-0100-000003000000}"/>
  <tableColumns count="6">
    <tableColumn id="1" xr3:uid="{00000000-0010-0000-0200-000001000000}" name="Name"/>
    <tableColumn id="2" xr3:uid="{00000000-0010-0000-0200-000002000000}" name="ARIMAPP"/>
    <tableColumn id="3" xr3:uid="{00000000-0010-0000-0200-000003000000}" name="LSTMPP"/>
    <tableColumn id="4" xr3:uid="{00000000-0010-0000-0200-000004000000}" name="PP">
      <calculatedColumnFormula>TableBOU[[#This Row],[ARIMAPP]]*$I$2+TableBOU[[#This Row],[LSTMPP]]*$I$3</calculatedColumnFormula>
    </tableColumn>
    <tableColumn id="5" xr3:uid="{00000000-0010-0000-0200-000005000000}" name="AP"/>
    <tableColumn id="6" xr3:uid="{00000000-0010-0000-0200-000006000000}" name="DIFF">
      <calculatedColumnFormula>ABS(TableBOU[[#This Row],[PP]]-TableBOU[[#This Row],[AP]])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8" totalsRowShown="0">
  <autoFilter ref="A1:F8" xr:uid="{00000000-0009-0000-0100-000004000000}"/>
  <tableColumns count="6">
    <tableColumn id="1" xr3:uid="{00000000-0010-0000-0300-000001000000}" name="Name"/>
    <tableColumn id="2" xr3:uid="{00000000-0010-0000-0300-000002000000}" name="ARIMAPP"/>
    <tableColumn id="3" xr3:uid="{00000000-0010-0000-0300-000003000000}" name="LSTMPP"/>
    <tableColumn id="4" xr3:uid="{00000000-0010-0000-0300-000004000000}" name="PP">
      <calculatedColumnFormula>TableBRE[[#This Row],[ARIMAPP]]*$I$2+TableBRE[[#This Row],[LSTMPP]]*$I$3</calculatedColumnFormula>
    </tableColumn>
    <tableColumn id="5" xr3:uid="{00000000-0010-0000-0300-000005000000}" name="AP"/>
    <tableColumn id="6" xr3:uid="{00000000-0010-0000-0300-000006000000}" name="DIFF">
      <calculatedColumnFormula>ABS(TableBRE[[#This Row],[PP]]-TableBRE[[#This Row],[AP]])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7" totalsRowShown="0">
  <autoFilter ref="A1:F7" xr:uid="{00000000-0009-0000-0100-000005000000}"/>
  <tableColumns count="6">
    <tableColumn id="1" xr3:uid="{00000000-0010-0000-0400-000001000000}" name="Name"/>
    <tableColumn id="2" xr3:uid="{00000000-0010-0000-0400-000002000000}" name="ARIMAPP"/>
    <tableColumn id="3" xr3:uid="{00000000-0010-0000-0400-000003000000}" name="LSTMPP"/>
    <tableColumn id="4" xr3:uid="{00000000-0010-0000-0400-000004000000}" name="PP">
      <calculatedColumnFormula>TableBHA[[#This Row],[ARIMAPP]]*$I$2+TableBHA[[#This Row],[LSTMPP]]*$I$3</calculatedColumnFormula>
    </tableColumn>
    <tableColumn id="5" xr3:uid="{00000000-0010-0000-0400-000005000000}" name="AP"/>
    <tableColumn id="6" xr3:uid="{00000000-0010-0000-0400-000006000000}" name="DIFF">
      <calculatedColumnFormula>ABS(TableBHA[[#This Row],[PP]]-TableBHA[[#This Row],[AP]])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BUR" displayName="TableBUR" ref="A1:F4" totalsRowShown="0">
  <autoFilter ref="A1:F4" xr:uid="{00000000-0009-0000-0100-000006000000}"/>
  <tableColumns count="6">
    <tableColumn id="1" xr3:uid="{00000000-0010-0000-0500-000001000000}" name="Name"/>
    <tableColumn id="2" xr3:uid="{00000000-0010-0000-0500-000002000000}" name="ARIMAPP"/>
    <tableColumn id="3" xr3:uid="{00000000-0010-0000-0500-000003000000}" name="LSTMPP"/>
    <tableColumn id="4" xr3:uid="{00000000-0010-0000-0500-000004000000}" name="PP">
      <calculatedColumnFormula>TableBUR[[#This Row],[ARIMAPP]]*$I$2+TableBUR[[#This Row],[LSTMPP]]*$I$3</calculatedColumnFormula>
    </tableColumn>
    <tableColumn id="5" xr3:uid="{00000000-0010-0000-0500-000005000000}" name="AP"/>
    <tableColumn id="6" xr3:uid="{00000000-0010-0000-0500-000006000000}" name="DIFF">
      <calculatedColumnFormula>ABS(TableBUR[[#This Row],[PP]]-TableBUR[[#This Row],[AP]])</calculatedColumnFormula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HE" displayName="TableCHE" ref="A1:F9" totalsRowShown="0">
  <autoFilter ref="A1:F9" xr:uid="{00000000-0009-0000-0100-000007000000}"/>
  <tableColumns count="6">
    <tableColumn id="1" xr3:uid="{00000000-0010-0000-0600-000001000000}" name="Name"/>
    <tableColumn id="2" xr3:uid="{00000000-0010-0000-0600-000002000000}" name="ARIMAPP"/>
    <tableColumn id="3" xr3:uid="{00000000-0010-0000-0600-000003000000}" name="LSTMPP"/>
    <tableColumn id="4" xr3:uid="{00000000-0010-0000-0600-000004000000}" name="PP">
      <calculatedColumnFormula>TableCHE[[#This Row],[ARIMAPP]]*$I$2+TableCHE[[#This Row],[LSTMPP]]*$I$3</calculatedColumnFormula>
    </tableColumn>
    <tableColumn id="5" xr3:uid="{00000000-0010-0000-0600-000005000000}" name="AP"/>
    <tableColumn id="6" xr3:uid="{00000000-0010-0000-0600-000006000000}" name="DIFF">
      <calculatedColumnFormula>ABS(TableCHE[[#This Row],[PP]]-TableCHE[[#This Row],[AP]])</calculatedColumn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CRY" displayName="TableCRY" ref="A1:F11" totalsRowShown="0">
  <autoFilter ref="A1:F11" xr:uid="{00000000-0009-0000-0100-000008000000}"/>
  <tableColumns count="6">
    <tableColumn id="1" xr3:uid="{00000000-0010-0000-0700-000001000000}" name="Name"/>
    <tableColumn id="2" xr3:uid="{00000000-0010-0000-0700-000002000000}" name="ARIMAPP"/>
    <tableColumn id="3" xr3:uid="{00000000-0010-0000-0700-000003000000}" name="LSTMPP"/>
    <tableColumn id="4" xr3:uid="{00000000-0010-0000-0700-000004000000}" name="PP">
      <calculatedColumnFormula>TableCRY[[#This Row],[ARIMAPP]]*$I$2+TableCRY[[#This Row],[LSTMPP]]*$I$3</calculatedColumnFormula>
    </tableColumn>
    <tableColumn id="5" xr3:uid="{00000000-0010-0000-0700-000005000000}" name="AP"/>
    <tableColumn id="6" xr3:uid="{00000000-0010-0000-0700-000006000000}" name="DIFF">
      <calculatedColumnFormula>ABS(TableCRY[[#This Row],[PP]]-TableCRY[[#This Row],[AP]])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EVE" displayName="TableEVE" ref="A1:F11" totalsRowShown="0">
  <autoFilter ref="A1:F11" xr:uid="{00000000-0009-0000-0100-000009000000}"/>
  <tableColumns count="6">
    <tableColumn id="1" xr3:uid="{00000000-0010-0000-0800-000001000000}" name="Name"/>
    <tableColumn id="2" xr3:uid="{00000000-0010-0000-0800-000002000000}" name="ARIMAPP"/>
    <tableColumn id="3" xr3:uid="{00000000-0010-0000-0800-000003000000}" name="LSTMPP"/>
    <tableColumn id="4" xr3:uid="{00000000-0010-0000-0800-000004000000}" name="PP">
      <calculatedColumnFormula>TableEVE[[#This Row],[ARIMAPP]]*$I$2+TableEVE[[#This Row],[LSTMPP]]*$I$3</calculatedColumnFormula>
    </tableColumn>
    <tableColumn id="5" xr3:uid="{00000000-0010-0000-0800-000005000000}" name="AP"/>
    <tableColumn id="6" xr3:uid="{00000000-0010-0000-0800-000006000000}" name="DIFF">
      <calculatedColumnFormula>ABS(TableEVE[[#This Row],[PP]]-TableEVE[[#This Row],[AP]])</calculatedColumnFormula>
    </tableColumn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FUL" displayName="TableFUL" ref="A1:F12" totalsRowShown="0">
  <autoFilter ref="A1:F12" xr:uid="{00000000-0009-0000-0100-00000A000000}"/>
  <tableColumns count="6">
    <tableColumn id="1" xr3:uid="{00000000-0010-0000-0900-000001000000}" name="Name"/>
    <tableColumn id="2" xr3:uid="{00000000-0010-0000-0900-000002000000}" name="ARIMAPP"/>
    <tableColumn id="3" xr3:uid="{00000000-0010-0000-0900-000003000000}" name="LSTMPP"/>
    <tableColumn id="4" xr3:uid="{00000000-0010-0000-0900-000004000000}" name="PP">
      <calculatedColumnFormula>TableFUL[[#This Row],[ARIMAPP]]*$I$2+TableFUL[[#This Row],[LSTMPP]]*$I$3</calculatedColumnFormula>
    </tableColumn>
    <tableColumn id="5" xr3:uid="{00000000-0010-0000-0900-000005000000}" name="AP"/>
    <tableColumn id="6" xr3:uid="{00000000-0010-0000-0900-000006000000}" name="DIFF">
      <calculatedColumnFormula>ABS(TableFUL[[#This Row],[PP]]-TableFUL[[#This Row],[AP]])</calculatedColumnFormula>
    </tableColumn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LIV" displayName="TableLIV" ref="A1:F11" totalsRowShown="0">
  <autoFilter ref="A1:F11" xr:uid="{00000000-0009-0000-0100-00000B000000}"/>
  <tableColumns count="6">
    <tableColumn id="1" xr3:uid="{00000000-0010-0000-0A00-000001000000}" name="Name"/>
    <tableColumn id="2" xr3:uid="{00000000-0010-0000-0A00-000002000000}" name="ARIMAPP"/>
    <tableColumn id="3" xr3:uid="{00000000-0010-0000-0A00-000003000000}" name="LSTMPP"/>
    <tableColumn id="4" xr3:uid="{00000000-0010-0000-0A00-000004000000}" name="PP">
      <calculatedColumnFormula>TableLIV[[#This Row],[ARIMAPP]]*$I$2+TableLIV[[#This Row],[LSTMPP]]*$I$3</calculatedColumnFormula>
    </tableColumn>
    <tableColumn id="5" xr3:uid="{00000000-0010-0000-0A00-000005000000}" name="AP"/>
    <tableColumn id="6" xr3:uid="{00000000-0010-0000-0A00-000006000000}" name="DIFF">
      <calculatedColumnFormula>ABS(TableLIV[[#This Row],[PP]]-TableLIV[[#This Row],[AP]])</calculatedColumnFormula>
    </tableColumn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LUT" displayName="TableLUT" ref="A1:F2" totalsRowShown="0">
  <autoFilter ref="A1:F2" xr:uid="{00000000-0009-0000-0100-00000C000000}"/>
  <tableColumns count="6">
    <tableColumn id="1" xr3:uid="{00000000-0010-0000-0B00-000001000000}" name="Name"/>
    <tableColumn id="2" xr3:uid="{00000000-0010-0000-0B00-000002000000}" name="ARIMAPP"/>
    <tableColumn id="3" xr3:uid="{00000000-0010-0000-0B00-000003000000}" name="LSTMPP"/>
    <tableColumn id="4" xr3:uid="{00000000-0010-0000-0B00-000004000000}" name="PP">
      <calculatedColumnFormula>TableLUT[[#This Row],[ARIMAPP]]*$I$2+TableLUT[[#This Row],[LSTMPP]]*$I$3</calculatedColumnFormula>
    </tableColumn>
    <tableColumn id="5" xr3:uid="{00000000-0010-0000-0B00-000005000000}" name="AP"/>
    <tableColumn id="6" xr3:uid="{00000000-0010-0000-0B00-000006000000}" name="DIFF">
      <calculatedColumnFormula>ABS(TableLUT[[#This Row],[PP]]-TableLUT[[#This Row],[AP]])</calculatedColumnFormula>
    </tableColumn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MCI" displayName="TableMCI" ref="A1:F10" totalsRowShown="0">
  <autoFilter ref="A1:F10" xr:uid="{00000000-0009-0000-0100-00000D000000}"/>
  <tableColumns count="6">
    <tableColumn id="1" xr3:uid="{00000000-0010-0000-0C00-000001000000}" name="Name"/>
    <tableColumn id="2" xr3:uid="{00000000-0010-0000-0C00-000002000000}" name="ARIMAPP"/>
    <tableColumn id="3" xr3:uid="{00000000-0010-0000-0C00-000003000000}" name="LSTMPP"/>
    <tableColumn id="4" xr3:uid="{00000000-0010-0000-0C00-000004000000}" name="PP">
      <calculatedColumnFormula>TableMCI[[#This Row],[ARIMAPP]]*$I$2+TableMCI[[#This Row],[LSTMPP]]*$I$3</calculatedColumnFormula>
    </tableColumn>
    <tableColumn id="5" xr3:uid="{00000000-0010-0000-0C00-000005000000}" name="AP"/>
    <tableColumn id="6" xr3:uid="{00000000-0010-0000-0C00-000006000000}" name="DIFF">
      <calculatedColumnFormula>ABS(TableMCI[[#This Row],[PP]]-TableMCI[[#This Row],[AP]])</calculatedColumnFormula>
    </tableColumn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MUN" displayName="TableMUN" ref="A1:F9" totalsRowShown="0">
  <autoFilter ref="A1:F9" xr:uid="{00000000-0009-0000-0100-00000E000000}"/>
  <tableColumns count="6">
    <tableColumn id="1" xr3:uid="{00000000-0010-0000-0D00-000001000000}" name="Name"/>
    <tableColumn id="2" xr3:uid="{00000000-0010-0000-0D00-000002000000}" name="ARIMAPP"/>
    <tableColumn id="3" xr3:uid="{00000000-0010-0000-0D00-000003000000}" name="LSTMPP"/>
    <tableColumn id="4" xr3:uid="{00000000-0010-0000-0D00-000004000000}" name="PP">
      <calculatedColumnFormula>TableMUN[[#This Row],[ARIMAPP]]*$I$2+TableMUN[[#This Row],[LSTMPP]]*$I$3</calculatedColumnFormula>
    </tableColumn>
    <tableColumn id="5" xr3:uid="{00000000-0010-0000-0D00-000005000000}" name="AP"/>
    <tableColumn id="6" xr3:uid="{00000000-0010-0000-0D00-000006000000}" name="DIFF">
      <calculatedColumnFormula>ABS(TableMUN[[#This Row],[PP]]-TableMUN[[#This Row],[AP]])</calculatedColumnFormula>
    </tableColumn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NEW" displayName="TableNEW" ref="A1:F12" totalsRowShown="0">
  <autoFilter ref="A1:F12" xr:uid="{00000000-0009-0000-0100-00000F000000}"/>
  <tableColumns count="6">
    <tableColumn id="1" xr3:uid="{00000000-0010-0000-0E00-000001000000}" name="Name"/>
    <tableColumn id="2" xr3:uid="{00000000-0010-0000-0E00-000002000000}" name="ARIMAPP"/>
    <tableColumn id="3" xr3:uid="{00000000-0010-0000-0E00-000003000000}" name="LSTMPP"/>
    <tableColumn id="4" xr3:uid="{00000000-0010-0000-0E00-000004000000}" name="PP">
      <calculatedColumnFormula>TableNEW[[#This Row],[ARIMAPP]]*$I$2+TableNEW[[#This Row],[LSTMPP]]*$I$3</calculatedColumnFormula>
    </tableColumn>
    <tableColumn id="5" xr3:uid="{00000000-0010-0000-0E00-000005000000}" name="AP"/>
    <tableColumn id="6" xr3:uid="{00000000-0010-0000-0E00-000006000000}" name="DIFF">
      <calculatedColumnFormula>ABS(TableNEW[[#This Row],[PP]]-TableNEW[[#This Row],[AP]])</calculatedColumnFormula>
    </tableColumn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NFO" displayName="TableNFO" ref="A1:F6" totalsRowShown="0">
  <autoFilter ref="A1:F6" xr:uid="{00000000-0009-0000-0100-000010000000}"/>
  <tableColumns count="6">
    <tableColumn id="1" xr3:uid="{00000000-0010-0000-0F00-000001000000}" name="Name"/>
    <tableColumn id="2" xr3:uid="{00000000-0010-0000-0F00-000002000000}" name="ARIMAPP"/>
    <tableColumn id="3" xr3:uid="{00000000-0010-0000-0F00-000003000000}" name="LSTMPP"/>
    <tableColumn id="4" xr3:uid="{00000000-0010-0000-0F00-000004000000}" name="PP">
      <calculatedColumnFormula>TableNFO[[#This Row],[ARIMAPP]]*$I$2+TableNFO[[#This Row],[LSTMPP]]*$I$3</calculatedColumnFormula>
    </tableColumn>
    <tableColumn id="5" xr3:uid="{00000000-0010-0000-0F00-000005000000}" name="AP"/>
    <tableColumn id="6" xr3:uid="{00000000-0010-0000-0F00-000006000000}" name="DIFF">
      <calculatedColumnFormula>ABS(TableNFO[[#This Row],[PP]]-TableNFO[[#This Row],[AP]])</calculatedColumnFormula>
    </tableColumn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SHU" displayName="TableSHU" ref="A1:F2" totalsRowShown="0">
  <autoFilter ref="A1:F2" xr:uid="{00000000-0009-0000-0100-000011000000}"/>
  <tableColumns count="6">
    <tableColumn id="1" xr3:uid="{00000000-0010-0000-1000-000001000000}" name="Name"/>
    <tableColumn id="2" xr3:uid="{00000000-0010-0000-1000-000002000000}" name="ARIMAPP"/>
    <tableColumn id="3" xr3:uid="{00000000-0010-0000-1000-000003000000}" name="LSTMPP"/>
    <tableColumn id="4" xr3:uid="{00000000-0010-0000-1000-000004000000}" name="PP">
      <calculatedColumnFormula>TableSHU[[#This Row],[ARIMAPP]]*$I$2+TableSHU[[#This Row],[LSTMPP]]*$I$3</calculatedColumnFormula>
    </tableColumn>
    <tableColumn id="5" xr3:uid="{00000000-0010-0000-1000-000005000000}" name="AP"/>
    <tableColumn id="6" xr3:uid="{00000000-0010-0000-1000-000006000000}" name="DIFF">
      <calculatedColumnFormula>ABS(TableSHU[[#This Row],[PP]]-TableSHU[[#This Row],[AP]])</calculatedColumnFormula>
    </tableColumn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TOT" displayName="TableTOT" ref="A1:F9" totalsRowShown="0">
  <autoFilter ref="A1:F9" xr:uid="{00000000-0009-0000-0100-000012000000}"/>
  <tableColumns count="6">
    <tableColumn id="1" xr3:uid="{00000000-0010-0000-1100-000001000000}" name="Name"/>
    <tableColumn id="2" xr3:uid="{00000000-0010-0000-1100-000002000000}" name="ARIMAPP"/>
    <tableColumn id="3" xr3:uid="{00000000-0010-0000-1100-000003000000}" name="LSTMPP"/>
    <tableColumn id="4" xr3:uid="{00000000-0010-0000-1100-000004000000}" name="PP">
      <calculatedColumnFormula>TableTOT[[#This Row],[ARIMAPP]]*$I$2+TableTOT[[#This Row],[LSTMPP]]*$I$3</calculatedColumnFormula>
    </tableColumn>
    <tableColumn id="5" xr3:uid="{00000000-0010-0000-1100-000005000000}" name="AP"/>
    <tableColumn id="6" xr3:uid="{00000000-0010-0000-1100-000006000000}" name="DIFF">
      <calculatedColumnFormula>ABS(TableTOT[[#This Row],[PP]]-TableTOT[[#This Row],[AP]])</calculatedColumnFormula>
    </tableColumn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WHU" displayName="TableWHU" ref="A1:F7" totalsRowShown="0">
  <autoFilter ref="A1:F7" xr:uid="{00000000-0009-0000-0100-000013000000}"/>
  <tableColumns count="6">
    <tableColumn id="1" xr3:uid="{00000000-0010-0000-1200-000001000000}" name="Name"/>
    <tableColumn id="2" xr3:uid="{00000000-0010-0000-1200-000002000000}" name="ARIMAPP"/>
    <tableColumn id="3" xr3:uid="{00000000-0010-0000-1200-000003000000}" name="LSTMPP"/>
    <tableColumn id="4" xr3:uid="{00000000-0010-0000-1200-000004000000}" name="PP">
      <calculatedColumnFormula>TableWHU[[#This Row],[ARIMAPP]]*$I$2+TableWHU[[#This Row],[LSTMPP]]*$I$3</calculatedColumnFormula>
    </tableColumn>
    <tableColumn id="5" xr3:uid="{00000000-0010-0000-1200-000005000000}" name="AP"/>
    <tableColumn id="6" xr3:uid="{00000000-0010-0000-1200-000006000000}" name="DIFF">
      <calculatedColumnFormula>ABS(TableWHU[[#This Row],[PP]]-TableWHU[[#This Row],[AP]])</calculatedColumnFormula>
    </tableColumn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WOL" displayName="TableWOL" ref="A1:F9" totalsRowShown="0">
  <autoFilter ref="A1:F9" xr:uid="{00000000-0009-0000-0100-000014000000}"/>
  <tableColumns count="6">
    <tableColumn id="1" xr3:uid="{00000000-0010-0000-1300-000001000000}" name="Name"/>
    <tableColumn id="2" xr3:uid="{00000000-0010-0000-1300-000002000000}" name="ARIMAPP"/>
    <tableColumn id="3" xr3:uid="{00000000-0010-0000-1300-000003000000}" name="LSTMPP"/>
    <tableColumn id="4" xr3:uid="{00000000-0010-0000-1300-000004000000}" name="PP">
      <calculatedColumnFormula>TableWOL[[#This Row],[ARIMAPP]]*$I$2+TableWOL[[#This Row],[LSTMPP]]*$I$3</calculatedColumnFormula>
    </tableColumn>
    <tableColumn id="5" xr3:uid="{00000000-0010-0000-1300-000005000000}" name="AP"/>
    <tableColumn id="6" xr3:uid="{00000000-0010-0000-1300-000006000000}" name="DIFF">
      <calculatedColumnFormula>ABS(TableWOL[[#This Row],[PP]]-TableWOL[[#This Row],[AP]])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I5" sqref="I5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10</v>
      </c>
      <c r="B2">
        <v>28.09154168879942</v>
      </c>
      <c r="C2">
        <v>27.87671232876712</v>
      </c>
      <c r="D2">
        <f>TableARS[[#This Row],[ARIMAPP]]*$I$2+TableARS[[#This Row],[LSTMPP]]*$I$3</f>
        <v>23.679250153328148</v>
      </c>
      <c r="E2">
        <v>27</v>
      </c>
      <c r="F2">
        <f>ABS(TableARS[[#This Row],[PP]]-TableARS[[#This Row],[AP]])</f>
        <v>3.3207498466718519</v>
      </c>
      <c r="H2" t="s">
        <v>0</v>
      </c>
      <c r="I2">
        <v>0.44588143400000002</v>
      </c>
    </row>
    <row r="3" spans="1:9" x14ac:dyDescent="0.2">
      <c r="A3" t="s">
        <v>11</v>
      </c>
      <c r="B3">
        <v>40.758620689655203</v>
      </c>
      <c r="C3">
        <v>34.698275862068961</v>
      </c>
      <c r="D3">
        <f>TableARS[[#This Row],[ARIMAPP]]*$I$2+TableARS[[#This Row],[LSTMPP]]*$I$3</f>
        <v>32.056641751109929</v>
      </c>
      <c r="E3">
        <v>33</v>
      </c>
      <c r="F3">
        <f>ABS(TableARS[[#This Row],[PP]]-TableARS[[#This Row],[AP]])</f>
        <v>0.94335824889007114</v>
      </c>
      <c r="H3" t="s">
        <v>1</v>
      </c>
      <c r="I3">
        <v>0.40011006786999997</v>
      </c>
    </row>
    <row r="4" spans="1:9" x14ac:dyDescent="0.2">
      <c r="A4" t="s">
        <v>12</v>
      </c>
      <c r="B4">
        <v>32.500000000000007</v>
      </c>
      <c r="C4">
        <v>30.723684210526311</v>
      </c>
      <c r="D4">
        <f>TableARS[[#This Row],[ARIMAPP]]*$I$2+TableARS[[#This Row],[LSTMPP]]*$I$3</f>
        <v>26.784001979690132</v>
      </c>
      <c r="E4">
        <v>46</v>
      </c>
      <c r="F4">
        <f>ABS(TableARS[[#This Row],[PP]]-TableARS[[#This Row],[AP]])</f>
        <v>19.215998020309868</v>
      </c>
    </row>
    <row r="5" spans="1:9" x14ac:dyDescent="0.2">
      <c r="A5" t="s">
        <v>13</v>
      </c>
      <c r="B5">
        <v>57.637579753496873</v>
      </c>
      <c r="C5">
        <v>34.490740740740733</v>
      </c>
      <c r="D5">
        <f>TableARS[[#This Row],[ARIMAPP]]*$I$2+TableARS[[#This Row],[LSTMPP]]*$I$3</f>
        <v>39.499619331442901</v>
      </c>
      <c r="E5">
        <v>43</v>
      </c>
      <c r="F5">
        <f>ABS(TableARS[[#This Row],[PP]]-TableARS[[#This Row],[AP]])</f>
        <v>3.5003806685570993</v>
      </c>
      <c r="H5" t="s">
        <v>2</v>
      </c>
      <c r="I5" cm="1">
        <f t="array" ref="I5">SUM(ABS(TableARS[PP]-TableARS[AP]))</f>
        <v>76.022007608445875</v>
      </c>
    </row>
    <row r="6" spans="1:9" x14ac:dyDescent="0.2">
      <c r="A6" t="s">
        <v>14</v>
      </c>
      <c r="B6">
        <v>38.261194317817761</v>
      </c>
      <c r="C6">
        <v>40.437036485692403</v>
      </c>
      <c r="D6">
        <f>TableARS[[#This Row],[ARIMAPP]]*$I$2+TableARS[[#This Row],[LSTMPP]]*$I$3</f>
        <v>33.239221601733291</v>
      </c>
      <c r="E6">
        <v>26</v>
      </c>
      <c r="F6">
        <f>ABS(TableARS[[#This Row],[PP]]-TableARS[[#This Row],[AP]])</f>
        <v>7.2392216017332913</v>
      </c>
    </row>
    <row r="7" spans="1:9" x14ac:dyDescent="0.2">
      <c r="A7" t="s">
        <v>15</v>
      </c>
      <c r="B7">
        <v>31.894736842105289</v>
      </c>
      <c r="C7">
        <v>33.784301606134832</v>
      </c>
      <c r="D7">
        <f>TableARS[[#This Row],[ARIMAPP]]*$I$2+TableARS[[#This Row],[LSTMPP]]*$I$3</f>
        <v>27.738710208781697</v>
      </c>
      <c r="E7">
        <v>32</v>
      </c>
      <c r="F7">
        <f>ABS(TableARS[[#This Row],[PP]]-TableARS[[#This Row],[AP]])</f>
        <v>4.261289791218303</v>
      </c>
      <c r="H7" t="s">
        <v>3</v>
      </c>
      <c r="I7">
        <f>AVERAGE(TableARS[DIFF])/10</f>
        <v>0.5847846739111221</v>
      </c>
    </row>
    <row r="8" spans="1:9" x14ac:dyDescent="0.2">
      <c r="A8" t="s">
        <v>16</v>
      </c>
      <c r="B8">
        <v>58.456765709308989</v>
      </c>
      <c r="C8">
        <v>36.142857142857153</v>
      </c>
      <c r="D8">
        <f>TableARS[[#This Row],[ARIMAPP]]*$I$2+TableARS[[#This Row],[LSTMPP]]*$I$3</f>
        <v>40.525907545913014</v>
      </c>
      <c r="E8">
        <v>40</v>
      </c>
      <c r="F8">
        <f>ABS(TableARS[[#This Row],[PP]]-TableARS[[#This Row],[AP]])</f>
        <v>0.52590754591301447</v>
      </c>
    </row>
    <row r="9" spans="1:9" x14ac:dyDescent="0.2">
      <c r="A9" t="s">
        <v>17</v>
      </c>
      <c r="B9">
        <v>42.461538461538481</v>
      </c>
      <c r="C9">
        <v>34.326923076923073</v>
      </c>
      <c r="D9">
        <f>TableARS[[#This Row],[ARIMAPP]]*$I$2+TableARS[[#This Row],[LSTMPP]]*$I$3</f>
        <v>32.667359181152889</v>
      </c>
      <c r="E9">
        <v>31</v>
      </c>
      <c r="F9">
        <f>ABS(TableARS[[#This Row],[PP]]-TableARS[[#This Row],[AP]])</f>
        <v>1.6673591811528894</v>
      </c>
    </row>
    <row r="10" spans="1:9" x14ac:dyDescent="0.2">
      <c r="A10" t="s">
        <v>18</v>
      </c>
      <c r="B10">
        <v>42.363323939804992</v>
      </c>
      <c r="C10">
        <v>35.178571428571431</v>
      </c>
      <c r="D10">
        <f>TableARS[[#This Row],[ARIMAPP]]*$I$2+TableARS[[#This Row],[LSTMPP]]*$I$3</f>
        <v>32.964320229142139</v>
      </c>
      <c r="E10">
        <v>31</v>
      </c>
      <c r="F10">
        <f>ABS(TableARS[[#This Row],[PP]]-TableARS[[#This Row],[AP]])</f>
        <v>1.9643202291421389</v>
      </c>
    </row>
    <row r="11" spans="1:9" x14ac:dyDescent="0.2">
      <c r="A11" t="s">
        <v>19</v>
      </c>
      <c r="B11">
        <v>42.666666666666657</v>
      </c>
      <c r="C11">
        <v>34.166666666666671</v>
      </c>
      <c r="D11">
        <f>TableARS[[#This Row],[ARIMAPP]]*$I$2+TableARS[[#This Row],[LSTMPP]]*$I$3</f>
        <v>32.694701836224993</v>
      </c>
      <c r="E11">
        <v>24</v>
      </c>
      <c r="F11">
        <f>ABS(TableARS[[#This Row],[PP]]-TableARS[[#This Row],[AP]])</f>
        <v>8.6947018362249935</v>
      </c>
    </row>
    <row r="12" spans="1:9" x14ac:dyDescent="0.2">
      <c r="A12" t="s">
        <v>20</v>
      </c>
      <c r="B12">
        <v>50.476190476190453</v>
      </c>
      <c r="C12">
        <v>48.985874911816957</v>
      </c>
      <c r="D12">
        <f>TableARS[[#This Row],[ARIMAPP]]*$I$2+TableARS[[#This Row],[LSTMPP]]*$I$3</f>
        <v>42.106137928019351</v>
      </c>
      <c r="E12">
        <v>30</v>
      </c>
      <c r="F12">
        <f>ABS(TableARS[[#This Row],[PP]]-TableARS[[#This Row],[AP]])</f>
        <v>12.106137928019351</v>
      </c>
    </row>
    <row r="13" spans="1:9" x14ac:dyDescent="0.2">
      <c r="A13" t="s">
        <v>21</v>
      </c>
      <c r="B13">
        <v>24.324324324324341</v>
      </c>
      <c r="C13">
        <v>25.517241379310349</v>
      </c>
      <c r="D13">
        <f>TableARS[[#This Row],[ARIMAPP]]*$I$2+TableARS[[#This Row],[LSTMPP]]*$I$3</f>
        <v>21.055469790941853</v>
      </c>
      <c r="E13">
        <v>30</v>
      </c>
      <c r="F13">
        <f>ABS(TableARS[[#This Row],[PP]]-TableARS[[#This Row],[AP]])</f>
        <v>8.9445302090581471</v>
      </c>
    </row>
    <row r="14" spans="1:9" x14ac:dyDescent="0.2">
      <c r="A14" t="s">
        <v>22</v>
      </c>
      <c r="B14">
        <v>36.36363636363636</v>
      </c>
      <c r="C14">
        <v>32.86115053581797</v>
      </c>
      <c r="D14">
        <f>TableARS[[#This Row],[ARIMAPP]]*$I$2+TableARS[[#This Row],[LSTMPP]]*$I$3</f>
        <v>29.36194749844514</v>
      </c>
      <c r="E14">
        <v>33</v>
      </c>
      <c r="F14">
        <f>ABS(TableARS[[#This Row],[PP]]-TableARS[[#This Row],[AP]])</f>
        <v>3.6380525015548599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I5" sqref="I5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23</v>
      </c>
      <c r="B2">
        <v>26.639619783527198</v>
      </c>
      <c r="C2">
        <v>33.836083435049837</v>
      </c>
      <c r="D2">
        <f>TableAVL[[#This Row],[ARIMAPP]]*$I$2+TableAVL[[#This Row],[LSTMPP]]*$I$3</f>
        <v>29.662471778726143</v>
      </c>
      <c r="E2">
        <v>28</v>
      </c>
      <c r="F2">
        <f>ABS(TableAVL[[#This Row],[PP]]-TableAVL[[#This Row],[AP]])</f>
        <v>1.6624717787261432</v>
      </c>
      <c r="H2" t="s">
        <v>0</v>
      </c>
      <c r="I2">
        <v>0.74821745661000005</v>
      </c>
    </row>
    <row r="3" spans="1:9" x14ac:dyDescent="0.2">
      <c r="A3" t="s">
        <v>24</v>
      </c>
      <c r="B3">
        <v>32.894736842105253</v>
      </c>
      <c r="C3">
        <v>32.190082644628113</v>
      </c>
      <c r="D3">
        <f>TableAVL[[#This Row],[ARIMAPP]]*$I$2+TableAVL[[#This Row],[LSTMPP]]*$I$3</f>
        <v>33.86931907345609</v>
      </c>
      <c r="E3">
        <v>23</v>
      </c>
      <c r="F3">
        <f>ABS(TableAVL[[#This Row],[PP]]-TableAVL[[#This Row],[AP]])</f>
        <v>10.86931907345609</v>
      </c>
      <c r="H3" t="s">
        <v>1</v>
      </c>
      <c r="I3">
        <v>0.28757002086</v>
      </c>
    </row>
    <row r="4" spans="1:9" x14ac:dyDescent="0.2">
      <c r="A4" t="s">
        <v>25</v>
      </c>
      <c r="B4">
        <v>52.830708115624141</v>
      </c>
      <c r="C4">
        <v>27.389380530973462</v>
      </c>
      <c r="D4">
        <f>TableAVL[[#This Row],[ARIMAPP]]*$I$2+TableAVL[[#This Row],[LSTMPP]]*$I$3</f>
        <v>47.4052227878121</v>
      </c>
      <c r="E4">
        <v>45</v>
      </c>
      <c r="F4">
        <f>ABS(TableAVL[[#This Row],[PP]]-TableAVL[[#This Row],[AP]])</f>
        <v>2.4052227878121002</v>
      </c>
    </row>
    <row r="5" spans="1:9" x14ac:dyDescent="0.2">
      <c r="A5" t="s">
        <v>26</v>
      </c>
      <c r="B5">
        <v>30</v>
      </c>
      <c r="C5">
        <v>29.495412844036689</v>
      </c>
      <c r="D5">
        <f>TableAVL[[#This Row],[ARIMAPP]]*$I$2+TableAVL[[#This Row],[LSTMPP]]*$I$3</f>
        <v>30.928520185133944</v>
      </c>
      <c r="E5">
        <v>39</v>
      </c>
      <c r="F5">
        <f>ABS(TableAVL[[#This Row],[PP]]-TableAVL[[#This Row],[AP]])</f>
        <v>8.0714798148660556</v>
      </c>
      <c r="H5" t="s">
        <v>2</v>
      </c>
      <c r="I5">
        <f>SUM(ABS(TableAVL[[#This Row],[PP]]-TableAVL[[#This Row],[AP]]))</f>
        <v>8.0714798148660556</v>
      </c>
    </row>
    <row r="6" spans="1:9" x14ac:dyDescent="0.2">
      <c r="A6" t="s">
        <v>27</v>
      </c>
      <c r="B6">
        <v>28.63636363636363</v>
      </c>
      <c r="C6">
        <v>28.761904761904759</v>
      </c>
      <c r="D6">
        <f>TableAVL[[#This Row],[ARIMAPP]]*$I$2+TableAVL[[#This Row],[LSTMPP]]*$I$3</f>
        <v>29.69728871891337</v>
      </c>
      <c r="E6">
        <v>22</v>
      </c>
      <c r="F6">
        <f>ABS(TableAVL[[#This Row],[PP]]-TableAVL[[#This Row],[AP]])</f>
        <v>7.6972887189133701</v>
      </c>
    </row>
    <row r="7" spans="1:9" x14ac:dyDescent="0.2">
      <c r="A7" t="s">
        <v>28</v>
      </c>
      <c r="B7">
        <v>45.398230088495588</v>
      </c>
      <c r="C7">
        <v>35.5</v>
      </c>
      <c r="D7">
        <f>TableAVL[[#This Row],[ARIMAPP]]*$I$2+TableAVL[[#This Row],[LSTMPP]]*$I$3</f>
        <v>44.176483991939747</v>
      </c>
      <c r="E7">
        <v>48</v>
      </c>
      <c r="F7">
        <f>ABS(TableAVL[[#This Row],[PP]]-TableAVL[[#This Row],[AP]])</f>
        <v>3.8235160080602526</v>
      </c>
      <c r="H7" t="s">
        <v>3</v>
      </c>
      <c r="I7">
        <f>AVERAGE(TableAVL[DIFF])/10</f>
        <v>0.57420194409708059</v>
      </c>
    </row>
    <row r="8" spans="1:9" x14ac:dyDescent="0.2">
      <c r="A8" t="s">
        <v>29</v>
      </c>
      <c r="B8">
        <v>29.137931034482762</v>
      </c>
      <c r="C8">
        <v>27.934782608695659</v>
      </c>
      <c r="D8">
        <f>TableAVL[[#This Row],[ARIMAPP]]*$I$2+TableAVL[[#This Row],[LSTMPP]]*$I$3</f>
        <v>29.834714667000455</v>
      </c>
      <c r="E8">
        <v>41</v>
      </c>
      <c r="F8">
        <f>ABS(TableAVL[[#This Row],[PP]]-TableAVL[[#This Row],[AP]])</f>
        <v>11.165285332999545</v>
      </c>
    </row>
    <row r="9" spans="1:9" x14ac:dyDescent="0.2">
      <c r="A9" t="s">
        <v>30</v>
      </c>
      <c r="B9">
        <v>34.211001794951208</v>
      </c>
      <c r="C9">
        <v>31.857142857142861</v>
      </c>
      <c r="D9">
        <f>TableAVL[[#This Row],[ARIMAPP]]*$I$2+TableAVL[[#This Row],[LSTMPP]]*$I$3</f>
        <v>34.758427987067108</v>
      </c>
      <c r="E9">
        <v>35</v>
      </c>
      <c r="F9">
        <f>ABS(TableAVL[[#This Row],[PP]]-TableAVL[[#This Row],[AP]])</f>
        <v>0.24157201293289177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>
      <selection activeCell="I4" sqref="I4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31</v>
      </c>
      <c r="B2">
        <v>22.325581395348848</v>
      </c>
      <c r="C2">
        <v>26.617647058823529</v>
      </c>
      <c r="D2">
        <f>TableBOU[[#This Row],[ARIMAPP]]*$I$2+TableBOU[[#This Row],[LSTMPP]]*$I$3</f>
        <v>33.106589780737252</v>
      </c>
      <c r="E2">
        <v>32</v>
      </c>
      <c r="F2">
        <f>ABS(TableBOU[[#This Row],[PP]]-TableBOU[[#This Row],[AP]])</f>
        <v>1.1065897807372522</v>
      </c>
      <c r="H2" t="s">
        <v>0</v>
      </c>
      <c r="I2">
        <v>1.055756355</v>
      </c>
    </row>
    <row r="3" spans="1:9" x14ac:dyDescent="0.2">
      <c r="A3" t="s">
        <v>32</v>
      </c>
      <c r="B3">
        <v>26.019523386265501</v>
      </c>
      <c r="C3">
        <v>26.92771084337349</v>
      </c>
      <c r="D3">
        <f>TableBOU[[#This Row],[ARIMAPP]]*$I$2+TableBOU[[#This Row],[LSTMPP]]*$I$3</f>
        <v>37.117578027201041</v>
      </c>
      <c r="E3">
        <v>33</v>
      </c>
      <c r="F3">
        <f>ABS(TableBOU[[#This Row],[PP]]-TableBOU[[#This Row],[AP]])</f>
        <v>4.1175780272010414</v>
      </c>
      <c r="H3" t="s">
        <v>1</v>
      </c>
      <c r="I3">
        <v>0.35826665379</v>
      </c>
    </row>
    <row r="4" spans="1:9" x14ac:dyDescent="0.2">
      <c r="A4" t="s">
        <v>33</v>
      </c>
      <c r="B4">
        <v>16.9179780665782</v>
      </c>
      <c r="C4">
        <v>23.771929824561401</v>
      </c>
      <c r="D4">
        <f>TableBOU[[#This Row],[ARIMAPP]]*$I$2+TableBOU[[#This Row],[LSTMPP]]*$I$3</f>
        <v>26.377952609916864</v>
      </c>
      <c r="E4">
        <v>22</v>
      </c>
      <c r="F4">
        <f>ABS(TableBOU[[#This Row],[PP]]-TableBOU[[#This Row],[AP]])</f>
        <v>4.3779526099168642</v>
      </c>
    </row>
    <row r="5" spans="1:9" x14ac:dyDescent="0.2">
      <c r="A5" t="s">
        <v>34</v>
      </c>
      <c r="B5">
        <v>38.826312940707993</v>
      </c>
      <c r="C5">
        <v>27.196969696969688</v>
      </c>
      <c r="D5">
        <f>TableBOU[[#This Row],[ARIMAPP]]*$I$2+TableBOU[[#This Row],[LSTMPP]]*$I$3</f>
        <v>50.734893954932559</v>
      </c>
      <c r="E5">
        <v>59</v>
      </c>
      <c r="F5">
        <f>ABS(TableBOU[[#This Row],[PP]]-TableBOU[[#This Row],[AP]])</f>
        <v>8.2651060450674407</v>
      </c>
      <c r="H5" t="s">
        <v>2</v>
      </c>
      <c r="I5">
        <f>SUM(ABS(TableBOU[[#This Row],[PP]]-TableBOU[[#This Row],[AP]]))</f>
        <v>8.2651060450674407</v>
      </c>
    </row>
    <row r="6" spans="1:9" x14ac:dyDescent="0.2">
      <c r="A6" t="s">
        <v>35</v>
      </c>
      <c r="B6">
        <v>19.750000000000011</v>
      </c>
      <c r="C6">
        <v>24.375</v>
      </c>
      <c r="D6">
        <f>TableBOU[[#This Row],[ARIMAPP]]*$I$2+TableBOU[[#This Row],[LSTMPP]]*$I$3</f>
        <v>29.583937697381259</v>
      </c>
      <c r="E6">
        <v>28</v>
      </c>
      <c r="F6">
        <f>ABS(TableBOU[[#This Row],[PP]]-TableBOU[[#This Row],[AP]])</f>
        <v>1.5839376973812591</v>
      </c>
    </row>
    <row r="7" spans="1:9" x14ac:dyDescent="0.2">
      <c r="A7" t="s">
        <v>36</v>
      </c>
      <c r="B7">
        <v>35.450214649362167</v>
      </c>
      <c r="C7">
        <v>39.961196325317971</v>
      </c>
      <c r="D7">
        <f>TableBOU[[#This Row],[ARIMAPP]]*$I$2+TableBOU[[#This Row],[LSTMPP]]*$I$3</f>
        <v>51.743553491095113</v>
      </c>
      <c r="E7">
        <v>46</v>
      </c>
      <c r="F7">
        <f>ABS(TableBOU[[#This Row],[PP]]-TableBOU[[#This Row],[AP]])</f>
        <v>5.7435534910951134</v>
      </c>
      <c r="H7" t="s">
        <v>3</v>
      </c>
      <c r="I7">
        <f>AVERAGE(TableBOU[DIFF])/10</f>
        <v>0.60087834148877106</v>
      </c>
    </row>
    <row r="8" spans="1:9" x14ac:dyDescent="0.2">
      <c r="A8" t="s">
        <v>37</v>
      </c>
      <c r="B8">
        <v>21.478509252996311</v>
      </c>
      <c r="C8">
        <v>26.37931034482758</v>
      </c>
      <c r="D8">
        <f>TableBOU[[#This Row],[ARIMAPP]]*$I$2+TableBOU[[#This Row],[LSTMPP]]*$I$3</f>
        <v>32.126899886306461</v>
      </c>
      <c r="E8">
        <v>48</v>
      </c>
      <c r="F8">
        <f>ABS(TableBOU[[#This Row],[PP]]-TableBOU[[#This Row],[AP]])</f>
        <v>15.873100113693539</v>
      </c>
    </row>
    <row r="9" spans="1:9" x14ac:dyDescent="0.2">
      <c r="A9" t="s">
        <v>38</v>
      </c>
      <c r="B9">
        <v>36.916745761746967</v>
      </c>
      <c r="C9">
        <v>35.512581833600173</v>
      </c>
      <c r="D9">
        <f>TableBOU[[#This Row],[ARIMAPP]]*$I$2+TableBOU[[#This Row],[LSTMPP]]*$I$3</f>
        <v>51.698062804851155</v>
      </c>
      <c r="E9">
        <v>42</v>
      </c>
      <c r="F9">
        <f>ABS(TableBOU[[#This Row],[PP]]-TableBOU[[#This Row],[AP]])</f>
        <v>9.6980628048511548</v>
      </c>
    </row>
    <row r="10" spans="1:9" x14ac:dyDescent="0.2">
      <c r="A10" t="s">
        <v>39</v>
      </c>
      <c r="B10">
        <v>20</v>
      </c>
      <c r="C10">
        <v>25.833333333333329</v>
      </c>
      <c r="D10">
        <f>TableBOU[[#This Row],[ARIMAPP]]*$I$2+TableBOU[[#This Row],[LSTMPP]]*$I$3</f>
        <v>30.370348989575</v>
      </c>
      <c r="E10">
        <v>32</v>
      </c>
      <c r="F10">
        <f>ABS(TableBOU[[#This Row],[PP]]-TableBOU[[#This Row],[AP]])</f>
        <v>1.6296510104250004</v>
      </c>
    </row>
    <row r="11" spans="1:9" x14ac:dyDescent="0.2">
      <c r="A11" t="s">
        <v>40</v>
      </c>
      <c r="B11">
        <v>13.571428571428569</v>
      </c>
      <c r="C11">
        <v>22.27272727272727</v>
      </c>
      <c r="D11">
        <f>TableBOU[[#This Row],[ARIMAPP]]*$I$2+TableBOU[[#This Row],[LSTMPP]]*$I$3</f>
        <v>22.307697431491555</v>
      </c>
      <c r="E11">
        <v>30</v>
      </c>
      <c r="F11">
        <f>ABS(TableBOU[[#This Row],[PP]]-TableBOU[[#This Row],[AP]])</f>
        <v>7.6923025685084454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activeCell="I4" sqref="I4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41</v>
      </c>
      <c r="B2">
        <v>16.203185761654979</v>
      </c>
      <c r="C2">
        <v>30.817307692307701</v>
      </c>
      <c r="D2">
        <f>TableBRE[[#This Row],[ARIMAPP]]*$I$2+TableBRE[[#This Row],[LSTMPP]]*$I$3</f>
        <v>26.796563476398077</v>
      </c>
      <c r="E2">
        <v>31</v>
      </c>
      <c r="F2">
        <f>ABS(TableBRE[[#This Row],[PP]]-TableBRE[[#This Row],[AP]])</f>
        <v>4.2034365236019227</v>
      </c>
      <c r="H2" t="s">
        <v>0</v>
      </c>
      <c r="I2">
        <v>0.49186478397</v>
      </c>
    </row>
    <row r="3" spans="1:9" x14ac:dyDescent="0.2">
      <c r="A3" t="s">
        <v>42</v>
      </c>
      <c r="B3">
        <v>31.9402985074627</v>
      </c>
      <c r="C3">
        <v>29.360003689452849</v>
      </c>
      <c r="D3">
        <f>TableBRE[[#This Row],[ARIMAPP]]*$I$2+TableBRE[[#This Row],[LSTMPP]]*$I$3</f>
        <v>33.64680467372591</v>
      </c>
      <c r="E3">
        <v>26</v>
      </c>
      <c r="F3">
        <f>ABS(TableBRE[[#This Row],[PP]]-TableBRE[[#This Row],[AP]])</f>
        <v>7.6468046737259101</v>
      </c>
      <c r="H3" t="s">
        <v>1</v>
      </c>
      <c r="I3">
        <v>0.61091602161000003</v>
      </c>
    </row>
    <row r="4" spans="1:9" x14ac:dyDescent="0.2">
      <c r="A4" t="s">
        <v>43</v>
      </c>
      <c r="B4">
        <v>26.666666666666639</v>
      </c>
      <c r="C4">
        <v>27.01754385964912</v>
      </c>
      <c r="D4">
        <f>TableBRE[[#This Row],[ARIMAPP]]*$I$2+TableBRE[[#This Row],[LSTMPP]]*$I$3</f>
        <v>29.621844647610509</v>
      </c>
      <c r="E4">
        <v>23</v>
      </c>
      <c r="F4">
        <f>ABS(TableBRE[[#This Row],[PP]]-TableBRE[[#This Row],[AP]])</f>
        <v>6.6218446476105086</v>
      </c>
    </row>
    <row r="5" spans="1:9" x14ac:dyDescent="0.2">
      <c r="A5" t="s">
        <v>44</v>
      </c>
      <c r="B5">
        <v>38.799999999999983</v>
      </c>
      <c r="C5">
        <v>33.916536634097838</v>
      </c>
      <c r="D5">
        <f>TableBRE[[#This Row],[ARIMAPP]]*$I$2+TableBRE[[#This Row],[LSTMPP]]*$I$3</f>
        <v>39.804509245328859</v>
      </c>
      <c r="E5">
        <v>52</v>
      </c>
      <c r="F5">
        <f>ABS(TableBRE[[#This Row],[PP]]-TableBRE[[#This Row],[AP]])</f>
        <v>12.195490754671141</v>
      </c>
      <c r="H5" t="s">
        <v>2</v>
      </c>
      <c r="I5">
        <f>SUM(ABS(TableBRE[[#This Row],[PP]]-TableBRE[[#This Row],[AP]]))</f>
        <v>12.195490754671141</v>
      </c>
    </row>
    <row r="6" spans="1:9" x14ac:dyDescent="0.2">
      <c r="A6" t="s">
        <v>45</v>
      </c>
      <c r="B6">
        <v>33.351277210013457</v>
      </c>
      <c r="C6">
        <v>28.189655172413801</v>
      </c>
      <c r="D6">
        <f>TableBRE[[#This Row],[ARIMAPP]]*$I$2+TableBRE[[#This Row],[LSTMPP]]*$I$3</f>
        <v>33.625830748515654</v>
      </c>
      <c r="E6">
        <v>23</v>
      </c>
      <c r="F6">
        <f>ABS(TableBRE[[#This Row],[PP]]-TableBRE[[#This Row],[AP]])</f>
        <v>10.625830748515654</v>
      </c>
    </row>
    <row r="7" spans="1:9" x14ac:dyDescent="0.2">
      <c r="A7" t="s">
        <v>46</v>
      </c>
      <c r="B7">
        <v>38.153782737897536</v>
      </c>
      <c r="C7">
        <v>27.222222222222221</v>
      </c>
      <c r="D7">
        <f>TableBRE[[#This Row],[ARIMAPP]]*$I$2+TableBRE[[#This Row],[LSTMPP]]*$I$3</f>
        <v>35.396993803397621</v>
      </c>
      <c r="E7">
        <v>42</v>
      </c>
      <c r="F7">
        <f>ABS(TableBRE[[#This Row],[PP]]-TableBRE[[#This Row],[AP]])</f>
        <v>6.6030061966023794</v>
      </c>
      <c r="H7" t="s">
        <v>3</v>
      </c>
      <c r="I7">
        <f>AVERAGE(TableBRE[DIFF])/10</f>
        <v>0.69507056535434997</v>
      </c>
    </row>
    <row r="8" spans="1:9" x14ac:dyDescent="0.2">
      <c r="A8" t="s">
        <v>47</v>
      </c>
      <c r="B8">
        <v>23.750000000000011</v>
      </c>
      <c r="C8">
        <v>26.315789473684209</v>
      </c>
      <c r="D8">
        <f>TableBRE[[#This Row],[ARIMAPP]]*$I$2+TableBRE[[#This Row],[LSTMPP]]*$I$3</f>
        <v>27.758526030076979</v>
      </c>
      <c r="E8">
        <v>27</v>
      </c>
      <c r="F8">
        <f>ABS(TableBRE[[#This Row],[PP]]-TableBRE[[#This Row],[AP]])</f>
        <v>0.75852603007697894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>
      <selection activeCell="I3" sqref="I3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48</v>
      </c>
      <c r="B2">
        <v>34.509803921568611</v>
      </c>
      <c r="C2">
        <v>31.516393442622959</v>
      </c>
      <c r="D2">
        <f>TableBHA[[#This Row],[ARIMAPP]]*$I$2+TableBHA[[#This Row],[LSTMPP]]*$I$3</f>
        <v>28.548274552201026</v>
      </c>
      <c r="E2">
        <v>46</v>
      </c>
      <c r="F2">
        <f>ABS(TableBHA[[#This Row],[PP]]-TableBHA[[#This Row],[AP]])</f>
        <v>17.451725447798974</v>
      </c>
      <c r="H2" t="s">
        <v>0</v>
      </c>
      <c r="I2">
        <v>-0.53622787596999999</v>
      </c>
    </row>
    <row r="3" spans="1:9" x14ac:dyDescent="0.2">
      <c r="A3" t="s">
        <v>49</v>
      </c>
      <c r="B3">
        <v>30.10921485205958</v>
      </c>
      <c r="C3">
        <v>31.572175944464352</v>
      </c>
      <c r="D3">
        <f>TableBHA[[#This Row],[ARIMAPP]]*$I$2+TableBHA[[#This Row],[LSTMPP]]*$I$3</f>
        <v>30.991275327096698</v>
      </c>
      <c r="E3">
        <v>28</v>
      </c>
      <c r="F3">
        <f>ABS(TableBHA[[#This Row],[PP]]-TableBHA[[#This Row],[AP]])</f>
        <v>2.9912753270966981</v>
      </c>
      <c r="H3" t="s">
        <v>1</v>
      </c>
      <c r="I3">
        <v>1.4929815334000001</v>
      </c>
    </row>
    <row r="4" spans="1:9" x14ac:dyDescent="0.2">
      <c r="A4" t="s">
        <v>50</v>
      </c>
      <c r="B4">
        <v>22</v>
      </c>
      <c r="C4">
        <v>25</v>
      </c>
      <c r="D4">
        <f>TableBHA[[#This Row],[ARIMAPP]]*$I$2+TableBHA[[#This Row],[LSTMPP]]*$I$3</f>
        <v>25.527525063660001</v>
      </c>
      <c r="E4">
        <v>44</v>
      </c>
      <c r="F4">
        <f>ABS(TableBHA[[#This Row],[PP]]-TableBHA[[#This Row],[AP]])</f>
        <v>18.472474936339999</v>
      </c>
    </row>
    <row r="5" spans="1:9" x14ac:dyDescent="0.2">
      <c r="A5" t="s">
        <v>51</v>
      </c>
      <c r="B5">
        <v>41.666666666666693</v>
      </c>
      <c r="C5">
        <v>43.94436210625976</v>
      </c>
      <c r="D5">
        <f>TableBHA[[#This Row],[ARIMAPP]]*$I$2+TableBHA[[#This Row],[LSTMPP]]*$I$3</f>
        <v>43.265292956271878</v>
      </c>
      <c r="E5">
        <v>25</v>
      </c>
      <c r="F5">
        <f>ABS(TableBHA[[#This Row],[PP]]-TableBHA[[#This Row],[AP]])</f>
        <v>18.265292956271878</v>
      </c>
      <c r="H5" t="s">
        <v>2</v>
      </c>
      <c r="I5">
        <f>SUM(ABS(TableBHA[[#This Row],[PP]]-TableBHA[[#This Row],[AP]]))</f>
        <v>18.265292956271878</v>
      </c>
    </row>
    <row r="6" spans="1:9" x14ac:dyDescent="0.2">
      <c r="A6" t="s">
        <v>52</v>
      </c>
      <c r="B6">
        <v>31.20000000000001</v>
      </c>
      <c r="C6">
        <v>28.984639486788669</v>
      </c>
      <c r="D6">
        <f>TableBHA[[#This Row],[ARIMAPP]]*$I$2+TableBHA[[#This Row],[LSTMPP]]*$I$3</f>
        <v>26.543221775767933</v>
      </c>
      <c r="E6">
        <v>28</v>
      </c>
      <c r="F6">
        <f>ABS(TableBHA[[#This Row],[PP]]-TableBHA[[#This Row],[AP]])</f>
        <v>1.4567782242320675</v>
      </c>
    </row>
    <row r="7" spans="1:9" x14ac:dyDescent="0.2">
      <c r="A7" t="s">
        <v>53</v>
      </c>
      <c r="B7">
        <v>44.571428571428562</v>
      </c>
      <c r="C7">
        <v>34.464285714285722</v>
      </c>
      <c r="D7">
        <f>TableBHA[[#This Row],[ARIMAPP]]*$I$2+TableBHA[[#This Row],[LSTMPP]]*$I$3</f>
        <v>27.554099661444308</v>
      </c>
      <c r="E7">
        <v>23</v>
      </c>
      <c r="F7">
        <f>ABS(TableBHA[[#This Row],[PP]]-TableBHA[[#This Row],[AP]])</f>
        <v>4.5540996614443081</v>
      </c>
      <c r="H7" t="s">
        <v>3</v>
      </c>
      <c r="I7">
        <f>AVERAGE(TableBHA[DIFF])/10</f>
        <v>1.0531941092197321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I3" sqref="I3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54</v>
      </c>
      <c r="B2">
        <v>26.803278688524578</v>
      </c>
      <c r="C2">
        <v>28.55670103092784</v>
      </c>
      <c r="D2">
        <f>TableBUR[[#This Row],[ARIMAPP]]*$I$2+TableBUR[[#This Row],[LSTMPP]]*$I$3</f>
        <v>31.214999222353612</v>
      </c>
      <c r="E2">
        <v>28</v>
      </c>
      <c r="F2">
        <f>ABS(TableBUR[[#This Row],[PP]]-TableBUR[[#This Row],[AP]])</f>
        <v>3.2149992223536117</v>
      </c>
      <c r="H2" t="s">
        <v>0</v>
      </c>
      <c r="I2">
        <v>2.6176020575000001</v>
      </c>
    </row>
    <row r="3" spans="1:9" x14ac:dyDescent="0.2">
      <c r="A3" t="s">
        <v>55</v>
      </c>
      <c r="B3">
        <v>22.97297297297299</v>
      </c>
      <c r="C3">
        <v>27.241379310344829</v>
      </c>
      <c r="D3">
        <f>TableBUR[[#This Row],[ARIMAPP]]*$I$2+TableBUR[[#This Row],[LSTMPP]]*$I$3</f>
        <v>22.982604554670132</v>
      </c>
      <c r="E3">
        <v>22</v>
      </c>
      <c r="F3">
        <f>ABS(TableBUR[[#This Row],[PP]]-TableBUR[[#This Row],[AP]])</f>
        <v>0.9826045546701323</v>
      </c>
      <c r="H3" t="s">
        <v>1</v>
      </c>
      <c r="I3">
        <v>-1.3637891218</v>
      </c>
    </row>
    <row r="4" spans="1:9" x14ac:dyDescent="0.2">
      <c r="A4" t="s">
        <v>56</v>
      </c>
      <c r="B4">
        <v>23.291139240506329</v>
      </c>
      <c r="C4">
        <v>25.396825396825388</v>
      </c>
      <c r="D4">
        <f>TableBUR[[#This Row],[ARIMAPP]]*$I$2+TableBUR[[#This Row],[LSTMPP]]*$I$3</f>
        <v>26.33101979302392</v>
      </c>
      <c r="E4">
        <v>31</v>
      </c>
      <c r="F4">
        <f>ABS(TableBUR[[#This Row],[PP]]-TableBUR[[#This Row],[AP]])</f>
        <v>4.6689802069760802</v>
      </c>
    </row>
    <row r="5" spans="1:9" x14ac:dyDescent="0.2">
      <c r="H5" t="s">
        <v>2</v>
      </c>
      <c r="I5" t="e">
        <f>SUM(ABS(TableBUR[[#This Row],[PP]]-TableBUR[[#This Row],[AP]]))</f>
        <v>#VALUE!</v>
      </c>
    </row>
    <row r="7" spans="1:9" x14ac:dyDescent="0.2">
      <c r="H7" t="s">
        <v>3</v>
      </c>
      <c r="I7">
        <f>AVERAGE(TableBUR[DIFF])/10</f>
        <v>0.2955527994666608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>
      <selection activeCell="I3" sqref="I3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57</v>
      </c>
      <c r="B2">
        <v>46.540181708881441</v>
      </c>
      <c r="C2">
        <v>57.957712804337618</v>
      </c>
      <c r="D2">
        <f>TableCHE[[#This Row],[ARIMAPP]]*$I$2+TableCHE[[#This Row],[LSTMPP]]*$I$3</f>
        <v>44.239134274740152</v>
      </c>
      <c r="E2">
        <v>36</v>
      </c>
      <c r="F2">
        <f>ABS(TableCHE[[#This Row],[PP]]-TableCHE[[#This Row],[AP]])</f>
        <v>8.2391342747401524</v>
      </c>
      <c r="H2" t="s">
        <v>0</v>
      </c>
      <c r="I2">
        <v>1.4398626757999999</v>
      </c>
    </row>
    <row r="3" spans="1:9" x14ac:dyDescent="0.2">
      <c r="A3" t="s">
        <v>58</v>
      </c>
      <c r="B3">
        <v>26.522929118193801</v>
      </c>
      <c r="C3">
        <v>28.475609756097558</v>
      </c>
      <c r="D3">
        <f>TableCHE[[#This Row],[ARIMAPP]]*$I$2+TableCHE[[#This Row],[LSTMPP]]*$I$3</f>
        <v>27.000939671343939</v>
      </c>
      <c r="E3">
        <v>26</v>
      </c>
      <c r="F3">
        <f>ABS(TableCHE[[#This Row],[PP]]-TableCHE[[#This Row],[AP]])</f>
        <v>1.0009396713439394</v>
      </c>
      <c r="H3" t="s">
        <v>1</v>
      </c>
      <c r="I3">
        <v>-0.39291295655000003</v>
      </c>
    </row>
    <row r="4" spans="1:9" x14ac:dyDescent="0.2">
      <c r="A4" t="s">
        <v>59</v>
      </c>
      <c r="B4">
        <v>35.730337078651672</v>
      </c>
      <c r="C4">
        <v>32.739860126112298</v>
      </c>
      <c r="D4">
        <f>TableCHE[[#This Row],[ARIMAPP]]*$I$2+TableCHE[[#This Row],[LSTMPP]]*$I$3</f>
        <v>38.582863514119111</v>
      </c>
      <c r="E4">
        <v>33</v>
      </c>
      <c r="F4">
        <f>ABS(TableCHE[[#This Row],[PP]]-TableCHE[[#This Row],[AP]])</f>
        <v>5.5828635141191114</v>
      </c>
    </row>
    <row r="5" spans="1:9" x14ac:dyDescent="0.2">
      <c r="A5" t="s">
        <v>60</v>
      </c>
      <c r="B5">
        <v>20.22502923853062</v>
      </c>
      <c r="C5">
        <v>18.684210526315791</v>
      </c>
      <c r="D5">
        <f>TableCHE[[#This Row],[ARIMAPP]]*$I$2+TableCHE[[#This Row],[LSTMPP]]*$I$3</f>
        <v>21.779996318826566</v>
      </c>
      <c r="E5">
        <v>65</v>
      </c>
      <c r="F5">
        <f>ABS(TableCHE[[#This Row],[PP]]-TableCHE[[#This Row],[AP]])</f>
        <v>43.220003681173438</v>
      </c>
      <c r="H5" t="s">
        <v>2</v>
      </c>
      <c r="I5">
        <f>SUM(ABS(TableCHE[[#This Row],[PP]]-TableCHE[[#This Row],[AP]]))</f>
        <v>43.220003681173438</v>
      </c>
    </row>
    <row r="6" spans="1:9" x14ac:dyDescent="0.2">
      <c r="A6" t="s">
        <v>61</v>
      </c>
      <c r="B6">
        <v>34.531249999999993</v>
      </c>
      <c r="C6">
        <v>32.645461745927562</v>
      </c>
      <c r="D6">
        <f>TableCHE[[#This Row],[ARIMAPP]]*$I$2+TableCHE[[#This Row],[LSTMPP]]*$I$3</f>
        <v>36.893433131186413</v>
      </c>
      <c r="E6">
        <v>23</v>
      </c>
      <c r="F6">
        <f>ABS(TableCHE[[#This Row],[PP]]-TableCHE[[#This Row],[AP]])</f>
        <v>13.893433131186413</v>
      </c>
    </row>
    <row r="7" spans="1:9" x14ac:dyDescent="0.2">
      <c r="A7" t="s">
        <v>62</v>
      </c>
      <c r="B7">
        <v>29.6</v>
      </c>
      <c r="C7">
        <v>27.574935979967481</v>
      </c>
      <c r="D7">
        <f>TableCHE[[#This Row],[ARIMAPP]]*$I$2+TableCHE[[#This Row],[LSTMPP]]*$I$3</f>
        <v>31.785385581114006</v>
      </c>
      <c r="E7">
        <v>20</v>
      </c>
      <c r="F7">
        <f>ABS(TableCHE[[#This Row],[PP]]-TableCHE[[#This Row],[AP]])</f>
        <v>11.785385581114006</v>
      </c>
      <c r="H7" t="s">
        <v>3</v>
      </c>
      <c r="I7">
        <f>AVERAGE(TableCHE[DIFF])/10</f>
        <v>1.3959059461691627</v>
      </c>
    </row>
    <row r="8" spans="1:9" x14ac:dyDescent="0.2">
      <c r="A8" t="s">
        <v>63</v>
      </c>
      <c r="B8">
        <v>18.999999999999989</v>
      </c>
      <c r="C8">
        <v>22.8125</v>
      </c>
      <c r="D8">
        <f>TableCHE[[#This Row],[ARIMAPP]]*$I$2+TableCHE[[#This Row],[LSTMPP]]*$I$3</f>
        <v>18.394064018903109</v>
      </c>
      <c r="E8">
        <v>39</v>
      </c>
      <c r="F8">
        <f>ABS(TableCHE[[#This Row],[PP]]-TableCHE[[#This Row],[AP]])</f>
        <v>20.605935981096891</v>
      </c>
    </row>
    <row r="9" spans="1:9" x14ac:dyDescent="0.2">
      <c r="A9" t="s">
        <v>64</v>
      </c>
      <c r="B9">
        <v>23.478260869565219</v>
      </c>
      <c r="C9">
        <v>25.833333333333329</v>
      </c>
      <c r="D9">
        <f>TableCHE[[#This Row],[ARIMAPP]]*$I$2+TableCHE[[#This Row],[LSTMPP]]*$I$3</f>
        <v>23.655220141240946</v>
      </c>
      <c r="E9">
        <v>31</v>
      </c>
      <c r="F9">
        <f>ABS(TableCHE[[#This Row],[PP]]-TableCHE[[#This Row],[AP]])</f>
        <v>7.344779858759054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workbookViewId="0">
      <selection activeCell="I3" sqref="I3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65</v>
      </c>
      <c r="B2">
        <v>26.760563380281681</v>
      </c>
      <c r="C2">
        <v>28.407079646017699</v>
      </c>
      <c r="D2">
        <f>TableCRY[[#This Row],[ARIMAPP]]*$I$2+TableCRY[[#This Row],[LSTMPP]]*$I$3</f>
        <v>27.102460133442801</v>
      </c>
      <c r="E2">
        <v>26</v>
      </c>
      <c r="F2">
        <f>ABS(TableCRY[[#This Row],[PP]]-TableCRY[[#This Row],[AP]])</f>
        <v>1.1024601334428006</v>
      </c>
      <c r="H2" t="s">
        <v>0</v>
      </c>
      <c r="I2">
        <v>0.23620339077999999</v>
      </c>
    </row>
    <row r="3" spans="1:9" x14ac:dyDescent="0.2">
      <c r="A3" t="s">
        <v>66</v>
      </c>
      <c r="B3">
        <v>23.067391592793879</v>
      </c>
      <c r="C3">
        <v>27.57731958762886</v>
      </c>
      <c r="D3">
        <f>TableCRY[[#This Row],[ARIMAPP]]*$I$2+TableCRY[[#This Row],[LSTMPP]]*$I$3</f>
        <v>25.623099964564883</v>
      </c>
      <c r="E3">
        <v>20</v>
      </c>
      <c r="F3">
        <f>ABS(TableCRY[[#This Row],[PP]]-TableCRY[[#This Row],[AP]])</f>
        <v>5.6230999645648829</v>
      </c>
      <c r="H3" t="s">
        <v>1</v>
      </c>
      <c r="I3">
        <v>0.73156144816000002</v>
      </c>
    </row>
    <row r="4" spans="1:9" x14ac:dyDescent="0.2">
      <c r="A4" t="s">
        <v>67</v>
      </c>
      <c r="B4">
        <v>27.360353366173118</v>
      </c>
      <c r="C4">
        <v>28.500000000000011</v>
      </c>
      <c r="D4">
        <f>TableCRY[[#This Row],[ARIMAPP]]*$I$2+TableCRY[[#This Row],[LSTMPP]]*$I$3</f>
        <v>27.312109510589085</v>
      </c>
      <c r="E4">
        <v>35</v>
      </c>
      <c r="F4">
        <f>ABS(TableCRY[[#This Row],[PP]]-TableCRY[[#This Row],[AP]])</f>
        <v>7.6878904894109148</v>
      </c>
    </row>
    <row r="5" spans="1:9" x14ac:dyDescent="0.2">
      <c r="A5" t="s">
        <v>68</v>
      </c>
      <c r="B5">
        <v>27.918521773909092</v>
      </c>
      <c r="C5">
        <v>28.924050632911388</v>
      </c>
      <c r="D5">
        <f>TableCRY[[#This Row],[ARIMAPP]]*$I$2+TableCRY[[#This Row],[LSTMPP]]*$I$3</f>
        <v>27.754169876228406</v>
      </c>
      <c r="E5">
        <v>29</v>
      </c>
      <c r="F5">
        <f>ABS(TableCRY[[#This Row],[PP]]-TableCRY[[#This Row],[AP]])</f>
        <v>1.2458301237715936</v>
      </c>
      <c r="H5" t="s">
        <v>2</v>
      </c>
      <c r="I5">
        <f>SUM(ABS(TableCRY[[#This Row],[PP]]-TableCRY[[#This Row],[AP]]))</f>
        <v>1.2458301237715936</v>
      </c>
    </row>
    <row r="6" spans="1:9" x14ac:dyDescent="0.2">
      <c r="A6" t="s">
        <v>69</v>
      </c>
      <c r="B6">
        <v>36.785714285714299</v>
      </c>
      <c r="C6">
        <v>32.251952336674513</v>
      </c>
      <c r="D6">
        <f>TableCRY[[#This Row],[ARIMAPP]]*$I$2+TableCRY[[#This Row],[LSTMPP]]*$I$3</f>
        <v>32.283195403954906</v>
      </c>
      <c r="E6">
        <v>34</v>
      </c>
      <c r="F6">
        <f>ABS(TableCRY[[#This Row],[PP]]-TableCRY[[#This Row],[AP]])</f>
        <v>1.7168045960450939</v>
      </c>
    </row>
    <row r="7" spans="1:9" x14ac:dyDescent="0.2">
      <c r="A7" t="s">
        <v>70</v>
      </c>
      <c r="B7">
        <v>36.470588235294123</v>
      </c>
      <c r="C7">
        <v>33.625</v>
      </c>
      <c r="D7">
        <f>TableCRY[[#This Row],[ARIMAPP]]*$I$2+TableCRY[[#This Row],[LSTMPP]]*$I$3</f>
        <v>33.213230299297649</v>
      </c>
      <c r="E7">
        <v>36</v>
      </c>
      <c r="F7">
        <f>ABS(TableCRY[[#This Row],[PP]]-TableCRY[[#This Row],[AP]])</f>
        <v>2.7867697007023509</v>
      </c>
      <c r="H7" t="s">
        <v>3</v>
      </c>
      <c r="I7">
        <f>AVERAGE(TableCRY[DIFF])/10</f>
        <v>0.37859979559103096</v>
      </c>
    </row>
    <row r="8" spans="1:9" x14ac:dyDescent="0.2">
      <c r="A8" t="s">
        <v>71</v>
      </c>
      <c r="B8">
        <v>21.29032258064516</v>
      </c>
      <c r="C8">
        <v>25.30612244897959</v>
      </c>
      <c r="D8">
        <f>TableCRY[[#This Row],[ARIMAPP]]*$I$2+TableCRY[[#This Row],[LSTMPP]]*$I$3</f>
        <v>23.541829970438183</v>
      </c>
      <c r="E8">
        <v>29</v>
      </c>
      <c r="F8">
        <f>ABS(TableCRY[[#This Row],[PP]]-TableCRY[[#This Row],[AP]])</f>
        <v>5.458170029561817</v>
      </c>
    </row>
    <row r="9" spans="1:9" x14ac:dyDescent="0.2">
      <c r="A9" t="s">
        <v>72</v>
      </c>
      <c r="B9">
        <v>30.89743589743588</v>
      </c>
      <c r="C9">
        <v>29.112903225806441</v>
      </c>
      <c r="D9">
        <f>TableCRY[[#This Row],[ARIMAPP]]*$I$2+TableCRY[[#This Row],[LSTMPP]]*$I$3</f>
        <v>28.595956769394945</v>
      </c>
      <c r="E9">
        <v>20</v>
      </c>
      <c r="F9">
        <f>ABS(TableCRY[[#This Row],[PP]]-TableCRY[[#This Row],[AP]])</f>
        <v>8.5959567693949452</v>
      </c>
    </row>
    <row r="10" spans="1:9" x14ac:dyDescent="0.2">
      <c r="A10" t="s">
        <v>73</v>
      </c>
      <c r="B10">
        <v>30.151515151515159</v>
      </c>
      <c r="C10">
        <v>28.36538461538461</v>
      </c>
      <c r="D10">
        <f>TableCRY[[#This Row],[ARIMAPP]]*$I$2+TableCRY[[#This Row],[LSTMPP]]*$I$3</f>
        <v>27.872911962788578</v>
      </c>
      <c r="E10">
        <v>27</v>
      </c>
      <c r="F10">
        <f>ABS(TableCRY[[#This Row],[PP]]-TableCRY[[#This Row],[AP]])</f>
        <v>0.87291196278857797</v>
      </c>
    </row>
    <row r="11" spans="1:9" x14ac:dyDescent="0.2">
      <c r="A11" t="s">
        <v>74</v>
      </c>
      <c r="B11">
        <v>27.073170731707322</v>
      </c>
      <c r="C11">
        <v>29.21875</v>
      </c>
      <c r="D11">
        <f>TableCRY[[#This Row],[ARIMAPP]]*$I$2+TableCRY[[#This Row],[LSTMPP]]*$I$3</f>
        <v>27.770085789420126</v>
      </c>
      <c r="E11">
        <v>25</v>
      </c>
      <c r="F11">
        <f>ABS(TableCRY[[#This Row],[PP]]-TableCRY[[#This Row],[AP]])</f>
        <v>2.7700857894201256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workbookViewId="0">
      <selection activeCell="I3" sqref="I3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75</v>
      </c>
      <c r="B2">
        <v>33.405053160777832</v>
      </c>
      <c r="C2">
        <v>30.203252032520322</v>
      </c>
      <c r="D2">
        <f>TableEVE[[#This Row],[ARIMAPP]]*$I$2+TableEVE[[#This Row],[LSTMPP]]*$I$3</f>
        <v>35.613630405803072</v>
      </c>
      <c r="E2">
        <v>49</v>
      </c>
      <c r="F2">
        <f>ABS(TableEVE[[#This Row],[PP]]-TableEVE[[#This Row],[AP]])</f>
        <v>13.386369594196928</v>
      </c>
      <c r="H2" t="s">
        <v>0</v>
      </c>
      <c r="I2">
        <v>-0.13698997612</v>
      </c>
    </row>
    <row r="3" spans="1:9" x14ac:dyDescent="0.2">
      <c r="A3" t="s">
        <v>76</v>
      </c>
      <c r="B3">
        <v>29.18840812223393</v>
      </c>
      <c r="C3">
        <v>29.591836734693871</v>
      </c>
      <c r="D3">
        <f>TableEVE[[#This Row],[ARIMAPP]]*$I$2+TableEVE[[#This Row],[LSTMPP]]*$I$3</f>
        <v>35.377692173660471</v>
      </c>
      <c r="E3">
        <v>31</v>
      </c>
      <c r="F3">
        <f>ABS(TableEVE[[#This Row],[PP]]-TableEVE[[#This Row],[AP]])</f>
        <v>4.3776921736604706</v>
      </c>
      <c r="H3" t="s">
        <v>1</v>
      </c>
      <c r="I3">
        <v>1.3306443887999999</v>
      </c>
    </row>
    <row r="4" spans="1:9" x14ac:dyDescent="0.2">
      <c r="A4" t="s">
        <v>77</v>
      </c>
      <c r="B4">
        <v>34.835164835164811</v>
      </c>
      <c r="C4">
        <v>35.576501287743433</v>
      </c>
      <c r="D4">
        <f>TableEVE[[#This Row],[ARIMAPP]]*$I$2+TableEVE[[#This Row],[LSTMPP]]*$I$3</f>
        <v>42.567603412766282</v>
      </c>
      <c r="E4">
        <v>41</v>
      </c>
      <c r="F4">
        <f>ABS(TableEVE[[#This Row],[PP]]-TableEVE[[#This Row],[AP]])</f>
        <v>1.5676034127662817</v>
      </c>
    </row>
    <row r="5" spans="1:9" x14ac:dyDescent="0.2">
      <c r="A5" t="s">
        <v>78</v>
      </c>
      <c r="B5">
        <v>34.443206260482008</v>
      </c>
      <c r="C5">
        <v>34.921063040999208</v>
      </c>
      <c r="D5">
        <f>TableEVE[[#This Row],[ARIMAPP]]*$I$2+TableEVE[[#This Row],[LSTMPP]]*$I$3</f>
        <v>41.749142583316996</v>
      </c>
      <c r="E5">
        <v>28</v>
      </c>
      <c r="F5">
        <f>ABS(TableEVE[[#This Row],[PP]]-TableEVE[[#This Row],[AP]])</f>
        <v>13.749142583316996</v>
      </c>
      <c r="H5" t="s">
        <v>2</v>
      </c>
      <c r="I5">
        <f>SUM(ABS(TableEVE[[#This Row],[PP]]-TableEVE[[#This Row],[AP]]))</f>
        <v>13.749142583316996</v>
      </c>
    </row>
    <row r="6" spans="1:9" x14ac:dyDescent="0.2">
      <c r="A6" t="s">
        <v>79</v>
      </c>
      <c r="B6">
        <v>31.367436452048501</v>
      </c>
      <c r="C6">
        <v>29.393939393939391</v>
      </c>
      <c r="D6">
        <f>TableEVE[[#This Row],[ARIMAPP]]*$I$2+TableEVE[[#This Row],[LSTMPP]]*$I$3</f>
        <v>34.815856148760979</v>
      </c>
      <c r="E6">
        <v>45</v>
      </c>
      <c r="F6">
        <f>ABS(TableEVE[[#This Row],[PP]]-TableEVE[[#This Row],[AP]])</f>
        <v>10.184143851239021</v>
      </c>
    </row>
    <row r="7" spans="1:9" x14ac:dyDescent="0.2">
      <c r="A7" t="s">
        <v>80</v>
      </c>
      <c r="B7">
        <v>47.761001452116567</v>
      </c>
      <c r="C7">
        <v>21.428571428571431</v>
      </c>
      <c r="D7">
        <f>TableEVE[[#This Row],[ARIMAPP]]*$I$2+TableEVE[[#This Row],[LSTMPP]]*$I$3</f>
        <v>21.971029883035836</v>
      </c>
      <c r="E7">
        <v>22</v>
      </c>
      <c r="F7">
        <f>ABS(TableEVE[[#This Row],[PP]]-TableEVE[[#This Row],[AP]])</f>
        <v>2.897011696416385E-2</v>
      </c>
      <c r="H7" t="s">
        <v>3</v>
      </c>
      <c r="I7">
        <f>AVERAGE(TableEVE[DIFF])/10</f>
        <v>0.861565900219188</v>
      </c>
    </row>
    <row r="8" spans="1:9" x14ac:dyDescent="0.2">
      <c r="A8" t="s">
        <v>81</v>
      </c>
      <c r="B8">
        <v>17.64705882352942</v>
      </c>
      <c r="C8">
        <v>22.307692307692299</v>
      </c>
      <c r="D8">
        <f>TableEVE[[#This Row],[ARIMAPP]]*$I$2+TableEVE[[#This Row],[LSTMPP]]*$I$3</f>
        <v>27.266135429484148</v>
      </c>
      <c r="E8">
        <v>33</v>
      </c>
      <c r="F8">
        <f>ABS(TableEVE[[#This Row],[PP]]-TableEVE[[#This Row],[AP]])</f>
        <v>5.733864570515852</v>
      </c>
    </row>
    <row r="9" spans="1:9" x14ac:dyDescent="0.2">
      <c r="A9" t="s">
        <v>82</v>
      </c>
      <c r="B9">
        <v>40.190476190476183</v>
      </c>
      <c r="C9">
        <v>38.273935344500892</v>
      </c>
      <c r="D9">
        <f>TableEVE[[#This Row],[ARIMAPP]]*$I$2+TableEVE[[#This Row],[LSTMPP]]*$I$3</f>
        <v>45.423304929869346</v>
      </c>
      <c r="E9">
        <v>32</v>
      </c>
      <c r="F9">
        <f>ABS(TableEVE[[#This Row],[PP]]-TableEVE[[#This Row],[AP]])</f>
        <v>13.423304929869346</v>
      </c>
    </row>
    <row r="10" spans="1:9" x14ac:dyDescent="0.2">
      <c r="A10" t="s">
        <v>83</v>
      </c>
      <c r="B10">
        <v>25.000000000000011</v>
      </c>
      <c r="C10">
        <v>27.23684210526315</v>
      </c>
      <c r="D10">
        <f>TableEVE[[#This Row],[ARIMAPP]]*$I$2+TableEVE[[#This Row],[LSTMPP]]*$I$3</f>
        <v>32.817801712999987</v>
      </c>
      <c r="E10">
        <v>51</v>
      </c>
      <c r="F10">
        <f>ABS(TableEVE[[#This Row],[PP]]-TableEVE[[#This Row],[AP]])</f>
        <v>18.182198287000013</v>
      </c>
    </row>
    <row r="11" spans="1:9" x14ac:dyDescent="0.2">
      <c r="A11" t="s">
        <v>84</v>
      </c>
      <c r="B11">
        <v>23.230341522379842</v>
      </c>
      <c r="C11">
        <v>26.833333333333329</v>
      </c>
      <c r="D11">
        <f>TableEVE[[#This Row],[ARIMAPP]]*$I$2+TableEVE[[#This Row],[LSTMPP]]*$I$3</f>
        <v>32.523300502389738</v>
      </c>
      <c r="E11">
        <v>27</v>
      </c>
      <c r="F11">
        <f>ABS(TableEVE[[#This Row],[PP]]-TableEVE[[#This Row],[AP]])</f>
        <v>5.5233005023897377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2"/>
  <sheetViews>
    <sheetView workbookViewId="0">
      <selection activeCell="I3" sqref="I3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85</v>
      </c>
      <c r="B2">
        <v>15.281009414280639</v>
      </c>
      <c r="C2">
        <v>37.592592592592588</v>
      </c>
      <c r="D2">
        <f>TableFUL[[#This Row],[ARIMAPP]]*$I$2+TableFUL[[#This Row],[LSTMPP]]*$I$3</f>
        <v>44.462906456472822</v>
      </c>
      <c r="E2">
        <v>41</v>
      </c>
      <c r="F2">
        <f>ABS(TableFUL[[#This Row],[PP]]-TableFUL[[#This Row],[AP]])</f>
        <v>3.4629064564728225</v>
      </c>
      <c r="H2" t="s">
        <v>0</v>
      </c>
      <c r="I2">
        <v>-0.12341225710000001</v>
      </c>
    </row>
    <row r="3" spans="1:9" x14ac:dyDescent="0.2">
      <c r="A3" t="s">
        <v>86</v>
      </c>
      <c r="B3">
        <v>20.126582278480999</v>
      </c>
      <c r="C3">
        <v>24.126984126984119</v>
      </c>
      <c r="D3">
        <f>TableFUL[[#This Row],[ARIMAPP]]*$I$2+TableFUL[[#This Row],[LSTMPP]]*$I$3</f>
        <v>27.262845601494266</v>
      </c>
      <c r="E3">
        <v>37</v>
      </c>
      <c r="F3">
        <f>ABS(TableFUL[[#This Row],[PP]]-TableFUL[[#This Row],[AP]])</f>
        <v>9.7371543985057336</v>
      </c>
      <c r="H3" t="s">
        <v>1</v>
      </c>
      <c r="I3">
        <v>1.2329229543</v>
      </c>
    </row>
    <row r="4" spans="1:9" x14ac:dyDescent="0.2">
      <c r="A4" t="s">
        <v>87</v>
      </c>
      <c r="B4">
        <v>26.455696202531659</v>
      </c>
      <c r="C4">
        <v>27.93650793650794</v>
      </c>
      <c r="D4">
        <f>TableFUL[[#This Row],[ARIMAPP]]*$I$2+TableFUL[[#This Row],[LSTMPP]]*$I$3</f>
        <v>31.178604716398432</v>
      </c>
      <c r="E4">
        <v>42</v>
      </c>
      <c r="F4">
        <f>ABS(TableFUL[[#This Row],[PP]]-TableFUL[[#This Row],[AP]])</f>
        <v>10.821395283601568</v>
      </c>
    </row>
    <row r="5" spans="1:9" x14ac:dyDescent="0.2">
      <c r="A5" t="s">
        <v>88</v>
      </c>
      <c r="B5">
        <v>37.013812272867987</v>
      </c>
      <c r="C5">
        <v>32.787610619469028</v>
      </c>
      <c r="D5">
        <f>TableFUL[[#This Row],[ARIMAPP]]*$I$2+TableFUL[[#This Row],[LSTMPP]]*$I$3</f>
        <v>35.856639632923482</v>
      </c>
      <c r="E5">
        <v>28</v>
      </c>
      <c r="F5">
        <f>ABS(TableFUL[[#This Row],[PP]]-TableFUL[[#This Row],[AP]])</f>
        <v>7.856639632923482</v>
      </c>
      <c r="H5" t="s">
        <v>2</v>
      </c>
      <c r="I5">
        <f>SUM(ABS(TableFUL[[#This Row],[PP]]-TableFUL[[#This Row],[AP]]))</f>
        <v>7.856639632923482</v>
      </c>
    </row>
    <row r="6" spans="1:9" x14ac:dyDescent="0.2">
      <c r="A6" t="s">
        <v>89</v>
      </c>
      <c r="B6">
        <v>25.294117647058801</v>
      </c>
      <c r="C6">
        <v>26.57407407407408</v>
      </c>
      <c r="D6">
        <f>TableFUL[[#This Row],[ARIMAPP]]*$I$2+TableFUL[[#This Row],[LSTMPP]]*$I$3</f>
        <v>29.642181765017988</v>
      </c>
      <c r="E6">
        <v>33</v>
      </c>
      <c r="F6">
        <f>ABS(TableFUL[[#This Row],[PP]]-TableFUL[[#This Row],[AP]])</f>
        <v>3.3578182349820125</v>
      </c>
    </row>
    <row r="7" spans="1:9" x14ac:dyDescent="0.2">
      <c r="A7" t="s">
        <v>90</v>
      </c>
      <c r="B7">
        <v>31.396527526549221</v>
      </c>
      <c r="C7">
        <v>31.027397260273979</v>
      </c>
      <c r="D7">
        <f>TableFUL[[#This Row],[ARIMAPP]]*$I$2+TableFUL[[#This Row],[LSTMPP]]*$I$3</f>
        <v>34.379673967222999</v>
      </c>
      <c r="E7">
        <v>22</v>
      </c>
      <c r="F7">
        <f>ABS(TableFUL[[#This Row],[PP]]-TableFUL[[#This Row],[AP]])</f>
        <v>12.379673967222999</v>
      </c>
      <c r="H7" t="s">
        <v>3</v>
      </c>
      <c r="I7">
        <f>AVERAGE(TableFUL[DIFF])/10</f>
        <v>0.59212299857969519</v>
      </c>
    </row>
    <row r="8" spans="1:9" x14ac:dyDescent="0.2">
      <c r="A8" t="s">
        <v>91</v>
      </c>
      <c r="B8">
        <v>23.04347826086957</v>
      </c>
      <c r="C8">
        <v>26.45454545454545</v>
      </c>
      <c r="D8">
        <f>TableFUL[[#This Row],[ARIMAPP]]*$I$2+TableFUL[[#This Row],[LSTMPP]]*$I$3</f>
        <v>29.772568672873117</v>
      </c>
      <c r="E8">
        <v>28</v>
      </c>
      <c r="F8">
        <f>ABS(TableFUL[[#This Row],[PP]]-TableFUL[[#This Row],[AP]])</f>
        <v>1.7725686728731169</v>
      </c>
    </row>
    <row r="9" spans="1:9" x14ac:dyDescent="0.2">
      <c r="A9" t="s">
        <v>92</v>
      </c>
      <c r="B9">
        <v>24.750000000000011</v>
      </c>
      <c r="C9">
        <v>25.78125</v>
      </c>
      <c r="D9">
        <f>TableFUL[[#This Row],[ARIMAPP]]*$I$2+TableFUL[[#This Row],[LSTMPP]]*$I$3</f>
        <v>28.731841552321875</v>
      </c>
      <c r="E9">
        <v>28</v>
      </c>
      <c r="F9">
        <f>ABS(TableFUL[[#This Row],[PP]]-TableFUL[[#This Row],[AP]])</f>
        <v>0.73184155232187464</v>
      </c>
    </row>
    <row r="10" spans="1:9" x14ac:dyDescent="0.2">
      <c r="A10" t="s">
        <v>93</v>
      </c>
      <c r="B10">
        <v>32.886736410912341</v>
      </c>
      <c r="C10">
        <v>33.030303030303038</v>
      </c>
      <c r="D10">
        <f>TableFUL[[#This Row],[ARIMAPP]]*$I$2+TableFUL[[#This Row],[LSTMPP]]*$I$3</f>
        <v>36.665192424422017</v>
      </c>
      <c r="E10">
        <v>36</v>
      </c>
      <c r="F10">
        <f>ABS(TableFUL[[#This Row],[PP]]-TableFUL[[#This Row],[AP]])</f>
        <v>0.66519242442201687</v>
      </c>
    </row>
    <row r="11" spans="1:9" x14ac:dyDescent="0.2">
      <c r="A11" t="s">
        <v>94</v>
      </c>
      <c r="B11">
        <v>29.388591908269529</v>
      </c>
      <c r="C11">
        <v>26.060606060606059</v>
      </c>
      <c r="D11">
        <f>TableFUL[[#This Row],[ARIMAPP]]*$I$2+TableFUL[[#This Row],[LSTMPP]]*$I$3</f>
        <v>28.503806954700568</v>
      </c>
      <c r="E11">
        <v>24</v>
      </c>
      <c r="F11">
        <f>ABS(TableFUL[[#This Row],[PP]]-TableFUL[[#This Row],[AP]])</f>
        <v>4.5038069547005684</v>
      </c>
    </row>
    <row r="12" spans="1:9" x14ac:dyDescent="0.2">
      <c r="A12" t="s">
        <v>95</v>
      </c>
      <c r="B12">
        <v>38.437500000000007</v>
      </c>
      <c r="C12">
        <v>35.605733686307268</v>
      </c>
      <c r="D12">
        <f>TableFUL[[#This Row],[ARIMAPP]]*$I$2+TableFUL[[#This Row],[LSTMPP]]*$I$3</f>
        <v>39.15546773425973</v>
      </c>
      <c r="E12">
        <v>49</v>
      </c>
      <c r="F12">
        <f>ABS(TableFUL[[#This Row],[PP]]-TableFUL[[#This Row],[AP]])</f>
        <v>9.8445322657402698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1"/>
  <sheetViews>
    <sheetView workbookViewId="0">
      <selection activeCell="I3" sqref="I3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96</v>
      </c>
      <c r="B2">
        <v>43.470894370076167</v>
      </c>
      <c r="C2">
        <v>36.341113936836962</v>
      </c>
      <c r="D2">
        <f>TableLIV[[#This Row],[ARIMAPP]]*$I$2+TableLIV[[#This Row],[LSTMPP]]*$I$3</f>
        <v>40.741245739272081</v>
      </c>
      <c r="E2">
        <v>49</v>
      </c>
      <c r="F2">
        <f>ABS(TableLIV[[#This Row],[PP]]-TableLIV[[#This Row],[AP]])</f>
        <v>8.258754260727919</v>
      </c>
      <c r="H2" t="s">
        <v>0</v>
      </c>
      <c r="I2">
        <v>0.59564761993000004</v>
      </c>
    </row>
    <row r="3" spans="1:9" x14ac:dyDescent="0.2">
      <c r="A3" t="s">
        <v>97</v>
      </c>
      <c r="B3">
        <v>69.175824175824104</v>
      </c>
      <c r="C3">
        <v>68.041501137749705</v>
      </c>
      <c r="D3">
        <f>TableLIV[[#This Row],[ARIMAPP]]*$I$2+TableLIV[[#This Row],[LSTMPP]]*$I$3</f>
        <v>69.004172431737402</v>
      </c>
      <c r="E3">
        <v>73</v>
      </c>
      <c r="F3">
        <f>ABS(TableLIV[[#This Row],[PP]]-TableLIV[[#This Row],[AP]])</f>
        <v>3.9958275682625981</v>
      </c>
      <c r="H3" t="s">
        <v>1</v>
      </c>
      <c r="I3">
        <v>0.40857060676000001</v>
      </c>
    </row>
    <row r="4" spans="1:9" x14ac:dyDescent="0.2">
      <c r="A4" t="s">
        <v>98</v>
      </c>
      <c r="B4">
        <v>52.440613642905369</v>
      </c>
      <c r="C4">
        <v>46.479347675322749</v>
      </c>
      <c r="D4">
        <f>TableLIV[[#This Row],[ARIMAPP]]*$I$2+TableLIV[[#This Row],[LSTMPP]]*$I$3</f>
        <v>50.226221985580878</v>
      </c>
      <c r="E4">
        <v>68</v>
      </c>
      <c r="F4">
        <f>ABS(TableLIV[[#This Row],[PP]]-TableLIV[[#This Row],[AP]])</f>
        <v>17.773778014419122</v>
      </c>
    </row>
    <row r="5" spans="1:9" x14ac:dyDescent="0.2">
      <c r="A5" t="s">
        <v>99</v>
      </c>
      <c r="B5">
        <v>48.535815697470838</v>
      </c>
      <c r="C5">
        <v>41.557761638034371</v>
      </c>
      <c r="D5">
        <f>TableLIV[[#This Row],[ARIMAPP]]*$I$2+TableLIV[[#This Row],[LSTMPP]]*$I$3</f>
        <v>45.889522989598795</v>
      </c>
      <c r="E5">
        <v>43</v>
      </c>
      <c r="F5">
        <f>ABS(TableLIV[[#This Row],[PP]]-TableLIV[[#This Row],[AP]])</f>
        <v>2.8895229895987953</v>
      </c>
      <c r="H5" t="s">
        <v>2</v>
      </c>
      <c r="I5">
        <f>SUM(ABS(TableLIV[[#This Row],[PP]]-TableLIV[[#This Row],[AP]]))</f>
        <v>2.8895229895987953</v>
      </c>
    </row>
    <row r="6" spans="1:9" x14ac:dyDescent="0.2">
      <c r="A6" t="s">
        <v>100</v>
      </c>
      <c r="B6">
        <v>28.385850386699818</v>
      </c>
      <c r="C6">
        <v>24.79591836734695</v>
      </c>
      <c r="D6">
        <f>TableLIV[[#This Row],[ARIMAPP]]*$I$2+TableLIV[[#This Row],[LSTMPP]]*$I$3</f>
        <v>27.03884763504519</v>
      </c>
      <c r="E6">
        <v>20</v>
      </c>
      <c r="F6">
        <f>ABS(TableLIV[[#This Row],[PP]]-TableLIV[[#This Row],[AP]])</f>
        <v>7.0388476350451903</v>
      </c>
    </row>
    <row r="7" spans="1:9" x14ac:dyDescent="0.2">
      <c r="A7" t="s">
        <v>101</v>
      </c>
      <c r="B7">
        <v>28.387096774193552</v>
      </c>
      <c r="C7">
        <v>29.619941626406249</v>
      </c>
      <c r="D7">
        <f>TableLIV[[#This Row],[ARIMAPP]]*$I$2+TableLIV[[#This Row],[LSTMPP]]*$I$3</f>
        <v>29.010544152767551</v>
      </c>
      <c r="E7">
        <v>30</v>
      </c>
      <c r="F7">
        <f>ABS(TableLIV[[#This Row],[PP]]-TableLIV[[#This Row],[AP]])</f>
        <v>0.98945584723244906</v>
      </c>
      <c r="H7" t="s">
        <v>3</v>
      </c>
      <c r="I7">
        <f>AVERAGE(TableLIV[DIFF])/10</f>
        <v>0.76300051334489449</v>
      </c>
    </row>
    <row r="8" spans="1:9" x14ac:dyDescent="0.2">
      <c r="A8" t="s">
        <v>102</v>
      </c>
      <c r="B8">
        <v>34.571428571428562</v>
      </c>
      <c r="C8">
        <v>36.415265370277687</v>
      </c>
      <c r="D8">
        <f>TableLIV[[#This Row],[ARIMAPP]]*$I$2+TableLIV[[#This Row],[LSTMPP]]*$I$3</f>
        <v>35.4705962138122</v>
      </c>
      <c r="E8">
        <v>24</v>
      </c>
      <c r="F8">
        <f>ABS(TableLIV[[#This Row],[PP]]-TableLIV[[#This Row],[AP]])</f>
        <v>11.4705962138122</v>
      </c>
    </row>
    <row r="9" spans="1:9" x14ac:dyDescent="0.2">
      <c r="A9" t="s">
        <v>103</v>
      </c>
      <c r="B9">
        <v>40.277777777777779</v>
      </c>
      <c r="C9">
        <v>31.428571428571431</v>
      </c>
      <c r="D9">
        <f>TableLIV[[#This Row],[ARIMAPP]]*$I$2+TableLIV[[#This Row],[LSTMPP]]*$I$3</f>
        <v>36.83215296757421</v>
      </c>
      <c r="E9">
        <v>30</v>
      </c>
      <c r="F9">
        <f>ABS(TableLIV[[#This Row],[PP]]-TableLIV[[#This Row],[AP]])</f>
        <v>6.8321529675742099</v>
      </c>
    </row>
    <row r="10" spans="1:9" x14ac:dyDescent="0.2">
      <c r="A10" t="s">
        <v>104</v>
      </c>
      <c r="B10">
        <v>37.826086956521728</v>
      </c>
      <c r="C10">
        <v>37.738038086013013</v>
      </c>
      <c r="D10">
        <f>TableLIV[[#This Row],[ARIMAPP]]*$I$2+TableLIV[[#This Row],[LSTMPP]]*$I$3</f>
        <v>37.949671785651717</v>
      </c>
      <c r="E10">
        <v>39</v>
      </c>
      <c r="F10">
        <f>ABS(TableLIV[[#This Row],[PP]]-TableLIV[[#This Row],[AP]])</f>
        <v>1.0503282143482835</v>
      </c>
    </row>
    <row r="11" spans="1:9" x14ac:dyDescent="0.2">
      <c r="A11" t="s">
        <v>105</v>
      </c>
      <c r="B11">
        <v>38.968559377516669</v>
      </c>
      <c r="C11">
        <v>33.75</v>
      </c>
      <c r="D11">
        <f>TableLIV[[#This Row],[ARIMAPP]]*$I$2+TableLIV[[#This Row],[LSTMPP]]*$I$3</f>
        <v>37.000787623468689</v>
      </c>
      <c r="E11">
        <v>21</v>
      </c>
      <c r="F11">
        <f>ABS(TableLIV[[#This Row],[PP]]-TableLIV[[#This Row],[AP]])</f>
        <v>16.000787623468689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7"/>
  <sheetViews>
    <sheetView workbookViewId="0">
      <selection activeCell="I3" sqref="I3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106</v>
      </c>
      <c r="B2">
        <v>28.180580996029001</v>
      </c>
      <c r="C2">
        <v>29.461538461538471</v>
      </c>
      <c r="D2">
        <f>TableLUT[[#This Row],[ARIMAPP]]*$I$2+TableLUT[[#This Row],[LSTMPP]]*$I$3</f>
        <v>34.999999999948784</v>
      </c>
      <c r="E2">
        <v>35</v>
      </c>
      <c r="F2">
        <f>ABS(TableLUT[[#This Row],[PP]]-TableLUT[[#This Row],[AP]])</f>
        <v>5.1215920393588021E-11</v>
      </c>
      <c r="H2" t="s">
        <v>0</v>
      </c>
      <c r="I2">
        <v>0.59340838634000004</v>
      </c>
    </row>
    <row r="3" spans="1:9" x14ac:dyDescent="0.2">
      <c r="H3" t="s">
        <v>1</v>
      </c>
      <c r="I3">
        <v>0.62038195761000003</v>
      </c>
    </row>
    <row r="5" spans="1:9" x14ac:dyDescent="0.2">
      <c r="H5" t="s">
        <v>2</v>
      </c>
      <c r="I5">
        <f>SUM(ABS(TableLUT[PP]-TableLUT[AP]))</f>
        <v>5.1215920393588021E-11</v>
      </c>
    </row>
    <row r="7" spans="1:9" x14ac:dyDescent="0.2">
      <c r="H7" t="s">
        <v>3</v>
      </c>
      <c r="I7">
        <f>AVERAGE(TableLUT[DIFF])/10</f>
        <v>5.1215920393588018E-12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"/>
  <sheetViews>
    <sheetView workbookViewId="0">
      <selection activeCell="I3" sqref="I3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107</v>
      </c>
      <c r="B2">
        <v>38.986382525098392</v>
      </c>
      <c r="C2">
        <v>34.612676056338032</v>
      </c>
      <c r="D2">
        <f>TableMCI[[#This Row],[ARIMAPP]]*$I$2+TableMCI[[#This Row],[LSTMPP]]*$I$3</f>
        <v>36.716803068082172</v>
      </c>
      <c r="E2">
        <v>27</v>
      </c>
      <c r="F2">
        <f>ABS(TableMCI[[#This Row],[PP]]-TableMCI[[#This Row],[AP]])</f>
        <v>9.7168030680821715</v>
      </c>
      <c r="H2" t="s">
        <v>0</v>
      </c>
      <c r="I2">
        <v>0.57792550973000001</v>
      </c>
    </row>
    <row r="3" spans="1:9" x14ac:dyDescent="0.2">
      <c r="A3" t="s">
        <v>108</v>
      </c>
      <c r="B3">
        <v>38.560606060606048</v>
      </c>
      <c r="C3">
        <v>36.932897702080567</v>
      </c>
      <c r="D3">
        <f>TableMCI[[#This Row],[ARIMAPP]]*$I$2+TableMCI[[#This Row],[LSTMPP]]*$I$3</f>
        <v>37.421650191981307</v>
      </c>
      <c r="E3">
        <v>26</v>
      </c>
      <c r="F3">
        <f>ABS(TableMCI[[#This Row],[PP]]-TableMCI[[#This Row],[AP]])</f>
        <v>11.421650191981307</v>
      </c>
      <c r="H3" t="s">
        <v>1</v>
      </c>
      <c r="I3">
        <v>0.40983765750000001</v>
      </c>
    </row>
    <row r="4" spans="1:9" x14ac:dyDescent="0.2">
      <c r="A4" t="s">
        <v>109</v>
      </c>
      <c r="B4">
        <v>32.583333333333343</v>
      </c>
      <c r="C4">
        <v>29.84375</v>
      </c>
      <c r="D4">
        <f>TableMCI[[#This Row],[ARIMAPP]]*$I$2+TableMCI[[#This Row],[LSTMPP]]*$I$3</f>
        <v>31.061832116384799</v>
      </c>
      <c r="E4">
        <v>35</v>
      </c>
      <c r="F4">
        <f>ABS(TableMCI[[#This Row],[PP]]-TableMCI[[#This Row],[AP]])</f>
        <v>3.9381678836152005</v>
      </c>
    </row>
    <row r="5" spans="1:9" x14ac:dyDescent="0.2">
      <c r="A5" t="s">
        <v>110</v>
      </c>
      <c r="B5">
        <v>45.277676209699671</v>
      </c>
      <c r="C5">
        <v>42.181046265370277</v>
      </c>
      <c r="D5">
        <f>TableMCI[[#This Row],[ARIMAPP]]*$I$2+TableMCI[[#This Row],[LSTMPP]]*$I$3</f>
        <v>43.454505295179061</v>
      </c>
      <c r="E5">
        <v>56</v>
      </c>
      <c r="F5">
        <f>ABS(TableMCI[[#This Row],[PP]]-TableMCI[[#This Row],[AP]])</f>
        <v>12.545494704820939</v>
      </c>
      <c r="H5" t="s">
        <v>2</v>
      </c>
      <c r="I5">
        <f>SUM(ABS(TableMCI[[#This Row],[PP]]-TableMCI[[#This Row],[AP]]))</f>
        <v>12.545494704820939</v>
      </c>
    </row>
    <row r="6" spans="1:9" x14ac:dyDescent="0.2">
      <c r="A6" t="s">
        <v>111</v>
      </c>
      <c r="B6">
        <v>30.220588235294091</v>
      </c>
      <c r="C6">
        <v>30.00275237984301</v>
      </c>
      <c r="D6">
        <f>TableMCI[[#This Row],[ARIMAPP]]*$I$2+TableMCI[[#This Row],[LSTMPP]]*$I$3</f>
        <v>29.761506614130191</v>
      </c>
      <c r="E6">
        <v>37</v>
      </c>
      <c r="F6">
        <f>ABS(TableMCI[[#This Row],[PP]]-TableMCI[[#This Row],[AP]])</f>
        <v>7.2384933858698091</v>
      </c>
    </row>
    <row r="7" spans="1:9" x14ac:dyDescent="0.2">
      <c r="A7" t="s">
        <v>112</v>
      </c>
      <c r="B7">
        <v>82.344849188075159</v>
      </c>
      <c r="C7">
        <v>81.308382689797583</v>
      </c>
      <c r="D7">
        <f>TableMCI[[#This Row],[ARIMAPP]]*$I$2+TableMCI[[#This Row],[LSTMPP]]*$I$3</f>
        <v>80.9124260373585</v>
      </c>
      <c r="E7">
        <v>67</v>
      </c>
      <c r="F7">
        <f>ABS(TableMCI[[#This Row],[PP]]-TableMCI[[#This Row],[AP]])</f>
        <v>13.9124260373585</v>
      </c>
      <c r="H7" t="s">
        <v>3</v>
      </c>
      <c r="I7">
        <f>AVERAGE(TableMCI[DIFF])/10</f>
        <v>1.0724704924327595</v>
      </c>
    </row>
    <row r="8" spans="1:9" x14ac:dyDescent="0.2">
      <c r="A8" t="s">
        <v>113</v>
      </c>
      <c r="B8">
        <v>32.97297297297299</v>
      </c>
      <c r="C8">
        <v>34.134309510921149</v>
      </c>
      <c r="D8">
        <f>TableMCI[[#This Row],[ARIMAPP]]*$I$2+TableMCI[[#This Row],[LSTMPP]]*$I$3</f>
        <v>33.045447663054823</v>
      </c>
      <c r="E8">
        <v>60</v>
      </c>
      <c r="F8">
        <f>ABS(TableMCI[[#This Row],[PP]]-TableMCI[[#This Row],[AP]])</f>
        <v>26.954552336945177</v>
      </c>
    </row>
    <row r="9" spans="1:9" x14ac:dyDescent="0.2">
      <c r="A9" t="s">
        <v>114</v>
      </c>
      <c r="B9">
        <v>36.842105263157897</v>
      </c>
      <c r="C9">
        <v>27.666666666666661</v>
      </c>
      <c r="D9">
        <f>TableMCI[[#This Row],[ARIMAPP]]*$I$2+TableMCI[[#This Row],[LSTMPP]]*$I$3</f>
        <v>32.63083432123684</v>
      </c>
      <c r="E9">
        <v>40</v>
      </c>
      <c r="F9">
        <f>ABS(TableMCI[[#This Row],[PP]]-TableMCI[[#This Row],[AP]])</f>
        <v>7.3691656787631601</v>
      </c>
    </row>
    <row r="10" spans="1:9" x14ac:dyDescent="0.2">
      <c r="A10" t="s">
        <v>115</v>
      </c>
      <c r="B10">
        <v>32.258064516129032</v>
      </c>
      <c r="C10">
        <v>28.75</v>
      </c>
      <c r="D10">
        <f>TableMCI[[#This Row],[ARIMAPP]]*$I$2+TableMCI[[#This Row],[LSTMPP]]*$I$3</f>
        <v>30.425591031512099</v>
      </c>
      <c r="E10">
        <v>27</v>
      </c>
      <c r="F10">
        <f>ABS(TableMCI[[#This Row],[PP]]-TableMCI[[#This Row],[AP]])</f>
        <v>3.4255910315120985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9"/>
  <sheetViews>
    <sheetView workbookViewId="0">
      <selection activeCell="I3" sqref="I3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116</v>
      </c>
      <c r="B2">
        <v>45.489796150006903</v>
      </c>
      <c r="C2">
        <v>38.151981570543491</v>
      </c>
      <c r="D2">
        <f>TableMUN[[#This Row],[ARIMAPP]]*$I$2+TableMUN[[#This Row],[LSTMPP]]*$I$3</f>
        <v>21.662229496943169</v>
      </c>
      <c r="E2">
        <v>30</v>
      </c>
      <c r="F2">
        <f>ABS(TableMUN[[#This Row],[PP]]-TableMUN[[#This Row],[AP]])</f>
        <v>8.3377705030568308</v>
      </c>
      <c r="H2" t="s">
        <v>0</v>
      </c>
      <c r="I2">
        <v>-1.5552767022</v>
      </c>
    </row>
    <row r="3" spans="1:9" x14ac:dyDescent="0.2">
      <c r="A3" t="s">
        <v>117</v>
      </c>
      <c r="B3">
        <v>25.15625</v>
      </c>
      <c r="C3">
        <v>27.009803921568629</v>
      </c>
      <c r="D3">
        <f>TableMUN[[#This Row],[ARIMAPP]]*$I$2+TableMUN[[#This Row],[LSTMPP]]*$I$3</f>
        <v>26.298019205021461</v>
      </c>
      <c r="E3">
        <v>34</v>
      </c>
      <c r="F3">
        <f>ABS(TableMUN[[#This Row],[PP]]-TableMUN[[#This Row],[AP]])</f>
        <v>7.7019807949785388</v>
      </c>
      <c r="H3" t="s">
        <v>1</v>
      </c>
      <c r="I3">
        <v>2.4221926577000001</v>
      </c>
    </row>
    <row r="4" spans="1:9" x14ac:dyDescent="0.2">
      <c r="A4" t="s">
        <v>118</v>
      </c>
      <c r="B4">
        <v>29.984571264041019</v>
      </c>
      <c r="C4">
        <v>30.648148148148149</v>
      </c>
      <c r="D4">
        <f>TableMUN[[#This Row],[ARIMAPP]]*$I$2+TableMUN[[#This Row],[LSTMPP]]*$I$3</f>
        <v>27.601414304127701</v>
      </c>
      <c r="E4">
        <v>40</v>
      </c>
      <c r="F4">
        <f>ABS(TableMUN[[#This Row],[PP]]-TableMUN[[#This Row],[AP]])</f>
        <v>12.398585695872299</v>
      </c>
    </row>
    <row r="5" spans="1:9" x14ac:dyDescent="0.2">
      <c r="A5" t="s">
        <v>119</v>
      </c>
      <c r="B5">
        <v>43.4579439252336</v>
      </c>
      <c r="C5">
        <v>44.233474169092908</v>
      </c>
      <c r="D5">
        <f>TableMUN[[#This Row],[ARIMAPP]]*$I$2+TableMUN[[#This Row],[LSTMPP]]*$I$3</f>
        <v>39.552868644509616</v>
      </c>
      <c r="E5">
        <v>21</v>
      </c>
      <c r="F5">
        <f>ABS(TableMUN[[#This Row],[PP]]-TableMUN[[#This Row],[AP]])</f>
        <v>18.552868644509616</v>
      </c>
      <c r="H5" t="s">
        <v>2</v>
      </c>
      <c r="I5">
        <f>SUM(ABS(TableMUN[[#This Row],[PP]]-TableMUN[[#This Row],[AP]]))</f>
        <v>18.552868644509616</v>
      </c>
    </row>
    <row r="6" spans="1:9" x14ac:dyDescent="0.2">
      <c r="A6" t="s">
        <v>120</v>
      </c>
      <c r="B6">
        <v>31.333333333333329</v>
      </c>
      <c r="C6">
        <v>31.5625</v>
      </c>
      <c r="D6">
        <f>TableMUN[[#This Row],[ARIMAPP]]*$I$2+TableMUN[[#This Row],[LSTMPP]]*$I$3</f>
        <v>27.71845242305627</v>
      </c>
      <c r="E6">
        <v>20</v>
      </c>
      <c r="F6">
        <f>ABS(TableMUN[[#This Row],[PP]]-TableMUN[[#This Row],[AP]])</f>
        <v>7.7184524230562701</v>
      </c>
    </row>
    <row r="7" spans="1:9" x14ac:dyDescent="0.2">
      <c r="A7" t="s">
        <v>121</v>
      </c>
      <c r="B7">
        <v>44.004844719776187</v>
      </c>
      <c r="C7">
        <v>44.337750243603331</v>
      </c>
      <c r="D7">
        <f>TableMUN[[#This Row],[ARIMAPP]]*$I$2+TableMUN[[#This Row],[LSTMPP]]*$I$3</f>
        <v>38.954863322395795</v>
      </c>
      <c r="E7">
        <v>28</v>
      </c>
      <c r="F7">
        <f>ABS(TableMUN[[#This Row],[PP]]-TableMUN[[#This Row],[AP]])</f>
        <v>10.954863322395795</v>
      </c>
      <c r="H7" t="s">
        <v>3</v>
      </c>
      <c r="I7">
        <f>AVERAGE(TableMUN[DIFF])/10</f>
        <v>1.1192043893402552</v>
      </c>
    </row>
    <row r="8" spans="1:9" x14ac:dyDescent="0.2">
      <c r="A8" t="s">
        <v>122</v>
      </c>
      <c r="B8">
        <v>36.562500000000007</v>
      </c>
      <c r="C8">
        <v>33.202779308090157</v>
      </c>
      <c r="D8">
        <f>TableMUN[[#This Row],[ARIMAPP]]*$I$2+TableMUN[[#This Row],[LSTMPP]]*$I$3</f>
        <v>23.558723831101958</v>
      </c>
      <c r="E8">
        <v>33</v>
      </c>
      <c r="F8">
        <f>ABS(TableMUN[[#This Row],[PP]]-TableMUN[[#This Row],[AP]])</f>
        <v>9.4412761688980424</v>
      </c>
    </row>
    <row r="9" spans="1:9" x14ac:dyDescent="0.2">
      <c r="A9" t="s">
        <v>123</v>
      </c>
      <c r="B9">
        <v>16.643994626009171</v>
      </c>
      <c r="C9">
        <v>22.89473684210526</v>
      </c>
      <c r="D9">
        <f>TableMUN[[#This Row],[ARIMAPP]]*$I$2+TableMUN[[#This Row],[LSTMPP]]*$I$3</f>
        <v>29.56944640554698</v>
      </c>
      <c r="E9">
        <v>44</v>
      </c>
      <c r="F9">
        <f>ABS(TableMUN[[#This Row],[PP]]-TableMUN[[#This Row],[AP]])</f>
        <v>14.43055359445302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2"/>
  <sheetViews>
    <sheetView workbookViewId="0">
      <selection activeCell="I3" sqref="I3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89</v>
      </c>
      <c r="B2">
        <v>45.602836879432608</v>
      </c>
      <c r="C2">
        <v>37.589285714285722</v>
      </c>
      <c r="D2">
        <f>TableNEW[[#This Row],[ARIMAPP]]*$I$2+TableNEW[[#This Row],[LSTMPP]]*$I$3</f>
        <v>42.861881975963982</v>
      </c>
      <c r="E2">
        <v>42</v>
      </c>
      <c r="F2">
        <f>ABS(TableNEW[[#This Row],[PP]]-TableNEW[[#This Row],[AP]])</f>
        <v>0.86188197596398197</v>
      </c>
      <c r="H2" t="s">
        <v>0</v>
      </c>
      <c r="I2">
        <v>0.44756675524</v>
      </c>
    </row>
    <row r="3" spans="1:9" x14ac:dyDescent="0.2">
      <c r="A3" t="s">
        <v>124</v>
      </c>
      <c r="B3">
        <v>24.95495495495496</v>
      </c>
      <c r="C3">
        <v>28.125</v>
      </c>
      <c r="D3">
        <f>TableNEW[[#This Row],[ARIMAPP]]*$I$2+TableNEW[[#This Row],[LSTMPP]]*$I$3</f>
        <v>27.9676875438808</v>
      </c>
      <c r="E3">
        <v>30</v>
      </c>
      <c r="F3">
        <f>ABS(TableNEW[[#This Row],[PP]]-TableNEW[[#This Row],[AP]])</f>
        <v>2.0323124561192003</v>
      </c>
      <c r="H3" t="s">
        <v>1</v>
      </c>
      <c r="I3">
        <v>0.59728637609000002</v>
      </c>
    </row>
    <row r="4" spans="1:9" x14ac:dyDescent="0.2">
      <c r="A4" t="s">
        <v>125</v>
      </c>
      <c r="B4">
        <v>50.088681489081203</v>
      </c>
      <c r="C4">
        <v>38.999999999999993</v>
      </c>
      <c r="D4">
        <f>TableNEW[[#This Row],[ARIMAPP]]*$I$2+TableNEW[[#This Row],[LSTMPP]]*$I$3</f>
        <v>45.712197315827922</v>
      </c>
      <c r="E4">
        <v>36</v>
      </c>
      <c r="F4">
        <f>ABS(TableNEW[[#This Row],[PP]]-TableNEW[[#This Row],[AP]])</f>
        <v>9.7121973158279218</v>
      </c>
    </row>
    <row r="5" spans="1:9" x14ac:dyDescent="0.2">
      <c r="A5" t="s">
        <v>126</v>
      </c>
      <c r="B5">
        <v>29.936011069752169</v>
      </c>
      <c r="C5">
        <v>25.59782608695652</v>
      </c>
      <c r="D5">
        <f>TableNEW[[#This Row],[ARIMAPP]]*$I$2+TableNEW[[#This Row],[LSTMPP]]*$I$3</f>
        <v>28.687596118578025</v>
      </c>
      <c r="E5">
        <v>25</v>
      </c>
      <c r="F5">
        <f>ABS(TableNEW[[#This Row],[PP]]-TableNEW[[#This Row],[AP]])</f>
        <v>3.6875961185780248</v>
      </c>
      <c r="H5" t="s">
        <v>2</v>
      </c>
      <c r="I5">
        <f>SUM(ABS(TableNEW[[#This Row],[PP]]-TableNEW[[#This Row],[AP]]))</f>
        <v>3.6875961185780248</v>
      </c>
    </row>
    <row r="6" spans="1:9" x14ac:dyDescent="0.2">
      <c r="A6" t="s">
        <v>127</v>
      </c>
      <c r="B6">
        <v>28.897637795275589</v>
      </c>
      <c r="C6">
        <v>29.257425742574259</v>
      </c>
      <c r="D6">
        <f>TableNEW[[#This Row],[ARIMAPP]]*$I$2+TableNEW[[#This Row],[LSTMPP]]*$I$3</f>
        <v>30.408683777636739</v>
      </c>
      <c r="E6">
        <v>43</v>
      </c>
      <c r="F6">
        <f>ABS(TableNEW[[#This Row],[PP]]-TableNEW[[#This Row],[AP]])</f>
        <v>12.591316222363261</v>
      </c>
    </row>
    <row r="7" spans="1:9" x14ac:dyDescent="0.2">
      <c r="A7" t="s">
        <v>128</v>
      </c>
      <c r="B7">
        <v>25.467625899280559</v>
      </c>
      <c r="C7">
        <v>26.261261261261261</v>
      </c>
      <c r="D7">
        <f>TableNEW[[#This Row],[ARIMAPP]]*$I$2+TableNEW[[#This Row],[LSTMPP]]*$I$3</f>
        <v>27.083956257698631</v>
      </c>
      <c r="E7">
        <v>32</v>
      </c>
      <c r="F7">
        <f>ABS(TableNEW[[#This Row],[PP]]-TableNEW[[#This Row],[AP]])</f>
        <v>4.916043742301369</v>
      </c>
      <c r="H7" t="s">
        <v>3</v>
      </c>
      <c r="I7">
        <f>AVERAGE(TableNEW[DIFF])/10</f>
        <v>0.83544148915064187</v>
      </c>
    </row>
    <row r="8" spans="1:9" x14ac:dyDescent="0.2">
      <c r="A8" t="s">
        <v>129</v>
      </c>
      <c r="B8">
        <v>40.746675280074868</v>
      </c>
      <c r="C8">
        <v>35.648148148148159</v>
      </c>
      <c r="D8">
        <f>TableNEW[[#This Row],[ARIMAPP]]*$I$2+TableNEW[[#This Row],[LSTMPP]]*$I$3</f>
        <v>39.529010463647886</v>
      </c>
      <c r="E8">
        <v>47</v>
      </c>
      <c r="F8">
        <f>ABS(TableNEW[[#This Row],[PP]]-TableNEW[[#This Row],[AP]])</f>
        <v>7.4709895363521142</v>
      </c>
    </row>
    <row r="9" spans="1:9" x14ac:dyDescent="0.2">
      <c r="A9" t="s">
        <v>130</v>
      </c>
      <c r="B9">
        <v>26.588047562191711</v>
      </c>
      <c r="C9">
        <v>26.268656716417912</v>
      </c>
      <c r="D9">
        <f>TableNEW[[#This Row],[ARIMAPP]]*$I$2+TableNEW[[#This Row],[LSTMPP]]*$I$3</f>
        <v>27.589836950478428</v>
      </c>
      <c r="E9">
        <v>50</v>
      </c>
      <c r="F9">
        <f>ABS(TableNEW[[#This Row],[PP]]-TableNEW[[#This Row],[AP]])</f>
        <v>22.410163049521572</v>
      </c>
    </row>
    <row r="10" spans="1:9" x14ac:dyDescent="0.2">
      <c r="A10" t="s">
        <v>131</v>
      </c>
      <c r="B10">
        <v>34.339622641509429</v>
      </c>
      <c r="C10">
        <v>36.314857014371519</v>
      </c>
      <c r="D10">
        <f>TableNEW[[#This Row],[ARIMAPP]]*$I$2+TableNEW[[#This Row],[LSTMPP]]*$I$3</f>
        <v>37.059642826166893</v>
      </c>
      <c r="E10">
        <v>24</v>
      </c>
      <c r="F10">
        <f>ABS(TableNEW[[#This Row],[PP]]-TableNEW[[#This Row],[AP]])</f>
        <v>13.059642826166893</v>
      </c>
    </row>
    <row r="11" spans="1:9" x14ac:dyDescent="0.2">
      <c r="A11" t="s">
        <v>132</v>
      </c>
      <c r="B11">
        <v>38.030816737076989</v>
      </c>
      <c r="C11">
        <v>42.743047362314087</v>
      </c>
      <c r="D11">
        <f>TableNEW[[#This Row],[ARIMAPP]]*$I$2+TableNEW[[#This Row],[LSTMPP]]*$I$3</f>
        <v>42.551169108220449</v>
      </c>
      <c r="E11">
        <v>30</v>
      </c>
      <c r="F11">
        <f>ABS(TableNEW[[#This Row],[PP]]-TableNEW[[#This Row],[AP]])</f>
        <v>12.551169108220449</v>
      </c>
    </row>
    <row r="12" spans="1:9" x14ac:dyDescent="0.2">
      <c r="A12" t="s">
        <v>133</v>
      </c>
      <c r="B12">
        <v>46.8</v>
      </c>
      <c r="C12">
        <v>40.932834530162168</v>
      </c>
      <c r="D12">
        <f>TableNEW[[#This Row],[ARIMAPP]]*$I$2+TableNEW[[#This Row],[LSTMPP]]*$I$3</f>
        <v>45.394748544844177</v>
      </c>
      <c r="E12">
        <v>48</v>
      </c>
      <c r="F12">
        <f>ABS(TableNEW[[#This Row],[PP]]-TableNEW[[#This Row],[AP]])</f>
        <v>2.6052514551558232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"/>
  <sheetViews>
    <sheetView workbookViewId="0">
      <selection activeCell="I3" sqref="I3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134</v>
      </c>
      <c r="B2">
        <v>33.239728024903997</v>
      </c>
      <c r="C2">
        <v>33.219696969696962</v>
      </c>
      <c r="D2">
        <f>TableNFO[[#This Row],[ARIMAPP]]*$I$2+TableNFO[[#This Row],[LSTMPP]]*$I$3</f>
        <v>49.373051905201379</v>
      </c>
      <c r="E2">
        <v>51</v>
      </c>
      <c r="F2">
        <f>ABS(TableNFO[[#This Row],[PP]]-TableNFO[[#This Row],[AP]])</f>
        <v>1.626948094798621</v>
      </c>
      <c r="H2" t="s">
        <v>0</v>
      </c>
      <c r="I2">
        <v>1.6025663455000001</v>
      </c>
    </row>
    <row r="3" spans="1:9" x14ac:dyDescent="0.2">
      <c r="A3" t="s">
        <v>135</v>
      </c>
      <c r="B3">
        <v>31.015811782859799</v>
      </c>
      <c r="C3">
        <v>25.833333333333329</v>
      </c>
      <c r="D3">
        <f>TableNFO[[#This Row],[ARIMAPP]]*$I$2+TableNFO[[#This Row],[LSTMPP]]*$I$3</f>
        <v>46.675309395098473</v>
      </c>
      <c r="E3">
        <v>41</v>
      </c>
      <c r="F3">
        <f>ABS(TableNFO[[#This Row],[PP]]-TableNFO[[#This Row],[AP]])</f>
        <v>5.6753093950984734</v>
      </c>
      <c r="H3" t="s">
        <v>1</v>
      </c>
      <c r="I3">
        <v>-0.11727432567</v>
      </c>
    </row>
    <row r="4" spans="1:9" x14ac:dyDescent="0.2">
      <c r="A4" t="s">
        <v>136</v>
      </c>
      <c r="B4">
        <v>25.900222544777719</v>
      </c>
      <c r="C4">
        <v>24.861111111111111</v>
      </c>
      <c r="D4">
        <f>TableNFO[[#This Row],[ARIMAPP]]*$I$2+TableNFO[[#This Row],[LSTMPP]]*$I$3</f>
        <v>38.591254950258644</v>
      </c>
      <c r="E4">
        <v>46</v>
      </c>
      <c r="F4">
        <f>ABS(TableNFO[[#This Row],[PP]]-TableNFO[[#This Row],[AP]])</f>
        <v>7.4087450497413556</v>
      </c>
    </row>
    <row r="5" spans="1:9" x14ac:dyDescent="0.2">
      <c r="A5" t="s">
        <v>137</v>
      </c>
      <c r="B5">
        <v>18.52941176470588</v>
      </c>
      <c r="C5">
        <v>23.518518518518519</v>
      </c>
      <c r="D5">
        <f>TableNFO[[#This Row],[ARIMAPP]]*$I$2+TableNFO[[#This Row],[LSTMPP]]*$I$3</f>
        <v>26.936493296012745</v>
      </c>
      <c r="E5">
        <v>22</v>
      </c>
      <c r="F5">
        <f>ABS(TableNFO[[#This Row],[PP]]-TableNFO[[#This Row],[AP]])</f>
        <v>4.9364932960127454</v>
      </c>
      <c r="H5" t="s">
        <v>2</v>
      </c>
      <c r="I5">
        <f>SUM(ABS(TableNFO[[#This Row],[PP]]-TableNFO[[#This Row],[AP]]))</f>
        <v>4.9364932960127454</v>
      </c>
    </row>
    <row r="6" spans="1:9" x14ac:dyDescent="0.2">
      <c r="A6" t="s">
        <v>138</v>
      </c>
      <c r="B6">
        <v>18.965619741306838</v>
      </c>
      <c r="C6">
        <v>21.5625</v>
      </c>
      <c r="D6">
        <f>TableNFO[[#This Row],[ARIMAPP]]*$I$2+TableNFO[[#This Row],[LSTMPP]]*$I$3</f>
        <v>27.864936271709382</v>
      </c>
      <c r="E6">
        <v>29</v>
      </c>
      <c r="F6">
        <f>ABS(TableNFO[[#This Row],[PP]]-TableNFO[[#This Row],[AP]])</f>
        <v>1.1350637282906177</v>
      </c>
    </row>
    <row r="7" spans="1:9" x14ac:dyDescent="0.2">
      <c r="H7" t="s">
        <v>3</v>
      </c>
      <c r="I7">
        <f>AVERAGE(TableNFO[DIFF])/10</f>
        <v>0.41565119127883621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"/>
  <sheetViews>
    <sheetView workbookViewId="0">
      <selection activeCell="I3" sqref="I3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139</v>
      </c>
      <c r="B2">
        <v>18.235294117647062</v>
      </c>
      <c r="C2">
        <v>22.692307692307701</v>
      </c>
      <c r="D2">
        <f>TableSHU[[#This Row],[ARIMAPP]]*$I$2+TableSHU[[#This Row],[LSTMPP]]*$I$3</f>
        <v>34.000000000009507</v>
      </c>
      <c r="E2">
        <v>34</v>
      </c>
      <c r="F2">
        <f>ABS(TableSHU[[#This Row],[PP]]-TableSHU[[#This Row],[AP]])</f>
        <v>9.5070618044701405E-12</v>
      </c>
      <c r="H2" t="s">
        <v>0</v>
      </c>
      <c r="I2">
        <v>2</v>
      </c>
    </row>
    <row r="3" spans="1:9" x14ac:dyDescent="0.2">
      <c r="H3" t="s">
        <v>1</v>
      </c>
      <c r="I3">
        <v>-0.10887337985999999</v>
      </c>
    </row>
    <row r="5" spans="1:9" x14ac:dyDescent="0.2">
      <c r="H5" t="s">
        <v>2</v>
      </c>
      <c r="I5">
        <f>SUM(ABS(TableSHU[PP]-TableSHU[AP]))</f>
        <v>9.5070618044701405E-12</v>
      </c>
    </row>
    <row r="7" spans="1:9" x14ac:dyDescent="0.2">
      <c r="H7" t="s">
        <v>3</v>
      </c>
      <c r="I7">
        <f>AVERAGE(TableSHU[DIFF])/10</f>
        <v>9.5070618044701413E-13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9"/>
  <sheetViews>
    <sheetView workbookViewId="0">
      <selection activeCell="I3" sqref="I3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140</v>
      </c>
      <c r="B2">
        <v>43.451991934040016</v>
      </c>
      <c r="C2">
        <v>42.037624113820868</v>
      </c>
      <c r="D2">
        <f>TableTOT[[#This Row],[ARIMAPP]]*$I$2+TableTOT[[#This Row],[LSTMPP]]*$I$3</f>
        <v>51.564974956995364</v>
      </c>
      <c r="E2">
        <v>54</v>
      </c>
      <c r="F2">
        <f>ABS(TableTOT[[#This Row],[PP]]-TableTOT[[#This Row],[AP]])</f>
        <v>2.4350250430046358</v>
      </c>
      <c r="H2" t="s">
        <v>0</v>
      </c>
      <c r="I2">
        <v>-0.16849249541</v>
      </c>
    </row>
    <row r="3" spans="1:9" x14ac:dyDescent="0.2">
      <c r="A3" t="s">
        <v>141</v>
      </c>
      <c r="B3">
        <v>25.03945489343716</v>
      </c>
      <c r="C3">
        <v>40.428603419862128</v>
      </c>
      <c r="D3">
        <f>TableTOT[[#This Row],[ARIMAPP]]*$I$2+TableTOT[[#This Row],[LSTMPP]]*$I$3</f>
        <v>52.413432865445806</v>
      </c>
      <c r="E3">
        <v>53</v>
      </c>
      <c r="F3">
        <f>ABS(TableTOT[[#This Row],[PP]]-TableTOT[[#This Row],[AP]])</f>
        <v>0.58656713455419407</v>
      </c>
      <c r="H3" t="s">
        <v>1</v>
      </c>
      <c r="I3">
        <v>1.4008001344000001</v>
      </c>
    </row>
    <row r="4" spans="1:9" x14ac:dyDescent="0.2">
      <c r="A4" t="s">
        <v>142</v>
      </c>
      <c r="B4">
        <v>30.78431372549019</v>
      </c>
      <c r="C4">
        <v>28</v>
      </c>
      <c r="D4">
        <f>TableTOT[[#This Row],[ARIMAPP]]*$I$2+TableTOT[[#This Row],[LSTMPP]]*$I$3</f>
        <v>34.035477924107845</v>
      </c>
      <c r="E4">
        <v>33</v>
      </c>
      <c r="F4">
        <f>ABS(TableTOT[[#This Row],[PP]]-TableTOT[[#This Row],[AP]])</f>
        <v>1.0354779241078447</v>
      </c>
    </row>
    <row r="5" spans="1:9" x14ac:dyDescent="0.2">
      <c r="A5" t="s">
        <v>143</v>
      </c>
      <c r="B5">
        <v>38.005748478558857</v>
      </c>
      <c r="C5">
        <v>40.348741949261687</v>
      </c>
      <c r="D5">
        <f>TableTOT[[#This Row],[ARIMAPP]]*$I$2+TableTOT[[#This Row],[LSTMPP]]*$I$3</f>
        <v>50.116839744319499</v>
      </c>
      <c r="E5">
        <v>45</v>
      </c>
      <c r="F5">
        <f>ABS(TableTOT[[#This Row],[PP]]-TableTOT[[#This Row],[AP]])</f>
        <v>5.1168397443194991</v>
      </c>
      <c r="H5" t="s">
        <v>2</v>
      </c>
      <c r="I5">
        <f>SUM(ABS(TableTOT[[#This Row],[PP]]-TableTOT[[#This Row],[AP]]))</f>
        <v>5.1168397443194991</v>
      </c>
    </row>
    <row r="6" spans="1:9" x14ac:dyDescent="0.2">
      <c r="A6" t="s">
        <v>144</v>
      </c>
      <c r="B6">
        <v>29.090909090909079</v>
      </c>
      <c r="C6">
        <v>30.428571428571431</v>
      </c>
      <c r="D6">
        <f>TableTOT[[#This Row],[ARIMAPP]]*$I$2+TableTOT[[#This Row],[LSTMPP]]*$I$3</f>
        <v>37.722747080270139</v>
      </c>
      <c r="E6">
        <v>40</v>
      </c>
      <c r="F6">
        <f>ABS(TableTOT[[#This Row],[PP]]-TableTOT[[#This Row],[AP]])</f>
        <v>2.277252919729861</v>
      </c>
    </row>
    <row r="7" spans="1:9" x14ac:dyDescent="0.2">
      <c r="A7" t="s">
        <v>145</v>
      </c>
      <c r="B7">
        <v>50.666666666666679</v>
      </c>
      <c r="C7">
        <v>44.366417941588971</v>
      </c>
      <c r="D7">
        <f>TableTOT[[#This Row],[ARIMAPP]]*$I$2+TableTOT[[#This Row],[LSTMPP]]*$I$3</f>
        <v>53.611531114651072</v>
      </c>
      <c r="E7">
        <v>58</v>
      </c>
      <c r="F7">
        <f>ABS(TableTOT[[#This Row],[PP]]-TableTOT[[#This Row],[AP]])</f>
        <v>4.388468885348928</v>
      </c>
      <c r="H7" t="s">
        <v>3</v>
      </c>
      <c r="I7">
        <f>AVERAGE(TableTOT[DIFF])/10</f>
        <v>0.2554041063368403</v>
      </c>
    </row>
    <row r="8" spans="1:9" x14ac:dyDescent="0.2">
      <c r="A8" t="s">
        <v>146</v>
      </c>
      <c r="B8">
        <v>20</v>
      </c>
      <c r="C8">
        <v>23.333333333333329</v>
      </c>
      <c r="D8">
        <f>TableTOT[[#This Row],[ARIMAPP]]*$I$2+TableTOT[[#This Row],[LSTMPP]]*$I$3</f>
        <v>29.31548656113333</v>
      </c>
      <c r="E8">
        <v>29</v>
      </c>
      <c r="F8">
        <f>ABS(TableTOT[[#This Row],[PP]]-TableTOT[[#This Row],[AP]])</f>
        <v>0.31548656113332996</v>
      </c>
    </row>
    <row r="9" spans="1:9" x14ac:dyDescent="0.2">
      <c r="A9" t="s">
        <v>147</v>
      </c>
      <c r="B9">
        <v>41.250000000000007</v>
      </c>
      <c r="C9">
        <v>34.428555898924557</v>
      </c>
      <c r="D9">
        <f>TableTOT[[#This Row],[ARIMAPP]]*$I$2+TableTOT[[#This Row],[LSTMPP]]*$I$3</f>
        <v>41.277210294748933</v>
      </c>
      <c r="E9">
        <v>37</v>
      </c>
      <c r="F9">
        <f>ABS(TableTOT[[#This Row],[PP]]-TableTOT[[#This Row],[AP]])</f>
        <v>4.277210294748933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7"/>
  <sheetViews>
    <sheetView workbookViewId="0">
      <selection activeCell="I3" sqref="I3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148</v>
      </c>
      <c r="B2">
        <v>38.203437962846337</v>
      </c>
      <c r="C2">
        <v>37.715982367062118</v>
      </c>
      <c r="D2">
        <f>TableWHU[[#This Row],[ARIMAPP]]*$I$2+TableWHU[[#This Row],[LSTMPP]]*$I$3</f>
        <v>42.677614872333258</v>
      </c>
      <c r="E2">
        <v>41</v>
      </c>
      <c r="F2">
        <f>ABS(TableWHU[[#This Row],[PP]]-TableWHU[[#This Row],[AP]])</f>
        <v>1.6776148723332582</v>
      </c>
      <c r="H2" t="s">
        <v>0</v>
      </c>
      <c r="I2">
        <v>-0.79462426134999997</v>
      </c>
    </row>
    <row r="3" spans="1:9" x14ac:dyDescent="0.2">
      <c r="A3" t="s">
        <v>149</v>
      </c>
      <c r="B3">
        <v>32.867647058823508</v>
      </c>
      <c r="C3">
        <v>31.111111111111111</v>
      </c>
      <c r="D3">
        <f>TableWHU[[#This Row],[ARIMAPP]]*$I$2+TableWHU[[#This Row],[LSTMPP]]*$I$3</f>
        <v>34.127581938458761</v>
      </c>
      <c r="E3">
        <v>26</v>
      </c>
      <c r="F3">
        <f>ABS(TableWHU[[#This Row],[PP]]-TableWHU[[#This Row],[AP]])</f>
        <v>8.1275819384587606</v>
      </c>
      <c r="H3" t="s">
        <v>1</v>
      </c>
      <c r="I3">
        <v>1.9364468048000001</v>
      </c>
    </row>
    <row r="4" spans="1:9" x14ac:dyDescent="0.2">
      <c r="A4" t="s">
        <v>150</v>
      </c>
      <c r="B4">
        <v>17.894736842105271</v>
      </c>
      <c r="C4">
        <v>23.55555555555555</v>
      </c>
      <c r="D4">
        <f>TableWHU[[#This Row],[ARIMAPP]]*$I$2+TableWHU[[#This Row],[LSTMPP]]*$I$3</f>
        <v>31.394488245633902</v>
      </c>
      <c r="E4">
        <v>34</v>
      </c>
      <c r="F4">
        <f>ABS(TableWHU[[#This Row],[PP]]-TableWHU[[#This Row],[AP]])</f>
        <v>2.6055117543660984</v>
      </c>
    </row>
    <row r="5" spans="1:9" x14ac:dyDescent="0.2">
      <c r="A5" t="s">
        <v>151</v>
      </c>
      <c r="B5">
        <v>44.692307692307651</v>
      </c>
      <c r="C5">
        <v>43.254337713721817</v>
      </c>
      <c r="D5">
        <f>TableWHU[[#This Row],[ARIMAPP]]*$I$2+TableWHU[[#This Row],[LSTMPP]]*$I$3</f>
        <v>48.246132071449864</v>
      </c>
      <c r="E5">
        <v>53</v>
      </c>
      <c r="F5">
        <f>ABS(TableWHU[[#This Row],[PP]]-TableWHU[[#This Row],[AP]])</f>
        <v>4.753867928550136</v>
      </c>
      <c r="H5" t="s">
        <v>2</v>
      </c>
      <c r="I5">
        <f>SUM(ABS(TableWHU[[#This Row],[PP]]-TableWHU[[#This Row],[AP]]))</f>
        <v>4.753867928550136</v>
      </c>
    </row>
    <row r="6" spans="1:9" x14ac:dyDescent="0.2">
      <c r="A6" t="s">
        <v>152</v>
      </c>
      <c r="B6">
        <v>32.608695652173907</v>
      </c>
      <c r="C6">
        <v>31.388888888888889</v>
      </c>
      <c r="D6">
        <f>TableWHU[[#This Row],[ARIMAPP]]*$I$2+TableWHU[[#This Row],[LSTMPP]]*$I$3</f>
        <v>34.871252898915465</v>
      </c>
      <c r="E6">
        <v>42</v>
      </c>
      <c r="F6">
        <f>ABS(TableWHU[[#This Row],[PP]]-TableWHU[[#This Row],[AP]])</f>
        <v>7.1287471010845351</v>
      </c>
    </row>
    <row r="7" spans="1:9" x14ac:dyDescent="0.2">
      <c r="A7" t="s">
        <v>153</v>
      </c>
      <c r="B7">
        <v>34.010898203455042</v>
      </c>
      <c r="C7">
        <v>37.047067749114539</v>
      </c>
      <c r="D7">
        <f>TableWHU[[#This Row],[ARIMAPP]]*$I$2+TableWHU[[#This Row],[LSTMPP]]*$I$3</f>
        <v>44.713791107211485</v>
      </c>
      <c r="E7">
        <v>40</v>
      </c>
      <c r="F7">
        <f>ABS(TableWHU[[#This Row],[PP]]-TableWHU[[#This Row],[AP]])</f>
        <v>4.7137911072114846</v>
      </c>
      <c r="H7" t="s">
        <v>3</v>
      </c>
      <c r="I7">
        <f>AVERAGE(TableWHU[DIFF])/10</f>
        <v>0.48345191170007124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9"/>
  <sheetViews>
    <sheetView tabSelected="1" workbookViewId="0">
      <selection activeCell="I3" sqref="I3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154</v>
      </c>
      <c r="B2">
        <v>18.81222108289823</v>
      </c>
      <c r="C2">
        <v>24.912280701754391</v>
      </c>
      <c r="D2">
        <f>TableWOL[[#This Row],[ARIMAPP]]*$I$2+TableWOL[[#This Row],[LSTMPP]]*$I$3</f>
        <v>32.214537194950374</v>
      </c>
      <c r="E2">
        <v>45</v>
      </c>
      <c r="F2">
        <f>ABS(TableWOL[[#This Row],[PP]]-TableWOL[[#This Row],[AP]])</f>
        <v>12.785462805049626</v>
      </c>
      <c r="H2" t="s">
        <v>0</v>
      </c>
      <c r="I2">
        <v>0.20276413096000001</v>
      </c>
    </row>
    <row r="3" spans="1:9" x14ac:dyDescent="0.2">
      <c r="A3" t="s">
        <v>155</v>
      </c>
      <c r="B3">
        <v>30.309278350515459</v>
      </c>
      <c r="C3">
        <v>30.38678162128441</v>
      </c>
      <c r="D3">
        <f>TableWOL[[#This Row],[ARIMAPP]]*$I$2+TableWOL[[#This Row],[LSTMPP]]*$I$3</f>
        <v>40.786679623241511</v>
      </c>
      <c r="E3">
        <v>29</v>
      </c>
      <c r="F3">
        <f>ABS(TableWOL[[#This Row],[PP]]-TableWOL[[#This Row],[AP]])</f>
        <v>11.786679623241511</v>
      </c>
      <c r="H3" t="s">
        <v>1</v>
      </c>
      <c r="I3">
        <v>1.1400037545999999</v>
      </c>
    </row>
    <row r="4" spans="1:9" x14ac:dyDescent="0.2">
      <c r="A4" t="s">
        <v>156</v>
      </c>
      <c r="B4">
        <v>25.972331879270261</v>
      </c>
      <c r="C4">
        <v>27.826086956521731</v>
      </c>
      <c r="D4">
        <f>TableWOL[[#This Row],[ARIMAPP]]*$I$2+TableWOL[[#This Row],[LSTMPP]]*$I$3</f>
        <v>36.988100908765794</v>
      </c>
      <c r="E4">
        <v>37</v>
      </c>
      <c r="F4">
        <f>ABS(TableWOL[[#This Row],[PP]]-TableWOL[[#This Row],[AP]])</f>
        <v>1.1899091234205628E-2</v>
      </c>
    </row>
    <row r="5" spans="1:9" x14ac:dyDescent="0.2">
      <c r="A5" t="s">
        <v>157</v>
      </c>
      <c r="B5">
        <v>41.128864260993012</v>
      </c>
      <c r="C5">
        <v>34.523859499033037</v>
      </c>
      <c r="D5">
        <f>TableWOL[[#This Row],[ARIMAPP]]*$I$2+TableWOL[[#This Row],[LSTMPP]]*$I$3</f>
        <v>47.696787871432591</v>
      </c>
      <c r="E5">
        <v>23</v>
      </c>
      <c r="F5">
        <f>ABS(TableWOL[[#This Row],[PP]]-TableWOL[[#This Row],[AP]])</f>
        <v>24.696787871432591</v>
      </c>
      <c r="H5" t="s">
        <v>2</v>
      </c>
      <c r="I5">
        <f>SUM(ABS(TableWOL[[#This Row],[PP]]-TableWOL[[#This Row],[AP]]))</f>
        <v>24.696787871432591</v>
      </c>
    </row>
    <row r="6" spans="1:9" x14ac:dyDescent="0.2">
      <c r="A6" t="s">
        <v>158</v>
      </c>
      <c r="B6">
        <v>22.142857142857149</v>
      </c>
      <c r="C6">
        <v>25.22727272727273</v>
      </c>
      <c r="D6">
        <f>TableWOL[[#This Row],[ARIMAPP]]*$I$2+TableWOL[[#This Row],[LSTMPP]]*$I$3</f>
        <v>33.248962812951952</v>
      </c>
      <c r="E6">
        <v>30</v>
      </c>
      <c r="F6">
        <f>ABS(TableWOL[[#This Row],[PP]]-TableWOL[[#This Row],[AP]])</f>
        <v>3.2489628129519517</v>
      </c>
    </row>
    <row r="7" spans="1:9" x14ac:dyDescent="0.2">
      <c r="A7" t="s">
        <v>159</v>
      </c>
      <c r="B7">
        <v>54.139593582216882</v>
      </c>
      <c r="C7">
        <v>26.37931034482758</v>
      </c>
      <c r="D7">
        <f>TableWOL[[#This Row],[ARIMAPP]]*$I$2+TableWOL[[#This Row],[LSTMPP]]*$I$3</f>
        <v>41.050080480087857</v>
      </c>
      <c r="E7">
        <v>51</v>
      </c>
      <c r="F7">
        <f>ABS(TableWOL[[#This Row],[PP]]-TableWOL[[#This Row],[AP]])</f>
        <v>9.9499195199121431</v>
      </c>
      <c r="H7" t="s">
        <v>3</v>
      </c>
      <c r="I7">
        <f>AVERAGE(TableWOL[DIFF])/10</f>
        <v>1.1494684045424548</v>
      </c>
    </row>
    <row r="8" spans="1:9" x14ac:dyDescent="0.2">
      <c r="A8" t="s">
        <v>160</v>
      </c>
      <c r="B8">
        <v>26.296296296296301</v>
      </c>
      <c r="C8">
        <v>25.952380952380949</v>
      </c>
      <c r="D8">
        <f>TableWOL[[#This Row],[ARIMAPP]]*$I$2+TableWOL[[#This Row],[LSTMPP]]*$I$3</f>
        <v>34.917757392508989</v>
      </c>
      <c r="E8">
        <v>53</v>
      </c>
      <c r="F8">
        <f>ABS(TableWOL[[#This Row],[PP]]-TableWOL[[#This Row],[AP]])</f>
        <v>18.082242607491011</v>
      </c>
    </row>
    <row r="9" spans="1:9" x14ac:dyDescent="0.2">
      <c r="A9" t="s">
        <v>161</v>
      </c>
      <c r="B9">
        <v>16.666666666666661</v>
      </c>
      <c r="C9">
        <v>21.25</v>
      </c>
      <c r="D9">
        <f>TableWOL[[#This Row],[ARIMAPP]]*$I$2+TableWOL[[#This Row],[LSTMPP]]*$I$3</f>
        <v>27.604481967916666</v>
      </c>
      <c r="E9">
        <v>39</v>
      </c>
      <c r="F9">
        <f>ABS(TableWOL[[#This Row],[PP]]-TableWOL[[#This Row],[AP]])</f>
        <v>11.395518032083334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</vt:lpstr>
      <vt:lpstr>AVL</vt:lpstr>
      <vt:lpstr>BOU</vt:lpstr>
      <vt:lpstr>BRE</vt:lpstr>
      <vt:lpstr>BHA</vt:lpstr>
      <vt:lpstr>BUR</vt:lpstr>
      <vt:lpstr>CHE</vt:lpstr>
      <vt:lpstr>CRY</vt:lpstr>
      <vt:lpstr>EVE</vt:lpstr>
      <vt:lpstr>FUL</vt:lpstr>
      <vt:lpstr>LIV</vt:lpstr>
      <vt:lpstr>LUT</vt:lpstr>
      <vt:lpstr>MCI</vt:lpstr>
      <vt:lpstr>MUN</vt:lpstr>
      <vt:lpstr>NEW</vt:lpstr>
      <vt:lpstr>NFO</vt:lpstr>
      <vt:lpstr>SHU</vt:lpstr>
      <vt:lpstr>TOT</vt:lpstr>
      <vt:lpstr>WHU</vt:lpstr>
      <vt:lpstr>WOL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Corridore, Gabe</cp:lastModifiedBy>
  <dcterms:created xsi:type="dcterms:W3CDTF">2024-01-11T19:27:24Z</dcterms:created>
  <dcterms:modified xsi:type="dcterms:W3CDTF">2024-01-11T19:34:15Z</dcterms:modified>
</cp:coreProperties>
</file>