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E70DCFA7-20B7-7D4D-A69B-D00F5CD03237}" xr6:coauthVersionLast="47" xr6:coauthVersionMax="47" xr10:uidLastSave="{00000000-0000-0000-0000-000000000000}"/>
  <bookViews>
    <workbookView xWindow="7660" yWindow="3280" windowWidth="24320" windowHeight="18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6" i="1" l="1"/>
  <c r="AH166" i="1"/>
  <c r="AI165" i="1"/>
  <c r="AH165" i="1"/>
  <c r="AI164" i="1"/>
  <c r="AH164" i="1"/>
  <c r="AI131" i="1"/>
  <c r="AH131" i="1"/>
  <c r="AI162" i="1"/>
  <c r="AH162" i="1"/>
  <c r="AI133" i="1"/>
  <c r="AH133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98" i="1"/>
  <c r="AH98" i="1"/>
  <c r="AI142" i="1"/>
  <c r="AH142" i="1"/>
  <c r="AI141" i="1"/>
  <c r="AH141" i="1"/>
  <c r="AI140" i="1"/>
  <c r="AH140" i="1"/>
  <c r="AI139" i="1"/>
  <c r="AH139" i="1"/>
  <c r="AI58" i="1"/>
  <c r="AH58" i="1"/>
  <c r="AI137" i="1"/>
  <c r="AH137" i="1"/>
  <c r="AI136" i="1"/>
  <c r="AH136" i="1"/>
  <c r="AI135" i="1"/>
  <c r="AH135" i="1"/>
  <c r="AI134" i="1"/>
  <c r="AH134" i="1"/>
  <c r="AI143" i="1"/>
  <c r="AH143" i="1"/>
  <c r="AI132" i="1"/>
  <c r="AH132" i="1"/>
  <c r="AI30" i="1"/>
  <c r="AH30" i="1"/>
  <c r="AI130" i="1"/>
  <c r="AH130" i="1"/>
  <c r="AI129" i="1"/>
  <c r="AH129" i="1"/>
  <c r="AI128" i="1"/>
  <c r="AH128" i="1"/>
  <c r="AI138" i="1"/>
  <c r="AH138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127" i="1"/>
  <c r="AH127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161" i="1"/>
  <c r="AH161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29" i="1"/>
  <c r="AH29" i="1"/>
  <c r="AO29" i="1"/>
  <c r="AI25" i="1"/>
  <c r="AH25" i="1"/>
  <c r="AO28" i="1"/>
  <c r="AI28" i="1"/>
  <c r="AH28" i="1"/>
  <c r="AO27" i="1"/>
  <c r="AI27" i="1"/>
  <c r="AH27" i="1"/>
  <c r="AO26" i="1"/>
  <c r="AI26" i="1"/>
  <c r="AH26" i="1"/>
  <c r="AO25" i="1"/>
  <c r="AI163" i="1"/>
  <c r="AH163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11" i="1"/>
  <c r="AH11" i="1"/>
  <c r="AI10" i="1"/>
  <c r="AH10" i="1"/>
  <c r="AO9" i="1"/>
  <c r="AI9" i="1"/>
  <c r="AH9" i="1"/>
  <c r="AO8" i="1"/>
  <c r="AI8" i="1"/>
  <c r="AH8" i="1"/>
  <c r="AO7" i="1"/>
  <c r="AI7" i="1"/>
  <c r="AH7" i="1"/>
  <c r="AO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6" i="1" l="1"/>
</calcChain>
</file>

<file path=xl/sharedStrings.xml><?xml version="1.0" encoding="utf-8"?>
<sst xmlns="http://schemas.openxmlformats.org/spreadsheetml/2006/main" count="894" uniqueCount="385">
  <si>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</si>
  <si>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</si>
  <si>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</si>
  <si>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</si>
  <si>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</si>
  <si>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</si>
  <si>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</si>
  <si>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</si>
  <si>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</si>
  <si>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</si>
  <si>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</si>
  <si>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</si>
  <si>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</si>
  <si>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</si>
  <si>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</si>
  <si>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</si>
  <si>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</si>
  <si>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</si>
  <si>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</si>
  <si>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</si>
  <si>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</si>
  <si>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</si>
  <si>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</si>
  <si>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</si>
  <si>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</si>
  <si>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</si>
  <si>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</si>
  <si>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</si>
  <si>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</si>
  <si>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</si>
  <si>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</si>
  <si>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</si>
  <si>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</si>
  <si>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</si>
  <si>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</si>
  <si>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</si>
  <si>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</si>
  <si>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</si>
  <si>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</si>
  <si>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</si>
  <si>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</si>
  <si>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</si>
  <si>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</si>
  <si>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</si>
  <si>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</si>
  <si>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</si>
  <si>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</si>
  <si>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</si>
  <si>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</si>
  <si>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</si>
  <si>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</si>
  <si>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</si>
  <si>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</si>
  <si>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</si>
  <si>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</si>
  <si>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</si>
  <si>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</si>
  <si>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</si>
  <si>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Benjamin</t>
  </si>
  <si>
    <t>White</t>
  </si>
  <si>
    <t>Oleksandr</t>
  </si>
  <si>
    <t>Zinchenko</t>
  </si>
  <si>
    <t>David</t>
  </si>
  <si>
    <t>Raya Martin</t>
  </si>
  <si>
    <t>Raya</t>
  </si>
  <si>
    <t>Leon</t>
  </si>
  <si>
    <t>Bailey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</si>
  <si>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</si>
  <si>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</si>
  <si>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</si>
  <si>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</si>
  <si>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</si>
  <si>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</si>
  <si>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</si>
  <si>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</si>
  <si>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</si>
  <si>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</si>
  <si>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</si>
  <si>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</si>
  <si>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</si>
  <si>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</si>
  <si>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</si>
  <si>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</si>
  <si>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</si>
  <si>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</si>
  <si>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</si>
  <si>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</si>
  <si>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</si>
  <si>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</si>
  <si>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</si>
  <si>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</si>
  <si>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</si>
  <si>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</si>
  <si>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</si>
  <si>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</si>
  <si>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</si>
  <si>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</si>
  <si>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</si>
  <si>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</si>
  <si>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</si>
  <si>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</si>
  <si>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</si>
  <si>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</si>
  <si>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</si>
  <si>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</si>
  <si>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</si>
  <si>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</si>
  <si>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</si>
  <si>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</si>
  <si>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</si>
  <si>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Nathan</t>
  </si>
  <si>
    <t>Collins</t>
  </si>
  <si>
    <t>Vitaly</t>
  </si>
  <si>
    <t>Janelt</t>
  </si>
  <si>
    <t>Mathias</t>
  </si>
  <si>
    <t>Jensen</t>
  </si>
  <si>
    <t>Bryan</t>
  </si>
  <si>
    <t>Mbeumo</t>
  </si>
  <si>
    <t>Yoane</t>
  </si>
  <si>
    <t>Wissa</t>
  </si>
  <si>
    <t>Neal</t>
  </si>
  <si>
    <t>Maupay</t>
  </si>
  <si>
    <t>Simon</t>
  </si>
  <si>
    <t>Adingra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</si>
  <si>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</si>
  <si>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</si>
  <si>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</si>
  <si>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</si>
  <si>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</si>
  <si>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</si>
  <si>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</si>
  <si>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</si>
  <si>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</si>
  <si>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Danny</t>
  </si>
  <si>
    <t>Welbeck</t>
  </si>
  <si>
    <t>Jordan</t>
  </si>
  <si>
    <t>Beyer</t>
  </si>
  <si>
    <t>Josh</t>
  </si>
  <si>
    <t>Brownhill</t>
  </si>
  <si>
    <t>Sander</t>
  </si>
  <si>
    <t>Berge</t>
  </si>
  <si>
    <t>Zeki</t>
  </si>
  <si>
    <t>Amdouni</t>
  </si>
  <si>
    <t>James</t>
  </si>
  <si>
    <t>Trafford</t>
  </si>
  <si>
    <t>Luca</t>
  </si>
  <si>
    <t>Koleosho</t>
  </si>
  <si>
    <t>Robert</t>
  </si>
  <si>
    <t>Sánchez</t>
  </si>
  <si>
    <t>Sanchez</t>
  </si>
  <si>
    <t>Levi</t>
  </si>
  <si>
    <t>Colwill</t>
  </si>
  <si>
    <t>Enzo</t>
  </si>
  <si>
    <t>Fernández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</si>
  <si>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</si>
  <si>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</si>
  <si>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</si>
  <si>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</si>
  <si>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</si>
  <si>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</si>
  <si>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</si>
  <si>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</si>
  <si>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</si>
  <si>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</si>
  <si>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</si>
  <si>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</si>
  <si>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</si>
  <si>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</si>
  <si>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Ayew</t>
  </si>
  <si>
    <t>J.Ayew</t>
  </si>
  <si>
    <t>Odsonne</t>
  </si>
  <si>
    <t>Edouard</t>
  </si>
  <si>
    <t>Eberechi</t>
  </si>
  <si>
    <t>Eze</t>
  </si>
  <si>
    <t>Marc</t>
  </si>
  <si>
    <t>Guéhi</t>
  </si>
  <si>
    <t>Jefferson</t>
  </si>
  <si>
    <t>Lerma Solís</t>
  </si>
  <si>
    <t>Lerma</t>
  </si>
  <si>
    <t>Jean-Philippe</t>
  </si>
  <si>
    <t>Mateta</t>
  </si>
  <si>
    <t>Jeffrey</t>
  </si>
  <si>
    <t>Schlupp</t>
  </si>
  <si>
    <t>Jarrad</t>
  </si>
  <si>
    <t>Branthwaite</t>
  </si>
  <si>
    <t>Calvert-Lewin</t>
  </si>
  <si>
    <t>Abdoulaye</t>
  </si>
  <si>
    <t>Doucouré</t>
  </si>
  <si>
    <t>A.Doucoure</t>
  </si>
  <si>
    <t>Garner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</si>
  <si>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</si>
  <si>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</si>
  <si>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</si>
  <si>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</si>
  <si>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</si>
  <si>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</si>
  <si>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</si>
  <si>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</si>
  <si>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</si>
  <si>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</si>
  <si>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</si>
  <si>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</si>
  <si>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</si>
  <si>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</si>
  <si>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</si>
  <si>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</si>
  <si>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</si>
  <si>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</si>
  <si>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</si>
  <si>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</si>
  <si>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</si>
  <si>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</si>
  <si>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</si>
  <si>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</si>
  <si>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</si>
  <si>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Harry</t>
  </si>
  <si>
    <t>Wilson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</si>
  <si>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</si>
  <si>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</si>
  <si>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</si>
  <si>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</si>
  <si>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</si>
  <si>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</si>
  <si>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</si>
  <si>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</si>
  <si>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</si>
  <si>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</si>
  <si>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</si>
  <si>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</si>
  <si>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</si>
  <si>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</si>
  <si>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</si>
  <si>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</si>
  <si>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</si>
  <si>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</si>
  <si>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</si>
  <si>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</si>
  <si>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</si>
  <si>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</si>
  <si>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</si>
  <si>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</si>
  <si>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</si>
  <si>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</si>
  <si>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</si>
  <si>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</si>
  <si>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</si>
  <si>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</si>
  <si>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</si>
  <si>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</si>
  <si>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</si>
  <si>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Carlton</t>
  </si>
  <si>
    <t>Morris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</si>
  <si>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</si>
  <si>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</si>
  <si>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</si>
  <si>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</si>
  <si>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</si>
  <si>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</si>
  <si>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</si>
  <si>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</si>
  <si>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</si>
  <si>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</si>
  <si>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</si>
  <si>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</si>
  <si>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</si>
  <si>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</si>
  <si>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</si>
  <si>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</si>
  <si>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</si>
  <si>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</si>
  <si>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</si>
  <si>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</si>
  <si>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</si>
  <si>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</si>
  <si>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</si>
  <si>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</si>
  <si>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</si>
  <si>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Alejandro</t>
  </si>
  <si>
    <t>Garnacho</t>
  </si>
  <si>
    <t>Victor</t>
  </si>
  <si>
    <t>Lindelöf</t>
  </si>
  <si>
    <t>Lindelof</t>
  </si>
  <si>
    <t>Anthony</t>
  </si>
  <si>
    <t>Martial</t>
  </si>
  <si>
    <t>Rashford</t>
  </si>
  <si>
    <t>André</t>
  </si>
  <si>
    <t>Rasmus</t>
  </si>
  <si>
    <t>Højlund</t>
  </si>
  <si>
    <t>Miguel</t>
  </si>
  <si>
    <t>Almirón Rejala</t>
  </si>
  <si>
    <t>Almirón</t>
  </si>
  <si>
    <t>Bruno</t>
  </si>
  <si>
    <t>Guimarães Rodriguez Moura</t>
  </si>
  <si>
    <t>Bruno G.</t>
  </si>
  <si>
    <t>Dan</t>
  </si>
  <si>
    <t>Burn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</si>
  <si>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</si>
  <si>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</si>
  <si>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</si>
  <si>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</si>
  <si>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</si>
  <si>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</si>
  <si>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</si>
  <si>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</si>
  <si>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Nick</t>
  </si>
  <si>
    <t>Pope</t>
  </si>
  <si>
    <t>Kieran</t>
  </si>
  <si>
    <t>Trippier</t>
  </si>
  <si>
    <t>Callum</t>
  </si>
  <si>
    <t>Matt</t>
  </si>
  <si>
    <t>Turner</t>
  </si>
  <si>
    <t>Elanga</t>
  </si>
  <si>
    <t>Morgan</t>
  </si>
  <si>
    <t>Gibbs-White</t>
  </si>
  <si>
    <t>Toffolo</t>
  </si>
  <si>
    <t>Chris</t>
  </si>
  <si>
    <t>Wood</t>
  </si>
  <si>
    <t>Murillo</t>
  </si>
  <si>
    <t>Santiago Costa dos Santos</t>
  </si>
  <si>
    <t>Cameron</t>
  </si>
  <si>
    <t>Archer</t>
  </si>
  <si>
    <t>McAtee</t>
  </si>
  <si>
    <t>Wes</t>
  </si>
  <si>
    <t>Foderingham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</si>
  <si>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</si>
  <si>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</si>
  <si>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</si>
  <si>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</si>
  <si>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</si>
  <si>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</si>
  <si>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</si>
  <si>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</si>
  <si>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</si>
  <si>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</si>
  <si>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</si>
  <si>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</si>
  <si>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</si>
  <si>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</si>
  <si>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</si>
  <si>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</si>
  <si>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</si>
  <si>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</si>
  <si>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</si>
  <si>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</si>
  <si>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</si>
  <si>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</si>
  <si>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</si>
  <si>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</si>
  <si>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</si>
  <si>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</si>
  <si>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</si>
  <si>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</si>
  <si>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</si>
  <si>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</si>
  <si>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</si>
  <si>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</si>
  <si>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</si>
  <si>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</si>
  <si>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</si>
  <si>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</si>
  <si>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</si>
  <si>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</si>
  <si>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</si>
  <si>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</si>
  <si>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</si>
  <si>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Craig</t>
  </si>
  <si>
    <t>Dawson</t>
  </si>
  <si>
    <t>Hwang</t>
  </si>
  <si>
    <t>Hee-chan</t>
  </si>
  <si>
    <t>Hee Chan</t>
  </si>
  <si>
    <t>Max</t>
  </si>
  <si>
    <t>Kilman</t>
  </si>
  <si>
    <t>Mario</t>
  </si>
  <si>
    <t>Lemina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</si>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</sst>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66" totalsRowShown="0">
  <autoFilter ref="A1:AL166" xr:uid="{00000000-0009-0000-0100-000001000000}">
    <filterColumn colId="37">
      <filters>
        <filter val="1"/>
      </filters>
    </filterColumn>
  </autoFilter>
  <sortState xmlns:xlrd2="http://schemas.microsoft.com/office/spreadsheetml/2017/richdata2" ref="A25:AL163">
    <sortCondition descending="1" ref="AI1:AI166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6"/>
  <sheetViews>
    <sheetView tabSelected="1" workbookViewId="0">
      <selection activeCell="C29" sqref="C29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</v>
      </c>
      <c r="AE2">
        <v>4</v>
      </c>
      <c r="AF2">
        <v>17.87037037037037</v>
      </c>
      <c r="AG2">
        <v>26.3618194709093</v>
      </c>
      <c r="AH2">
        <f>18.515695744534*1</f>
        <v>18.515695744534</v>
      </c>
      <c r="AI2">
        <f>3.59461816525399*1</f>
        <v>3.5946181652539901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393.32999455185279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15.952380952380951</v>
      </c>
      <c r="AG3">
        <v>16.699191280009639</v>
      </c>
      <c r="AH3">
        <f>13.7943850511806*1</f>
        <v>13.794385051180599</v>
      </c>
      <c r="AI3">
        <f>2.75887695688888*1</f>
        <v>2.75887695688888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6</v>
      </c>
      <c r="AF4">
        <v>20.129032258064498</v>
      </c>
      <c r="AG4">
        <v>20.49517399146151</v>
      </c>
      <c r="AH4">
        <f>12.8816154187418*0.75</f>
        <v>9.6612115640563498</v>
      </c>
      <c r="AI4">
        <f>3.43510499523389*0.75</f>
        <v>2.5763287464254176</v>
      </c>
      <c r="AJ4">
        <v>0.75</v>
      </c>
      <c r="AK4">
        <v>1</v>
      </c>
      <c r="AL4">
        <v>0</v>
      </c>
      <c r="AN4" t="s">
        <v>2</v>
      </c>
      <c r="AO4">
        <f>SUMPRODUCT(Table1[Selected],Table1[Cost])</f>
        <v>85.6</v>
      </c>
      <c r="AP4">
        <v>102.1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7.7</v>
      </c>
      <c r="AE5">
        <v>10</v>
      </c>
      <c r="AF5">
        <v>23.26923076923077</v>
      </c>
      <c r="AG5">
        <v>25.257670836539809</v>
      </c>
      <c r="AH5">
        <f>20.4811663761076*1</f>
        <v>20.481166376107598</v>
      </c>
      <c r="AI5">
        <f>4.09623256572458*1</f>
        <v>4.0962325657245797</v>
      </c>
      <c r="AJ5">
        <v>1</v>
      </c>
      <c r="AK5">
        <v>0</v>
      </c>
      <c r="AL5">
        <v>0</v>
      </c>
    </row>
    <row r="6" spans="1:42" hidden="1" x14ac:dyDescent="0.2">
      <c r="A6" t="s">
        <v>52</v>
      </c>
      <c r="B6" t="s">
        <v>53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8.4</v>
      </c>
      <c r="AE6">
        <v>12</v>
      </c>
      <c r="AF6">
        <v>24.931341482281709</v>
      </c>
      <c r="AG6">
        <v>18.603896103896101</v>
      </c>
      <c r="AH6">
        <f>18.5600284244397*1</f>
        <v>18.5600284244397</v>
      </c>
      <c r="AI6">
        <f>3.71200568488795*1</f>
        <v>3.7120056848879499</v>
      </c>
      <c r="AJ6">
        <v>1</v>
      </c>
      <c r="AK6">
        <v>0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17</v>
      </c>
      <c r="AF7">
        <v>25.756394694405952</v>
      </c>
      <c r="AG7">
        <v>21.373701380083698</v>
      </c>
      <c r="AH7">
        <f>20.0361313108301*1</f>
        <v>20.0361313108301</v>
      </c>
      <c r="AI7">
        <f>4.00979374200923*1</f>
        <v>4.0097937420092302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hidden="1" x14ac:dyDescent="0.2">
      <c r="A8" t="s">
        <v>56</v>
      </c>
      <c r="B8" t="s">
        <v>57</v>
      </c>
      <c r="C8" t="s">
        <v>57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5.6</v>
      </c>
      <c r="AE8">
        <v>18</v>
      </c>
      <c r="AF8">
        <v>22.246693293947661</v>
      </c>
      <c r="AG8">
        <v>18.35186581780124</v>
      </c>
      <c r="AH8">
        <f>17.2621537855651*1</f>
        <v>17.262153785565101</v>
      </c>
      <c r="AI8">
        <f>4.06358311980051*1</f>
        <v>4.0635831198005103</v>
      </c>
      <c r="AJ8">
        <v>1</v>
      </c>
      <c r="AK8">
        <v>1</v>
      </c>
      <c r="AL8">
        <v>0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5.6</v>
      </c>
      <c r="AE9">
        <v>23</v>
      </c>
      <c r="AF9">
        <v>19.63636363636363</v>
      </c>
      <c r="AG9">
        <v>17.680914529415151</v>
      </c>
      <c r="AH9">
        <f>15.8298018890952*1</f>
        <v>15.829801889095201</v>
      </c>
      <c r="AI9">
        <f>3.16400518377739*1</f>
        <v>3.1640051837773902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5.2</v>
      </c>
      <c r="AE10">
        <v>25</v>
      </c>
      <c r="AF10">
        <v>16.8867924528302</v>
      </c>
      <c r="AG10">
        <v>15.357142857142859</v>
      </c>
      <c r="AH10">
        <f>13.674054705389*1</f>
        <v>13.674054705389</v>
      </c>
      <c r="AI10">
        <f>2.7348109410778*1</f>
        <v>2.7348109410778001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64</v>
      </c>
      <c r="D11" t="s">
        <v>3</v>
      </c>
      <c r="E11">
        <v>1</v>
      </c>
      <c r="F11">
        <v>0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4.9000000000000004</v>
      </c>
      <c r="AE11">
        <v>26</v>
      </c>
      <c r="AF11">
        <v>20.466666666666669</v>
      </c>
      <c r="AG11">
        <v>18.204974031104651</v>
      </c>
      <c r="AH11">
        <f>16.4097000776902*1</f>
        <v>16.4097000776902</v>
      </c>
      <c r="AI11">
        <f>3.27291449271292*1</f>
        <v>3.2729144927129199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12</v>
      </c>
    </row>
    <row r="12" spans="1:42" hidden="1" x14ac:dyDescent="0.2">
      <c r="A12" t="s">
        <v>65</v>
      </c>
      <c r="B12" t="s">
        <v>66</v>
      </c>
      <c r="C12" t="s">
        <v>66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5.7</v>
      </c>
      <c r="AE12">
        <v>37</v>
      </c>
      <c r="AF12">
        <v>15.44117647058823</v>
      </c>
      <c r="AG12">
        <v>14.386792452830189</v>
      </c>
      <c r="AH12">
        <f>15.6905679916585*1</f>
        <v>15.690567991658501</v>
      </c>
      <c r="AI12">
        <f>3.13811359833171*1</f>
        <v>3.1381135983317101</v>
      </c>
      <c r="AJ12">
        <v>1</v>
      </c>
      <c r="AK12">
        <v>0</v>
      </c>
      <c r="AL12">
        <v>0</v>
      </c>
      <c r="AN12" t="s">
        <v>8</v>
      </c>
      <c r="AO12">
        <v>15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4.7</v>
      </c>
      <c r="AE13">
        <v>45</v>
      </c>
      <c r="AF13">
        <v>14.5003112848699</v>
      </c>
      <c r="AG13">
        <v>16.892741400410639</v>
      </c>
      <c r="AH13">
        <f>15.7072320265173*1</f>
        <v>15.7072320265173</v>
      </c>
      <c r="AI13">
        <f>3.48689209446591*1</f>
        <v>3.4868920944659099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69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5.5</v>
      </c>
      <c r="AE14">
        <v>46</v>
      </c>
      <c r="AF14">
        <v>23.913694775871011</v>
      </c>
      <c r="AG14">
        <v>13.72916666666667</v>
      </c>
      <c r="AH14">
        <f>21.8407406280738*1</f>
        <v>21.840740628073799</v>
      </c>
      <c r="AI14">
        <f>3.97791753857168*1</f>
        <v>3.9779175385716798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73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5.2</v>
      </c>
      <c r="AE15">
        <v>52</v>
      </c>
      <c r="AF15">
        <v>17.12962962962963</v>
      </c>
      <c r="AG15">
        <v>15.743907974881161</v>
      </c>
      <c r="AH15">
        <f>17.3441638589072*1</f>
        <v>17.344163858907201</v>
      </c>
      <c r="AI15">
        <f>3.47024867249378*1</f>
        <v>3.47024867249378</v>
      </c>
      <c r="AJ15">
        <v>1</v>
      </c>
      <c r="AK15">
        <v>0</v>
      </c>
      <c r="AL15">
        <v>0</v>
      </c>
    </row>
    <row r="16" spans="1:42" hidden="1" x14ac:dyDescent="0.2">
      <c r="A16" t="s">
        <v>74</v>
      </c>
      <c r="B16" t="s">
        <v>75</v>
      </c>
      <c r="C16" t="s">
        <v>75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5.6</v>
      </c>
      <c r="AE16">
        <v>53</v>
      </c>
      <c r="AF16">
        <v>15.3061224489796</v>
      </c>
      <c r="AG16">
        <v>14.93534482758621</v>
      </c>
      <c r="AH16">
        <f>15.747265432957*1</f>
        <v>15.747265432957001</v>
      </c>
      <c r="AI16">
        <f>3.1494530865914*1</f>
        <v>3.1494530865914001</v>
      </c>
      <c r="AJ16">
        <v>1</v>
      </c>
      <c r="AK16">
        <v>0</v>
      </c>
      <c r="AL16">
        <v>0</v>
      </c>
      <c r="AN16" t="s">
        <v>10</v>
      </c>
      <c r="AO16">
        <f>AO2-AO14*5</f>
        <v>393.32999455185279</v>
      </c>
    </row>
    <row r="17" spans="1:42" hidden="1" x14ac:dyDescent="0.2">
      <c r="A17" t="s">
        <v>76</v>
      </c>
      <c r="B17" t="s">
        <v>77</v>
      </c>
      <c r="C17" t="s">
        <v>77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5.6</v>
      </c>
      <c r="AE17">
        <v>60</v>
      </c>
      <c r="AF17">
        <v>11.748563676298151</v>
      </c>
      <c r="AG17">
        <v>16.07421875</v>
      </c>
      <c r="AH17">
        <f>13.4129438539461*1</f>
        <v>13.4129438539461</v>
      </c>
      <c r="AI17">
        <f>2.68258877078922*1</f>
        <v>2.68258877078922</v>
      </c>
      <c r="AJ17">
        <v>1</v>
      </c>
      <c r="AK17">
        <v>0</v>
      </c>
      <c r="AL17">
        <v>0</v>
      </c>
    </row>
    <row r="18" spans="1:42" hidden="1" x14ac:dyDescent="0.2">
      <c r="A18" t="s">
        <v>78</v>
      </c>
      <c r="B18" t="s">
        <v>79</v>
      </c>
      <c r="C18" t="s">
        <v>79</v>
      </c>
      <c r="D18" t="s">
        <v>6</v>
      </c>
      <c r="E18">
        <v>0</v>
      </c>
      <c r="F18">
        <v>0</v>
      </c>
      <c r="G18">
        <v>0</v>
      </c>
      <c r="H18">
        <v>1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8.9</v>
      </c>
      <c r="AE18">
        <v>62</v>
      </c>
      <c r="AF18">
        <v>22.804878048780509</v>
      </c>
      <c r="AG18">
        <v>20.29569732240773</v>
      </c>
      <c r="AH18">
        <f>22.8994419543328*1</f>
        <v>22.899441954332801</v>
      </c>
      <c r="AI18">
        <f>4.57984871727541*1</f>
        <v>4.5798487172754099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0</v>
      </c>
      <c r="AP18">
        <v>3</v>
      </c>
    </row>
    <row r="19" spans="1:42" hidden="1" x14ac:dyDescent="0.2">
      <c r="A19" t="s">
        <v>80</v>
      </c>
      <c r="B19" t="s">
        <v>81</v>
      </c>
      <c r="C19" t="s">
        <v>80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4.7</v>
      </c>
      <c r="AE19">
        <v>64</v>
      </c>
      <c r="AF19">
        <v>18.0224182540443</v>
      </c>
      <c r="AG19">
        <v>14.80769230769231</v>
      </c>
      <c r="AH19">
        <f>17.7429363338142*1</f>
        <v>17.7429363338142</v>
      </c>
      <c r="AI19">
        <f>4.10337398157764*1</f>
        <v>4.10337398157764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82</v>
      </c>
      <c r="B20" t="s">
        <v>83</v>
      </c>
      <c r="C20" t="s">
        <v>83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6.6</v>
      </c>
      <c r="AE20">
        <v>65</v>
      </c>
      <c r="AF20">
        <v>21.25</v>
      </c>
      <c r="AG20">
        <v>21.633876539298271</v>
      </c>
      <c r="AH20">
        <f>22.1208752806511*1</f>
        <v>22.120875280651099</v>
      </c>
      <c r="AI20">
        <f>4.42417505546868*1</f>
        <v>4.4241750554686803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3</v>
      </c>
      <c r="AP20">
        <v>3</v>
      </c>
    </row>
    <row r="21" spans="1:42" hidden="1" x14ac:dyDescent="0.2">
      <c r="A21" t="s">
        <v>84</v>
      </c>
      <c r="B21" t="s">
        <v>85</v>
      </c>
      <c r="C21" t="s">
        <v>85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5.2</v>
      </c>
      <c r="AE21">
        <v>74</v>
      </c>
      <c r="AF21">
        <v>13.061800426533789</v>
      </c>
      <c r="AG21">
        <v>14.05555555555555</v>
      </c>
      <c r="AH21">
        <f>18.825715664103*1</f>
        <v>18.825715664103001</v>
      </c>
      <c r="AI21">
        <f>3.51309514624343*1</f>
        <v>3.5130951462434301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86</v>
      </c>
      <c r="B22" t="s">
        <v>87</v>
      </c>
      <c r="C22" t="s">
        <v>87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76</v>
      </c>
      <c r="AF22">
        <v>10.7</v>
      </c>
      <c r="AG22">
        <v>12.30769230769231</v>
      </c>
      <c r="AH22">
        <f>15.7060287374538*1</f>
        <v>15.706028737453799</v>
      </c>
      <c r="AI22">
        <f>3.14120574749077*1</f>
        <v>3.14120574749077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0</v>
      </c>
      <c r="AP22">
        <v>3</v>
      </c>
    </row>
    <row r="23" spans="1:42" hidden="1" x14ac:dyDescent="0.2">
      <c r="A23" t="s">
        <v>88</v>
      </c>
      <c r="B23" t="s">
        <v>89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77</v>
      </c>
      <c r="AF23">
        <v>8.7709610492829952</v>
      </c>
      <c r="AG23">
        <v>11.6796875</v>
      </c>
      <c r="AH23">
        <f>13.4444404251758*1</f>
        <v>13.444440425175801</v>
      </c>
      <c r="AI23">
        <f>2.72670508054691*1</f>
        <v>2.72670508054691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83</v>
      </c>
      <c r="AF24">
        <v>13</v>
      </c>
      <c r="AG24">
        <v>13.63636363636363</v>
      </c>
      <c r="AH24">
        <f>18.6102869848636*1</f>
        <v>18.610286984863599</v>
      </c>
      <c r="AI24">
        <f>3.72205739697272*1</f>
        <v>3.72205739697272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x14ac:dyDescent="0.2">
      <c r="A25" t="s">
        <v>102</v>
      </c>
      <c r="B25" t="s">
        <v>103</v>
      </c>
      <c r="C25" t="s">
        <v>103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7.1</v>
      </c>
      <c r="AE25">
        <v>96</v>
      </c>
      <c r="AF25">
        <v>30.28290063760328</v>
      </c>
      <c r="AG25">
        <v>14.075342465753421</v>
      </c>
      <c r="AH25">
        <f>37.0140906421369*1</f>
        <v>37.0140906421369</v>
      </c>
      <c r="AI25">
        <f>7.68806576994241*1</f>
        <v>7.6880657699424102</v>
      </c>
      <c r="AJ25">
        <v>1</v>
      </c>
      <c r="AK25">
        <v>0</v>
      </c>
      <c r="AL25">
        <v>1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96</v>
      </c>
      <c r="B26" t="s">
        <v>97</v>
      </c>
      <c r="C26" t="s">
        <v>97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4.5999999999999996</v>
      </c>
      <c r="AE26">
        <v>93</v>
      </c>
      <c r="AF26">
        <v>12.307692307692299</v>
      </c>
      <c r="AG26">
        <v>13.75</v>
      </c>
      <c r="AH26">
        <f>17.9200908588432*1</f>
        <v>17.920090858843199</v>
      </c>
      <c r="AI26">
        <f>3.58401817176865*1</f>
        <v>3.5840181717686499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94</v>
      </c>
      <c r="AF27">
        <v>10.73298247727476</v>
      </c>
      <c r="AG27">
        <v>12.638888888888889</v>
      </c>
      <c r="AH27">
        <f>15.8595068883323*1</f>
        <v>15.8595068883323</v>
      </c>
      <c r="AI27">
        <f>0.648564152611607*1</f>
        <v>0.64856415261160705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100</v>
      </c>
      <c r="B28" t="s">
        <v>101</v>
      </c>
      <c r="C28" t="s">
        <v>101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95</v>
      </c>
      <c r="AF28">
        <v>11.66666666666667</v>
      </c>
      <c r="AG28">
        <v>13.289473684210529</v>
      </c>
      <c r="AH28">
        <f>17.0783327424723*1</f>
        <v>17.078332742472298</v>
      </c>
      <c r="AI28">
        <f>3.41566654849447*1</f>
        <v>3.4156665484944702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1</v>
      </c>
      <c r="AP28">
        <v>3</v>
      </c>
    </row>
    <row r="29" spans="1:42" x14ac:dyDescent="0.2">
      <c r="A29" t="s">
        <v>104</v>
      </c>
      <c r="B29" t="s">
        <v>105</v>
      </c>
      <c r="C29" t="s">
        <v>105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5.4</v>
      </c>
      <c r="AE29">
        <v>97</v>
      </c>
      <c r="AF29">
        <v>20.290131279125902</v>
      </c>
      <c r="AG29">
        <v>16.120689655172409</v>
      </c>
      <c r="AH29">
        <f>27.1969405812671*1</f>
        <v>27.1969405812671</v>
      </c>
      <c r="AI29">
        <f>6.58812968322173*1</f>
        <v>6.5881296832217302</v>
      </c>
      <c r="AJ29">
        <v>1</v>
      </c>
      <c r="AK29">
        <v>0</v>
      </c>
      <c r="AL29">
        <v>1</v>
      </c>
      <c r="AN29" t="s">
        <v>22</v>
      </c>
      <c r="AO29">
        <f>SUMPRODUCT(Table1[Selected],Table1[LUT])</f>
        <v>0</v>
      </c>
      <c r="AP29">
        <v>3</v>
      </c>
    </row>
    <row r="30" spans="1:42" x14ac:dyDescent="0.2">
      <c r="A30" t="s">
        <v>312</v>
      </c>
      <c r="B30" t="s">
        <v>313</v>
      </c>
      <c r="C30" t="s">
        <v>313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26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5.7</v>
      </c>
      <c r="AE30">
        <v>595</v>
      </c>
      <c r="AF30">
        <v>18.539151326490138</v>
      </c>
      <c r="AG30">
        <v>13.84375</v>
      </c>
      <c r="AH30">
        <f>28.0867035439707*1</f>
        <v>28.0867035439707</v>
      </c>
      <c r="AI30">
        <f>5.61734070879414*1</f>
        <v>5.6173407087941403</v>
      </c>
      <c r="AJ30">
        <v>1</v>
      </c>
      <c r="AK30">
        <v>0</v>
      </c>
      <c r="AL30">
        <v>1</v>
      </c>
      <c r="AN30" t="s">
        <v>23</v>
      </c>
      <c r="AO30">
        <f>SUMPRODUCT(Table1[Selected],Table1[MCI])</f>
        <v>0</v>
      </c>
      <c r="AP30">
        <v>3</v>
      </c>
    </row>
    <row r="31" spans="1:42" hidden="1" x14ac:dyDescent="0.2">
      <c r="A31" t="s">
        <v>106</v>
      </c>
      <c r="B31" t="s">
        <v>107</v>
      </c>
      <c r="C31" t="s">
        <v>107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4.4000000000000004</v>
      </c>
      <c r="AE31">
        <v>100</v>
      </c>
      <c r="AF31">
        <v>10.208333333333339</v>
      </c>
      <c r="AG31">
        <v>10.9792434392145</v>
      </c>
      <c r="AH31">
        <f>14.7110095987381*1</f>
        <v>14.7110095987381</v>
      </c>
      <c r="AI31">
        <f>2.94421429408152*1</f>
        <v>2.9442142940815201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108</v>
      </c>
      <c r="B32" t="s">
        <v>109</v>
      </c>
      <c r="C32" t="s">
        <v>109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101</v>
      </c>
      <c r="AF32">
        <v>13.55976208577213</v>
      </c>
      <c r="AG32">
        <v>10.45454545454545</v>
      </c>
      <c r="AH32">
        <f>18.0613200112374*1</f>
        <v>18.061320011237399</v>
      </c>
      <c r="AI32">
        <f>4.67332933328834*1</f>
        <v>4.6733293332883399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2</v>
      </c>
      <c r="AP32">
        <v>3</v>
      </c>
    </row>
    <row r="33" spans="1:42" hidden="1" x14ac:dyDescent="0.2">
      <c r="A33" t="s">
        <v>110</v>
      </c>
      <c r="B33" t="s">
        <v>111</v>
      </c>
      <c r="C33" t="s">
        <v>111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</v>
      </c>
      <c r="AE33">
        <v>114</v>
      </c>
      <c r="AF33">
        <v>12.1551724137931</v>
      </c>
      <c r="AG33">
        <v>12.72222222222222</v>
      </c>
      <c r="AH33">
        <f>13.7509106394667*1</f>
        <v>13.750910639466699</v>
      </c>
      <c r="AI33">
        <f>2.75018212789335*1</f>
        <v>2.7501821278933498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2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5.3</v>
      </c>
      <c r="AE34">
        <v>123</v>
      </c>
      <c r="AF34">
        <v>12.12621127923623</v>
      </c>
      <c r="AG34">
        <v>13.515625</v>
      </c>
      <c r="AH34">
        <f>14.2213681458087*1</f>
        <v>14.2213681458087</v>
      </c>
      <c r="AI34">
        <f>2.9253234535171*1</f>
        <v>2.9253234535171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1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5.4</v>
      </c>
      <c r="AE35">
        <v>124</v>
      </c>
      <c r="AF35">
        <v>17.30881631241974</v>
      </c>
      <c r="AG35">
        <v>13.77049180327869</v>
      </c>
      <c r="AH35">
        <f>16.9262112643568*1</f>
        <v>16.926211264356802</v>
      </c>
      <c r="AI35">
        <f>3.22146565711112*1</f>
        <v>3.22146565711112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2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6.8</v>
      </c>
      <c r="AE36">
        <v>126</v>
      </c>
      <c r="AF36">
        <v>20.17647058823529</v>
      </c>
      <c r="AG36">
        <v>16.866547901030881</v>
      </c>
      <c r="AH36">
        <f>20.2281396891516*1</f>
        <v>20.2281396891516</v>
      </c>
      <c r="AI36">
        <f>4.04564397261452*1</f>
        <v>4.0456439726145197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5.7</v>
      </c>
      <c r="AE37">
        <v>136</v>
      </c>
      <c r="AF37">
        <v>14.70042317300501</v>
      </c>
      <c r="AG37">
        <v>14.80769230769231</v>
      </c>
      <c r="AH37">
        <f>16.276876942098*1</f>
        <v>16.276876942097999</v>
      </c>
      <c r="AI37">
        <f>2.89487152890465*1</f>
        <v>2.89487152890465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3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0</v>
      </c>
      <c r="H38">
        <v>1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139</v>
      </c>
      <c r="AF38">
        <v>10.911112970477159</v>
      </c>
      <c r="AG38">
        <v>15.022321428571431</v>
      </c>
      <c r="AH38">
        <f>14.5441690665855*1</f>
        <v>14.5441690665855</v>
      </c>
      <c r="AI38">
        <f>2.9088338133171*1</f>
        <v>2.9088338133170999</v>
      </c>
      <c r="AJ38">
        <v>1</v>
      </c>
      <c r="AK38">
        <v>0</v>
      </c>
      <c r="AL38">
        <v>0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147</v>
      </c>
      <c r="AF39">
        <v>16.47058823529412</v>
      </c>
      <c r="AG39">
        <v>15.41666666666667</v>
      </c>
      <c r="AH39">
        <f>14.1848100945284*1</f>
        <v>14.1848100945284</v>
      </c>
      <c r="AI39">
        <f>2.83696201890568*1</f>
        <v>2.8369620189056799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126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6.4</v>
      </c>
      <c r="AE40">
        <v>158</v>
      </c>
      <c r="AF40">
        <v>17.607361963190179</v>
      </c>
      <c r="AG40">
        <v>15.930232558139529</v>
      </c>
      <c r="AH40">
        <f>14.3419847251133*1</f>
        <v>14.341984725113299</v>
      </c>
      <c r="AI40">
        <f>2.86839694502266*1</f>
        <v>2.8683969450226598</v>
      </c>
      <c r="AJ40">
        <v>1</v>
      </c>
      <c r="AK40">
        <v>0</v>
      </c>
      <c r="AL40">
        <v>0</v>
      </c>
    </row>
    <row r="41" spans="1:42" hidden="1" x14ac:dyDescent="0.2">
      <c r="A41" t="s">
        <v>127</v>
      </c>
      <c r="B41" t="s">
        <v>128</v>
      </c>
      <c r="C41" t="s">
        <v>127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5.4</v>
      </c>
      <c r="AE41">
        <v>159</v>
      </c>
      <c r="AF41">
        <v>22.440315351134469</v>
      </c>
      <c r="AG41">
        <v>13.012820512820509</v>
      </c>
      <c r="AH41">
        <f>7.39477808625392*1</f>
        <v>7.3947780862539201</v>
      </c>
      <c r="AI41">
        <f>2.07758425695714*1</f>
        <v>2.0775842569571399</v>
      </c>
      <c r="AJ41">
        <v>1</v>
      </c>
      <c r="AK41">
        <v>0</v>
      </c>
      <c r="AL41">
        <v>0</v>
      </c>
    </row>
    <row r="42" spans="1:42" hidden="1" x14ac:dyDescent="0.2">
      <c r="A42" t="s">
        <v>129</v>
      </c>
      <c r="B42" t="s">
        <v>130</v>
      </c>
      <c r="C42" t="s">
        <v>130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6.4</v>
      </c>
      <c r="AE42">
        <v>167</v>
      </c>
      <c r="AF42">
        <v>8.3245951047101592</v>
      </c>
      <c r="AG42">
        <v>21.206636343426471</v>
      </c>
      <c r="AH42">
        <f>0*0</f>
        <v>0</v>
      </c>
      <c r="AI42">
        <f>5.01842259882755*0</f>
        <v>0</v>
      </c>
      <c r="AJ42">
        <v>0</v>
      </c>
      <c r="AK42">
        <v>0</v>
      </c>
      <c r="AL42">
        <v>0</v>
      </c>
    </row>
    <row r="43" spans="1:42" hidden="1" x14ac:dyDescent="0.2">
      <c r="A43" t="s">
        <v>131</v>
      </c>
      <c r="B43" t="s">
        <v>132</v>
      </c>
      <c r="C43" t="s">
        <v>132</v>
      </c>
      <c r="D43" t="s">
        <v>3</v>
      </c>
      <c r="E43">
        <v>1</v>
      </c>
      <c r="F43">
        <v>0</v>
      </c>
      <c r="G43">
        <v>0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4.2</v>
      </c>
      <c r="AE43">
        <v>171</v>
      </c>
      <c r="AF43">
        <v>22.575557304381292</v>
      </c>
      <c r="AG43">
        <v>16.25</v>
      </c>
      <c r="AH43">
        <f>12.1553067755826*1</f>
        <v>12.1553067755826</v>
      </c>
      <c r="AI43">
        <f>0.395332470932561*1</f>
        <v>0.39533247093256102</v>
      </c>
      <c r="AJ43">
        <v>1</v>
      </c>
      <c r="AK43">
        <v>0</v>
      </c>
      <c r="AL43">
        <v>0</v>
      </c>
    </row>
    <row r="44" spans="1:42" hidden="1" x14ac:dyDescent="0.2">
      <c r="A44" t="s">
        <v>133</v>
      </c>
      <c r="B44" t="s">
        <v>134</v>
      </c>
      <c r="C44" t="s">
        <v>134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5.7</v>
      </c>
      <c r="AE44">
        <v>177</v>
      </c>
      <c r="AF44">
        <v>14.95483472447671</v>
      </c>
      <c r="AG44">
        <v>16.158754855464149</v>
      </c>
      <c r="AH44">
        <f>16.105523342157*1</f>
        <v>16.105523342156999</v>
      </c>
      <c r="AI44">
        <f>3.20717783395634*1</f>
        <v>3.2071778339563402</v>
      </c>
      <c r="AJ44">
        <v>1</v>
      </c>
      <c r="AK44">
        <v>0</v>
      </c>
      <c r="AL44">
        <v>0</v>
      </c>
    </row>
    <row r="45" spans="1:42" hidden="1" x14ac:dyDescent="0.2">
      <c r="A45" t="s">
        <v>135</v>
      </c>
      <c r="B45" t="s">
        <v>136</v>
      </c>
      <c r="C45" t="s">
        <v>136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</v>
      </c>
      <c r="AE45">
        <v>193</v>
      </c>
      <c r="AF45">
        <v>10.714285714285721</v>
      </c>
      <c r="AG45">
        <v>11.75</v>
      </c>
      <c r="AH45">
        <f>12.0212141492071*1</f>
        <v>12.021214149207101</v>
      </c>
      <c r="AI45">
        <f>2.40424282984143*1</f>
        <v>2.4042428298414298</v>
      </c>
      <c r="AJ45">
        <v>1</v>
      </c>
      <c r="AK45">
        <v>0</v>
      </c>
      <c r="AL45">
        <v>0</v>
      </c>
    </row>
    <row r="46" spans="1:42" hidden="1" x14ac:dyDescent="0.2">
      <c r="A46" t="s">
        <v>137</v>
      </c>
      <c r="B46" t="s">
        <v>138</v>
      </c>
      <c r="C46" t="s">
        <v>138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4.7</v>
      </c>
      <c r="AE46">
        <v>194</v>
      </c>
      <c r="AF46">
        <v>11.779761816412091</v>
      </c>
      <c r="AG46">
        <v>13.03571428571429</v>
      </c>
      <c r="AH46">
        <f>13.0567634297502*1</f>
        <v>13.0567634297502</v>
      </c>
      <c r="AI46">
        <f>2.50276119879843*1</f>
        <v>2.5027611987984302</v>
      </c>
      <c r="AJ46">
        <v>1</v>
      </c>
      <c r="AK46">
        <v>0</v>
      </c>
      <c r="AL46">
        <v>0</v>
      </c>
    </row>
    <row r="47" spans="1:42" hidden="1" x14ac:dyDescent="0.2">
      <c r="A47" t="s">
        <v>139</v>
      </c>
      <c r="B47" t="s">
        <v>140</v>
      </c>
      <c r="C47" t="s">
        <v>140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4.7</v>
      </c>
      <c r="AE47">
        <v>218</v>
      </c>
      <c r="AF47">
        <v>11.382978723404261</v>
      </c>
      <c r="AG47">
        <v>13.194444444444439</v>
      </c>
      <c r="AH47">
        <f>11.8016687253339*1</f>
        <v>11.801668725333901</v>
      </c>
      <c r="AI47">
        <f>2.36033374506678*1</f>
        <v>2.3603337450667801</v>
      </c>
      <c r="AJ47">
        <v>1</v>
      </c>
      <c r="AK47">
        <v>0</v>
      </c>
      <c r="AL47">
        <v>0</v>
      </c>
    </row>
    <row r="48" spans="1:42" hidden="1" x14ac:dyDescent="0.2">
      <c r="A48" t="s">
        <v>141</v>
      </c>
      <c r="B48" t="s">
        <v>142</v>
      </c>
      <c r="C48" t="s">
        <v>142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5.3</v>
      </c>
      <c r="AE48">
        <v>219</v>
      </c>
      <c r="AF48">
        <v>15</v>
      </c>
      <c r="AG48">
        <v>13.96992150594412</v>
      </c>
      <c r="AH48">
        <f>20.2120038802935*1</f>
        <v>20.212003880293501</v>
      </c>
      <c r="AI48">
        <f>3.93790098422831*1</f>
        <v>3.9379009842283099</v>
      </c>
      <c r="AJ48">
        <v>1</v>
      </c>
      <c r="AK48">
        <v>0</v>
      </c>
      <c r="AL48">
        <v>0</v>
      </c>
    </row>
    <row r="49" spans="1:38" hidden="1" x14ac:dyDescent="0.2">
      <c r="A49" t="s">
        <v>143</v>
      </c>
      <c r="B49" t="s">
        <v>144</v>
      </c>
      <c r="C49" t="s">
        <v>144</v>
      </c>
      <c r="D49" t="s">
        <v>3</v>
      </c>
      <c r="E49">
        <v>1</v>
      </c>
      <c r="F49">
        <v>0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4.5</v>
      </c>
      <c r="AE49">
        <v>220</v>
      </c>
      <c r="AF49">
        <v>13.604340775320111</v>
      </c>
      <c r="AG49">
        <v>11.96428571428571</v>
      </c>
      <c r="AH49">
        <f>19.293987697159*1</f>
        <v>19.293987697159</v>
      </c>
      <c r="AI49">
        <f>4.27636743160221*1</f>
        <v>4.2763674316022096</v>
      </c>
      <c r="AJ49">
        <v>1</v>
      </c>
      <c r="AK49">
        <v>0</v>
      </c>
      <c r="AL49">
        <v>0</v>
      </c>
    </row>
    <row r="50" spans="1:38" hidden="1" x14ac:dyDescent="0.2">
      <c r="A50" t="s">
        <v>145</v>
      </c>
      <c r="B50" t="s">
        <v>146</v>
      </c>
      <c r="C50" t="s">
        <v>146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222</v>
      </c>
      <c r="AF50">
        <v>13.928571428571431</v>
      </c>
      <c r="AG50">
        <v>12.25</v>
      </c>
      <c r="AH50">
        <f>19.7530404874142*1</f>
        <v>19.7530404874142</v>
      </c>
      <c r="AI50">
        <f>3.95060809748285*1</f>
        <v>3.9506080974828501</v>
      </c>
      <c r="AJ50">
        <v>1</v>
      </c>
      <c r="AK50">
        <v>0</v>
      </c>
      <c r="AL50">
        <v>0</v>
      </c>
    </row>
    <row r="51" spans="1:38" hidden="1" x14ac:dyDescent="0.2">
      <c r="A51" t="s">
        <v>147</v>
      </c>
      <c r="B51" t="s">
        <v>148</v>
      </c>
      <c r="C51" t="s">
        <v>149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4.5999999999999996</v>
      </c>
      <c r="AE51">
        <v>231</v>
      </c>
      <c r="AF51">
        <v>17.72727272727273</v>
      </c>
      <c r="AG51">
        <v>16.185897435897441</v>
      </c>
      <c r="AH51">
        <f>19.1651895277737*1</f>
        <v>19.165189527773698</v>
      </c>
      <c r="AI51">
        <f>3.83303790555474*1</f>
        <v>3.8330379055547401</v>
      </c>
      <c r="AJ51">
        <v>1</v>
      </c>
      <c r="AK51">
        <v>0</v>
      </c>
      <c r="AL51">
        <v>0</v>
      </c>
    </row>
    <row r="52" spans="1:38" hidden="1" x14ac:dyDescent="0.2">
      <c r="A52" t="s">
        <v>150</v>
      </c>
      <c r="B52" t="s">
        <v>151</v>
      </c>
      <c r="C52" t="s">
        <v>151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4.7</v>
      </c>
      <c r="AE52">
        <v>243</v>
      </c>
      <c r="AF52">
        <v>13.428571428571431</v>
      </c>
      <c r="AG52">
        <v>14.26551536873848</v>
      </c>
      <c r="AH52">
        <f>13.7301929690737*1</f>
        <v>13.7301929690737</v>
      </c>
      <c r="AI52">
        <f>2.75712594982476*1</f>
        <v>2.75712594982476</v>
      </c>
      <c r="AJ52">
        <v>1</v>
      </c>
      <c r="AK52">
        <v>0</v>
      </c>
      <c r="AL52">
        <v>0</v>
      </c>
    </row>
    <row r="53" spans="1:38" hidden="1" x14ac:dyDescent="0.2">
      <c r="A53" t="s">
        <v>152</v>
      </c>
      <c r="B53" t="s">
        <v>153</v>
      </c>
      <c r="C53" t="s">
        <v>152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245</v>
      </c>
      <c r="AF53">
        <v>12.87878787878787</v>
      </c>
      <c r="AG53">
        <v>12.7</v>
      </c>
      <c r="AH53">
        <f>13.5536914280271*1</f>
        <v>13.553691428027101</v>
      </c>
      <c r="AI53">
        <f>2.71073828560542*1</f>
        <v>2.7107382856054199</v>
      </c>
      <c r="AJ53">
        <v>1</v>
      </c>
      <c r="AK53">
        <v>0</v>
      </c>
      <c r="AL53">
        <v>0</v>
      </c>
    </row>
    <row r="54" spans="1:38" hidden="1" x14ac:dyDescent="0.2">
      <c r="A54" t="s">
        <v>154</v>
      </c>
      <c r="B54" t="s">
        <v>155</v>
      </c>
      <c r="C54" t="s">
        <v>155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6.3</v>
      </c>
      <c r="AE54">
        <v>253</v>
      </c>
      <c r="AF54">
        <v>12.83333333333333</v>
      </c>
      <c r="AG54">
        <v>13.369565217391299</v>
      </c>
      <c r="AH54">
        <f>13.2251622754134*1</f>
        <v>13.2251622754134</v>
      </c>
      <c r="AI54">
        <f>2.64503245508267*1</f>
        <v>2.6450324550826698</v>
      </c>
      <c r="AJ54">
        <v>1</v>
      </c>
      <c r="AK54">
        <v>0</v>
      </c>
      <c r="AL54">
        <v>0</v>
      </c>
    </row>
    <row r="55" spans="1:38" hidden="1" x14ac:dyDescent="0.2">
      <c r="A55" t="s">
        <v>156</v>
      </c>
      <c r="B55" t="s">
        <v>157</v>
      </c>
      <c r="C55" t="s">
        <v>158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6.9</v>
      </c>
      <c r="AE55">
        <v>254</v>
      </c>
      <c r="AF55">
        <v>17.368421052631579</v>
      </c>
      <c r="AG55">
        <v>18.212775116504261</v>
      </c>
      <c r="AH55">
        <f>17.8521058932572*1</f>
        <v>17.8521058932572</v>
      </c>
      <c r="AI55">
        <f>3.56986386177202*1</f>
        <v>3.5698638617720202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160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7.1</v>
      </c>
      <c r="AE56">
        <v>259</v>
      </c>
      <c r="AF56">
        <v>21.832984496580359</v>
      </c>
      <c r="AG56">
        <v>28.43071351122973</v>
      </c>
      <c r="AH56">
        <f>20.2657037754228*1</f>
        <v>20.2657037754228</v>
      </c>
      <c r="AI56">
        <f>4.05313908697067*1</f>
        <v>4.0531390869706696</v>
      </c>
      <c r="AJ56">
        <v>1</v>
      </c>
      <c r="AK56">
        <v>1</v>
      </c>
      <c r="AL56">
        <v>0</v>
      </c>
    </row>
    <row r="57" spans="1:38" hidden="1" x14ac:dyDescent="0.2">
      <c r="A57" t="s">
        <v>161</v>
      </c>
      <c r="B57" t="s">
        <v>162</v>
      </c>
      <c r="C57" t="s">
        <v>163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260</v>
      </c>
      <c r="AF57">
        <v>13.77366246201346</v>
      </c>
      <c r="AG57">
        <v>15.98002891938672</v>
      </c>
      <c r="AH57">
        <f>13.5534220796499*1</f>
        <v>13.5534220796499</v>
      </c>
      <c r="AI57">
        <f>3.1740860412608*1</f>
        <v>3.1740860412608001</v>
      </c>
      <c r="AJ57">
        <v>1</v>
      </c>
      <c r="AK57">
        <v>1</v>
      </c>
      <c r="AL57">
        <v>0</v>
      </c>
    </row>
    <row r="58" spans="1:38" x14ac:dyDescent="0.2">
      <c r="A58" t="s">
        <v>324</v>
      </c>
      <c r="B58" t="s">
        <v>325</v>
      </c>
      <c r="C58" t="s">
        <v>325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27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5</v>
      </c>
      <c r="AE58">
        <v>659</v>
      </c>
      <c r="AF58">
        <v>14.166666666666661</v>
      </c>
      <c r="AG58">
        <v>14.42307692307692</v>
      </c>
      <c r="AH58">
        <f>26.7630442007371*1</f>
        <v>26.763044200737099</v>
      </c>
      <c r="AI58">
        <f>5.35260884014743*1</f>
        <v>5.3526088401474299</v>
      </c>
      <c r="AJ58">
        <v>1</v>
      </c>
      <c r="AK58">
        <v>0</v>
      </c>
      <c r="AL58">
        <v>1</v>
      </c>
    </row>
    <row r="59" spans="1:38" hidden="1" x14ac:dyDescent="0.2">
      <c r="A59" t="s">
        <v>166</v>
      </c>
      <c r="B59" t="s">
        <v>167</v>
      </c>
      <c r="C59" t="s">
        <v>167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4.9000000000000004</v>
      </c>
      <c r="AE59">
        <v>265</v>
      </c>
      <c r="AF59">
        <v>12.71377787319217</v>
      </c>
      <c r="AG59">
        <v>14.61538461538461</v>
      </c>
      <c r="AH59">
        <f>12.5635202476751*1</f>
        <v>12.5635202476751</v>
      </c>
      <c r="AI59">
        <f>3.25292107801185*1</f>
        <v>3.25292107801185</v>
      </c>
      <c r="AJ59">
        <v>1</v>
      </c>
      <c r="AK59">
        <v>0</v>
      </c>
      <c r="AL59">
        <v>0</v>
      </c>
    </row>
    <row r="60" spans="1:38" hidden="1" x14ac:dyDescent="0.2">
      <c r="A60" t="s">
        <v>135</v>
      </c>
      <c r="B60" t="s">
        <v>168</v>
      </c>
      <c r="C60" t="s">
        <v>169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5.4</v>
      </c>
      <c r="AE60">
        <v>283</v>
      </c>
      <c r="AF60">
        <v>13.87283236994222</v>
      </c>
      <c r="AG60">
        <v>14.23357664233577</v>
      </c>
      <c r="AH60">
        <f>13.6895459864663*1</f>
        <v>13.6895459864663</v>
      </c>
      <c r="AI60">
        <f>2.73790919729327*1</f>
        <v>2.7379091972932699</v>
      </c>
      <c r="AJ60">
        <v>1</v>
      </c>
      <c r="AK60">
        <v>0</v>
      </c>
      <c r="AL60">
        <v>0</v>
      </c>
    </row>
    <row r="61" spans="1:38" hidden="1" x14ac:dyDescent="0.2">
      <c r="A61" t="s">
        <v>170</v>
      </c>
      <c r="B61" t="s">
        <v>171</v>
      </c>
      <c r="C61" t="s">
        <v>171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5.4</v>
      </c>
      <c r="AE61">
        <v>287</v>
      </c>
      <c r="AF61">
        <v>14.868421052631581</v>
      </c>
      <c r="AG61">
        <v>13.95833333333333</v>
      </c>
      <c r="AH61">
        <f>13.7233500154096*1</f>
        <v>13.723350015409601</v>
      </c>
      <c r="AI61">
        <f>2.74467000308192*1</f>
        <v>2.7446700030819202</v>
      </c>
      <c r="AJ61">
        <v>1</v>
      </c>
      <c r="AK61">
        <v>0</v>
      </c>
      <c r="AL61">
        <v>0</v>
      </c>
    </row>
    <row r="62" spans="1:38" hidden="1" x14ac:dyDescent="0.2">
      <c r="A62" t="s">
        <v>172</v>
      </c>
      <c r="B62" t="s">
        <v>173</v>
      </c>
      <c r="C62" t="s">
        <v>173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288</v>
      </c>
      <c r="AF62">
        <v>18.24468085106383</v>
      </c>
      <c r="AG62">
        <v>16.047297297297298</v>
      </c>
      <c r="AH62">
        <f>16.049039530585*1</f>
        <v>16.049039530584999</v>
      </c>
      <c r="AI62">
        <f>3.20980790611701*1</f>
        <v>3.2098079061170099</v>
      </c>
      <c r="AJ62">
        <v>1</v>
      </c>
      <c r="AK62">
        <v>0</v>
      </c>
      <c r="AL62">
        <v>0</v>
      </c>
    </row>
    <row r="63" spans="1:38" hidden="1" x14ac:dyDescent="0.2">
      <c r="A63" t="s">
        <v>174</v>
      </c>
      <c r="B63" t="s">
        <v>175</v>
      </c>
      <c r="C63" t="s">
        <v>175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</v>
      </c>
      <c r="AE63">
        <v>290</v>
      </c>
      <c r="AF63">
        <v>14.82954545454545</v>
      </c>
      <c r="AG63">
        <v>14.563458182049031</v>
      </c>
      <c r="AH63">
        <f>14.1568534779671*1</f>
        <v>14.1568534779671</v>
      </c>
      <c r="AI63">
        <f>2.7998210700423*1</f>
        <v>2.7998210700423001</v>
      </c>
      <c r="AJ63">
        <v>1</v>
      </c>
      <c r="AK63">
        <v>0</v>
      </c>
      <c r="AL63">
        <v>0</v>
      </c>
    </row>
    <row r="64" spans="1:38" hidden="1" x14ac:dyDescent="0.2">
      <c r="A64" t="s">
        <v>176</v>
      </c>
      <c r="B64" t="s">
        <v>177</v>
      </c>
      <c r="C64" t="s">
        <v>178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</v>
      </c>
      <c r="AE64">
        <v>293</v>
      </c>
      <c r="AF64">
        <v>13.33333333333333</v>
      </c>
      <c r="AG64">
        <v>14.0625</v>
      </c>
      <c r="AH64">
        <f>13.4369614084833*1</f>
        <v>13.436961408483301</v>
      </c>
      <c r="AI64">
        <f>2.68739228169666*1</f>
        <v>2.6873922816966598</v>
      </c>
      <c r="AJ64">
        <v>1</v>
      </c>
      <c r="AK64">
        <v>0</v>
      </c>
      <c r="AL64">
        <v>0</v>
      </c>
    </row>
    <row r="65" spans="1:38" hidden="1" x14ac:dyDescent="0.2">
      <c r="A65" t="s">
        <v>179</v>
      </c>
      <c r="B65" t="s">
        <v>180</v>
      </c>
      <c r="C65" t="s">
        <v>180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4.9000000000000004</v>
      </c>
      <c r="AE65">
        <v>294</v>
      </c>
      <c r="AF65">
        <v>11.18055555555555</v>
      </c>
      <c r="AG65">
        <v>12.053571428571431</v>
      </c>
      <c r="AH65">
        <f>11.4588133028121*1</f>
        <v>11.4588133028121</v>
      </c>
      <c r="AI65">
        <f>2.29176266056242*1</f>
        <v>2.2917626605624202</v>
      </c>
      <c r="AJ65">
        <v>1</v>
      </c>
      <c r="AK65">
        <v>0</v>
      </c>
      <c r="AL65">
        <v>0</v>
      </c>
    </row>
    <row r="66" spans="1:38" hidden="1" x14ac:dyDescent="0.2">
      <c r="A66" t="s">
        <v>181</v>
      </c>
      <c r="B66" t="s">
        <v>182</v>
      </c>
      <c r="C66" t="s">
        <v>182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4.9000000000000004</v>
      </c>
      <c r="AE66">
        <v>302</v>
      </c>
      <c r="AF66">
        <v>13.355263157894729</v>
      </c>
      <c r="AG66">
        <v>13.97916666666667</v>
      </c>
      <c r="AH66">
        <f>13.3811778533906*1</f>
        <v>13.3811778533906</v>
      </c>
      <c r="AI66">
        <f>2.67623557067812*1</f>
        <v>2.67623557067812</v>
      </c>
      <c r="AJ66">
        <v>1</v>
      </c>
      <c r="AK66">
        <v>0</v>
      </c>
      <c r="AL66">
        <v>0</v>
      </c>
    </row>
    <row r="67" spans="1:38" hidden="1" x14ac:dyDescent="0.2">
      <c r="A67" t="s">
        <v>183</v>
      </c>
      <c r="B67" t="s">
        <v>184</v>
      </c>
      <c r="C67" t="s">
        <v>184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4.0999999999999996</v>
      </c>
      <c r="AE67">
        <v>315</v>
      </c>
      <c r="AF67">
        <v>10.689655829696241</v>
      </c>
      <c r="AG67">
        <v>12</v>
      </c>
      <c r="AH67">
        <f>14.5033569687588*1</f>
        <v>14.5033569687588</v>
      </c>
      <c r="AI67">
        <f>2.95574934122475*1</f>
        <v>2.9557493412247502</v>
      </c>
      <c r="AJ67">
        <v>1</v>
      </c>
      <c r="AK67">
        <v>0</v>
      </c>
      <c r="AL67">
        <v>0</v>
      </c>
    </row>
    <row r="68" spans="1:38" hidden="1" x14ac:dyDescent="0.2">
      <c r="A68" t="s">
        <v>102</v>
      </c>
      <c r="B68" t="s">
        <v>185</v>
      </c>
      <c r="C68" t="s">
        <v>185</v>
      </c>
      <c r="D68" t="s">
        <v>6</v>
      </c>
      <c r="E68">
        <v>0</v>
      </c>
      <c r="F68">
        <v>0</v>
      </c>
      <c r="G68">
        <v>0</v>
      </c>
      <c r="H68">
        <v>1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5.8</v>
      </c>
      <c r="AE68">
        <v>316</v>
      </c>
      <c r="AF68">
        <v>16.92822295916179</v>
      </c>
      <c r="AG68">
        <v>16.35593220338983</v>
      </c>
      <c r="AH68">
        <f>19.4449325511042*1</f>
        <v>19.444932551104198</v>
      </c>
      <c r="AI68">
        <f>3.90758965590567*1</f>
        <v>3.90758965590567</v>
      </c>
      <c r="AJ68">
        <v>1</v>
      </c>
      <c r="AK68">
        <v>0</v>
      </c>
      <c r="AL68">
        <v>0</v>
      </c>
    </row>
    <row r="69" spans="1:38" hidden="1" x14ac:dyDescent="0.2">
      <c r="A69" t="s">
        <v>186</v>
      </c>
      <c r="B69" t="s">
        <v>187</v>
      </c>
      <c r="C69" t="s">
        <v>188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5.5</v>
      </c>
      <c r="AE69">
        <v>319</v>
      </c>
      <c r="AF69">
        <v>16.158536585365859</v>
      </c>
      <c r="AG69">
        <v>14.73076923076923</v>
      </c>
      <c r="AH69">
        <f>17.3878578786673*1</f>
        <v>17.387857878667301</v>
      </c>
      <c r="AI69">
        <f>3.47757157573347*1</f>
        <v>3.47757157573347</v>
      </c>
      <c r="AJ69">
        <v>1</v>
      </c>
      <c r="AK69">
        <v>0</v>
      </c>
      <c r="AL69">
        <v>0</v>
      </c>
    </row>
    <row r="70" spans="1:38" hidden="1" x14ac:dyDescent="0.2">
      <c r="A70" t="s">
        <v>143</v>
      </c>
      <c r="B70" t="s">
        <v>189</v>
      </c>
      <c r="C70" t="s">
        <v>189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4.9000000000000004</v>
      </c>
      <c r="AE70">
        <v>320</v>
      </c>
      <c r="AF70">
        <v>10.059061558589731</v>
      </c>
      <c r="AG70">
        <v>12.142857142857141</v>
      </c>
      <c r="AH70">
        <f>14.779834118442*1</f>
        <v>14.779834118442</v>
      </c>
      <c r="AI70">
        <f>2.95634322831849*1</f>
        <v>2.9563432283184898</v>
      </c>
      <c r="AJ70">
        <v>1</v>
      </c>
      <c r="AK70">
        <v>0</v>
      </c>
      <c r="AL70">
        <v>0</v>
      </c>
    </row>
    <row r="71" spans="1:38" hidden="1" x14ac:dyDescent="0.2">
      <c r="A71" t="s">
        <v>190</v>
      </c>
      <c r="B71" t="s">
        <v>191</v>
      </c>
      <c r="C71" t="s">
        <v>191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5.4</v>
      </c>
      <c r="AE71">
        <v>327</v>
      </c>
      <c r="AF71">
        <v>15.880681818181831</v>
      </c>
      <c r="AG71">
        <v>14.571428571428569</v>
      </c>
      <c r="AH71">
        <f>17.2138954423293*1</f>
        <v>17.213895442329299</v>
      </c>
      <c r="AI71">
        <f>3.44277908846587*1</f>
        <v>3.44277908846587</v>
      </c>
      <c r="AJ71">
        <v>1</v>
      </c>
      <c r="AK71">
        <v>0</v>
      </c>
      <c r="AL71">
        <v>0</v>
      </c>
    </row>
    <row r="72" spans="1:38" hidden="1" x14ac:dyDescent="0.2">
      <c r="A72" t="s">
        <v>192</v>
      </c>
      <c r="B72" t="s">
        <v>193</v>
      </c>
      <c r="C72" t="s">
        <v>193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4.5999999999999996</v>
      </c>
      <c r="AE72">
        <v>328</v>
      </c>
      <c r="AF72">
        <v>14.24217432915659</v>
      </c>
      <c r="AG72">
        <v>13.44444444444445</v>
      </c>
      <c r="AH72">
        <f>15.9387394392852*1</f>
        <v>15.9387394392852</v>
      </c>
      <c r="AI72">
        <f>3.23456706278601*1</f>
        <v>3.2345670627860099</v>
      </c>
      <c r="AJ72">
        <v>1</v>
      </c>
      <c r="AK72">
        <v>1</v>
      </c>
      <c r="AL72">
        <v>0</v>
      </c>
    </row>
    <row r="73" spans="1:38" hidden="1" x14ac:dyDescent="0.2">
      <c r="A73" t="s">
        <v>194</v>
      </c>
      <c r="B73" t="s">
        <v>195</v>
      </c>
      <c r="C73" t="s">
        <v>195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4.7</v>
      </c>
      <c r="AE73">
        <v>329</v>
      </c>
      <c r="AF73">
        <v>12.081300901557221</v>
      </c>
      <c r="AG73">
        <v>13.108108108108111</v>
      </c>
      <c r="AH73">
        <f>15.7872133798349*1</f>
        <v>15.787213379834901</v>
      </c>
      <c r="AI73">
        <f>3.14428786917215*1</f>
        <v>3.1442878691721501</v>
      </c>
      <c r="AJ73">
        <v>1</v>
      </c>
      <c r="AK73">
        <v>0</v>
      </c>
      <c r="AL73">
        <v>0</v>
      </c>
    </row>
    <row r="74" spans="1:38" hidden="1" x14ac:dyDescent="0.2">
      <c r="A74" t="s">
        <v>135</v>
      </c>
      <c r="B74" t="s">
        <v>196</v>
      </c>
      <c r="C74" t="s">
        <v>196</v>
      </c>
      <c r="D74" t="s">
        <v>3</v>
      </c>
      <c r="E74">
        <v>1</v>
      </c>
      <c r="F74">
        <v>0</v>
      </c>
      <c r="G74">
        <v>0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</v>
      </c>
      <c r="AE74">
        <v>331</v>
      </c>
      <c r="AF74">
        <v>17.578125</v>
      </c>
      <c r="AG74">
        <v>17.73281625143678</v>
      </c>
      <c r="AH74">
        <f>21.1880455186114*1</f>
        <v>21.1880455186114</v>
      </c>
      <c r="AI74">
        <f>4.1439055100604*1</f>
        <v>4.1439055100604003</v>
      </c>
      <c r="AJ74">
        <v>1</v>
      </c>
      <c r="AK74">
        <v>0</v>
      </c>
      <c r="AL74">
        <v>0</v>
      </c>
    </row>
    <row r="75" spans="1:38" hidden="1" x14ac:dyDescent="0.2">
      <c r="A75" t="s">
        <v>143</v>
      </c>
      <c r="B75" t="s">
        <v>197</v>
      </c>
      <c r="C75" t="s">
        <v>197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333</v>
      </c>
      <c r="AF75">
        <v>16.402770923935371</v>
      </c>
      <c r="AG75">
        <v>14.72402597402597</v>
      </c>
      <c r="AH75">
        <f>17.3454273457113*1</f>
        <v>17.3454273457113</v>
      </c>
      <c r="AI75">
        <f>3.42123255475915*1</f>
        <v>3.42123255475915</v>
      </c>
      <c r="AJ75">
        <v>1</v>
      </c>
      <c r="AK75">
        <v>0</v>
      </c>
      <c r="AL75">
        <v>0</v>
      </c>
    </row>
    <row r="76" spans="1:38" hidden="1" x14ac:dyDescent="0.2">
      <c r="A76" t="s">
        <v>198</v>
      </c>
      <c r="B76" t="s">
        <v>199</v>
      </c>
      <c r="C76" t="s">
        <v>199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5.5</v>
      </c>
      <c r="AE76">
        <v>342</v>
      </c>
      <c r="AF76">
        <v>19.739130434782599</v>
      </c>
      <c r="AG76">
        <v>17.0054945054945</v>
      </c>
      <c r="AH76">
        <f>19.924202835615*1</f>
        <v>19.924202835614999</v>
      </c>
      <c r="AI76">
        <f>3.98484056712301*1</f>
        <v>3.98484056712301</v>
      </c>
      <c r="AJ76">
        <v>1</v>
      </c>
      <c r="AK76">
        <v>0</v>
      </c>
      <c r="AL76">
        <v>0</v>
      </c>
    </row>
    <row r="77" spans="1:38" hidden="1" x14ac:dyDescent="0.2">
      <c r="A77" t="s">
        <v>200</v>
      </c>
      <c r="B77" t="s">
        <v>201</v>
      </c>
      <c r="C77" t="s">
        <v>201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5.3</v>
      </c>
      <c r="AE77">
        <v>347</v>
      </c>
      <c r="AF77">
        <v>13.690476190476179</v>
      </c>
      <c r="AG77">
        <v>13.928571428571431</v>
      </c>
      <c r="AH77">
        <f>15.4832828674523*1</f>
        <v>15.483282867452299</v>
      </c>
      <c r="AI77">
        <f>3.09665657349047*1</f>
        <v>3.0966565734904701</v>
      </c>
      <c r="AJ77">
        <v>1</v>
      </c>
      <c r="AK77">
        <v>0</v>
      </c>
      <c r="AL77">
        <v>0</v>
      </c>
    </row>
    <row r="78" spans="1:38" hidden="1" x14ac:dyDescent="0.2">
      <c r="A78" t="s">
        <v>202</v>
      </c>
      <c r="B78" t="s">
        <v>203</v>
      </c>
      <c r="C78" t="s">
        <v>202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5.3</v>
      </c>
      <c r="AE78">
        <v>348</v>
      </c>
      <c r="AF78">
        <v>17.98076923076923</v>
      </c>
      <c r="AG78">
        <v>18.63865375761398</v>
      </c>
      <c r="AH78">
        <f>20.7609767398487*1</f>
        <v>20.760976739848701</v>
      </c>
      <c r="AI78">
        <f>4.15219528681032*1</f>
        <v>4.1521952868103202</v>
      </c>
      <c r="AJ78">
        <v>1</v>
      </c>
      <c r="AK78">
        <v>0</v>
      </c>
      <c r="AL78">
        <v>0</v>
      </c>
    </row>
    <row r="79" spans="1:38" hidden="1" x14ac:dyDescent="0.2">
      <c r="A79" t="s">
        <v>204</v>
      </c>
      <c r="B79" t="s">
        <v>205</v>
      </c>
      <c r="C79" t="s">
        <v>205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4.9000000000000004</v>
      </c>
      <c r="AE79">
        <v>349</v>
      </c>
      <c r="AF79">
        <v>11.9643744243602</v>
      </c>
      <c r="AG79">
        <v>12.392857142857141</v>
      </c>
      <c r="AH79">
        <f>13.8028875882894*1</f>
        <v>13.8028875882894</v>
      </c>
      <c r="AI79">
        <f>2.69273635757061*1</f>
        <v>2.69273635757061</v>
      </c>
      <c r="AJ79">
        <v>1</v>
      </c>
      <c r="AK79">
        <v>0</v>
      </c>
      <c r="AL79">
        <v>0</v>
      </c>
    </row>
    <row r="80" spans="1:38" hidden="1" x14ac:dyDescent="0.2">
      <c r="A80" t="s">
        <v>206</v>
      </c>
      <c r="B80" t="s">
        <v>207</v>
      </c>
      <c r="C80" t="s">
        <v>207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351</v>
      </c>
      <c r="AF80">
        <v>13.26923076923077</v>
      </c>
      <c r="AG80">
        <v>13.1875</v>
      </c>
      <c r="AH80">
        <f>14.6215857406197*1</f>
        <v>14.6215857406197</v>
      </c>
      <c r="AI80">
        <f>2.92431714812394*1</f>
        <v>2.9243171481239401</v>
      </c>
      <c r="AJ80">
        <v>1</v>
      </c>
      <c r="AK80">
        <v>0</v>
      </c>
      <c r="AL80">
        <v>0</v>
      </c>
    </row>
    <row r="81" spans="1:38" hidden="1" x14ac:dyDescent="0.2">
      <c r="A81" t="s">
        <v>208</v>
      </c>
      <c r="B81" t="s">
        <v>209</v>
      </c>
      <c r="C81" t="s">
        <v>209</v>
      </c>
      <c r="D81" t="s">
        <v>3</v>
      </c>
      <c r="E81">
        <v>1</v>
      </c>
      <c r="F81">
        <v>0</v>
      </c>
      <c r="G81">
        <v>0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4.8</v>
      </c>
      <c r="AE81">
        <v>356</v>
      </c>
      <c r="AF81">
        <v>18.157894736842099</v>
      </c>
      <c r="AG81">
        <v>16.583333333333339</v>
      </c>
      <c r="AH81">
        <f>18.2050655518171*1</f>
        <v>18.2050655518171</v>
      </c>
      <c r="AI81">
        <f>3.64101311036342*1</f>
        <v>3.6410131103634198</v>
      </c>
      <c r="AJ81">
        <v>1</v>
      </c>
      <c r="AK81">
        <v>0</v>
      </c>
      <c r="AL81">
        <v>0</v>
      </c>
    </row>
    <row r="82" spans="1:38" hidden="1" x14ac:dyDescent="0.2">
      <c r="A82" t="s">
        <v>210</v>
      </c>
      <c r="B82" t="s">
        <v>211</v>
      </c>
      <c r="C82" t="s">
        <v>212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361</v>
      </c>
      <c r="AF82">
        <v>13.237079106419721</v>
      </c>
      <c r="AG82">
        <v>13.012820512820509</v>
      </c>
      <c r="AH82">
        <f>14.4101873005077*1</f>
        <v>14.410187300507699</v>
      </c>
      <c r="AI82">
        <f>2.83335289955844*1</f>
        <v>2.8333528995584398</v>
      </c>
      <c r="AJ82">
        <v>1</v>
      </c>
      <c r="AK82">
        <v>0</v>
      </c>
      <c r="AL82">
        <v>0</v>
      </c>
    </row>
    <row r="83" spans="1:38" hidden="1" x14ac:dyDescent="0.2">
      <c r="A83" t="s">
        <v>213</v>
      </c>
      <c r="B83" t="s">
        <v>214</v>
      </c>
      <c r="C83" t="s">
        <v>214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4.4000000000000004</v>
      </c>
      <c r="AE83">
        <v>364</v>
      </c>
      <c r="AF83">
        <v>11.835443037974679</v>
      </c>
      <c r="AG83">
        <v>13.34677419354839</v>
      </c>
      <c r="AH83">
        <f>14.9949055299897*1</f>
        <v>14.994905529989699</v>
      </c>
      <c r="AI83">
        <f>2.99898110599794*1</f>
        <v>2.9989811059979399</v>
      </c>
      <c r="AJ83">
        <v>1</v>
      </c>
      <c r="AK83">
        <v>0</v>
      </c>
      <c r="AL83">
        <v>0</v>
      </c>
    </row>
    <row r="84" spans="1:38" hidden="1" x14ac:dyDescent="0.2">
      <c r="A84" t="s">
        <v>215</v>
      </c>
      <c r="B84" t="s">
        <v>216</v>
      </c>
      <c r="C84" t="s">
        <v>216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5.3</v>
      </c>
      <c r="AE84">
        <v>369</v>
      </c>
      <c r="AF84">
        <v>13.141025641025641</v>
      </c>
      <c r="AG84">
        <v>13.688524590163929</v>
      </c>
      <c r="AH84">
        <f>15.2551325427451*1</f>
        <v>15.2551325427451</v>
      </c>
      <c r="AI84">
        <f>3.05102650854903*1</f>
        <v>3.0510265085490298</v>
      </c>
      <c r="AJ84">
        <v>1</v>
      </c>
      <c r="AK84">
        <v>0</v>
      </c>
      <c r="AL84">
        <v>0</v>
      </c>
    </row>
    <row r="85" spans="1:38" hidden="1" x14ac:dyDescent="0.2">
      <c r="A85" t="s">
        <v>217</v>
      </c>
      <c r="B85" t="s">
        <v>218</v>
      </c>
      <c r="C85" t="s">
        <v>217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5.2</v>
      </c>
      <c r="AE85">
        <v>370</v>
      </c>
      <c r="AF85">
        <v>18.248413822508681</v>
      </c>
      <c r="AG85">
        <v>20.505953507141541</v>
      </c>
      <c r="AH85">
        <f>23.0301828404327*1</f>
        <v>23.030182840432701</v>
      </c>
      <c r="AI85">
        <f>4.42523429696197*1</f>
        <v>4.4252342969619702</v>
      </c>
      <c r="AJ85">
        <v>1</v>
      </c>
      <c r="AK85">
        <v>0</v>
      </c>
      <c r="AL85">
        <v>0</v>
      </c>
    </row>
    <row r="86" spans="1:38" hidden="1" x14ac:dyDescent="0.2">
      <c r="A86" t="s">
        <v>219</v>
      </c>
      <c r="B86" t="s">
        <v>220</v>
      </c>
      <c r="C86" t="s">
        <v>219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5.3</v>
      </c>
      <c r="AE86">
        <v>371</v>
      </c>
      <c r="AF86">
        <v>21.052222467147569</v>
      </c>
      <c r="AG86">
        <v>16.328125</v>
      </c>
      <c r="AH86">
        <f>17.5332178215376*1</f>
        <v>17.533217821537601</v>
      </c>
      <c r="AI86">
        <f>3.46495096499734*1</f>
        <v>3.4649509649973398</v>
      </c>
      <c r="AJ86">
        <v>1</v>
      </c>
      <c r="AK86">
        <v>0</v>
      </c>
      <c r="AL86">
        <v>0</v>
      </c>
    </row>
    <row r="87" spans="1:38" hidden="1" x14ac:dyDescent="0.2">
      <c r="A87" t="s">
        <v>221</v>
      </c>
      <c r="B87" t="s">
        <v>222</v>
      </c>
      <c r="C87" t="s">
        <v>222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4.5</v>
      </c>
      <c r="AE87">
        <v>378</v>
      </c>
      <c r="AF87">
        <v>15.145121731904579</v>
      </c>
      <c r="AG87">
        <v>15.28125</v>
      </c>
      <c r="AH87">
        <f>16.9715102384082*1</f>
        <v>16.9715102384082</v>
      </c>
      <c r="AI87">
        <f>3.41130435628222*1</f>
        <v>3.4113043562822201</v>
      </c>
      <c r="AJ87">
        <v>1</v>
      </c>
      <c r="AK87">
        <v>0</v>
      </c>
      <c r="AL87">
        <v>0</v>
      </c>
    </row>
    <row r="88" spans="1:38" hidden="1" x14ac:dyDescent="0.2">
      <c r="A88" t="s">
        <v>223</v>
      </c>
      <c r="B88" t="s">
        <v>224</v>
      </c>
      <c r="C88" t="s">
        <v>224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8.5</v>
      </c>
      <c r="AE88">
        <v>383</v>
      </c>
      <c r="AF88">
        <v>25.874218961825679</v>
      </c>
      <c r="AG88">
        <v>21.730106253993689</v>
      </c>
      <c r="AH88">
        <f>0*0</f>
        <v>0</v>
      </c>
      <c r="AI88">
        <f>4.46001258234158*0</f>
        <v>0</v>
      </c>
      <c r="AJ88">
        <v>0</v>
      </c>
      <c r="AK88">
        <v>1</v>
      </c>
      <c r="AL88">
        <v>0</v>
      </c>
    </row>
    <row r="89" spans="1:38" hidden="1" x14ac:dyDescent="0.2">
      <c r="A89" t="s">
        <v>225</v>
      </c>
      <c r="B89" t="s">
        <v>226</v>
      </c>
      <c r="C89" t="s">
        <v>227</v>
      </c>
      <c r="D89" t="s">
        <v>3</v>
      </c>
      <c r="E89">
        <v>1</v>
      </c>
      <c r="F89">
        <v>0</v>
      </c>
      <c r="G89">
        <v>0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5.7</v>
      </c>
      <c r="AE89">
        <v>384</v>
      </c>
      <c r="AF89">
        <v>21.652664402691261</v>
      </c>
      <c r="AG89">
        <v>19.84539787495364</v>
      </c>
      <c r="AH89">
        <f>21.0056042677695*1</f>
        <v>21.005604267769499</v>
      </c>
      <c r="AI89">
        <f>4.00393031635678*1</f>
        <v>4.0039303163567803</v>
      </c>
      <c r="AJ89">
        <v>1</v>
      </c>
      <c r="AK89">
        <v>0</v>
      </c>
      <c r="AL89">
        <v>0</v>
      </c>
    </row>
    <row r="90" spans="1:38" hidden="1" x14ac:dyDescent="0.2">
      <c r="A90" t="s">
        <v>228</v>
      </c>
      <c r="B90" t="s">
        <v>229</v>
      </c>
      <c r="C90" t="s">
        <v>228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7.4</v>
      </c>
      <c r="AE90">
        <v>386</v>
      </c>
      <c r="AF90">
        <v>19.021739130434781</v>
      </c>
      <c r="AG90">
        <v>18.53589668803593</v>
      </c>
      <c r="AH90">
        <f>18.9034761966443*1</f>
        <v>18.903476196644299</v>
      </c>
      <c r="AI90">
        <f>3.77907666987671*1</f>
        <v>3.77907666987671</v>
      </c>
      <c r="AJ90">
        <v>1</v>
      </c>
      <c r="AK90">
        <v>0</v>
      </c>
      <c r="AL90">
        <v>0</v>
      </c>
    </row>
    <row r="91" spans="1:38" hidden="1" x14ac:dyDescent="0.2">
      <c r="A91" t="s">
        <v>230</v>
      </c>
      <c r="B91" t="s">
        <v>231</v>
      </c>
      <c r="C91" t="s">
        <v>232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7.7</v>
      </c>
      <c r="AE91">
        <v>387</v>
      </c>
      <c r="AF91">
        <v>19.090909090909079</v>
      </c>
      <c r="AG91">
        <v>18.196143706657161</v>
      </c>
      <c r="AH91">
        <f>18.805864037221*1</f>
        <v>18.805864037220999</v>
      </c>
      <c r="AI91">
        <f>3.76117280701863*1</f>
        <v>3.7611728070186299</v>
      </c>
      <c r="AJ91">
        <v>1</v>
      </c>
      <c r="AK91">
        <v>0</v>
      </c>
      <c r="AL91">
        <v>0</v>
      </c>
    </row>
    <row r="92" spans="1:38" hidden="1" x14ac:dyDescent="0.2">
      <c r="A92" t="s">
        <v>233</v>
      </c>
      <c r="B92" t="s">
        <v>234</v>
      </c>
      <c r="C92" t="s">
        <v>234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7.2</v>
      </c>
      <c r="AE92">
        <v>390</v>
      </c>
      <c r="AF92">
        <v>16.527777777777779</v>
      </c>
      <c r="AG92">
        <v>15.80531415446535</v>
      </c>
      <c r="AH92">
        <f>16.3023182901876*1</f>
        <v>16.3023182901876</v>
      </c>
      <c r="AI92">
        <f>3.26086245196042*1</f>
        <v>3.2608624519604201</v>
      </c>
      <c r="AJ92">
        <v>1</v>
      </c>
      <c r="AK92">
        <v>0</v>
      </c>
      <c r="AL92">
        <v>0</v>
      </c>
    </row>
    <row r="93" spans="1:38" hidden="1" x14ac:dyDescent="0.2">
      <c r="A93" t="s">
        <v>235</v>
      </c>
      <c r="B93" t="s">
        <v>236</v>
      </c>
      <c r="C93" t="s">
        <v>236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4.9000000000000004</v>
      </c>
      <c r="AE93">
        <v>393</v>
      </c>
      <c r="AF93">
        <v>11.249999999999989</v>
      </c>
      <c r="AG93">
        <v>12.455357142857141</v>
      </c>
      <c r="AH93">
        <f>11.7899285494821*1</f>
        <v>11.7899285494821</v>
      </c>
      <c r="AI93">
        <f>2.35798570989642*1</f>
        <v>2.3579857098964201</v>
      </c>
      <c r="AJ93">
        <v>1</v>
      </c>
      <c r="AK93">
        <v>0</v>
      </c>
      <c r="AL93">
        <v>0</v>
      </c>
    </row>
    <row r="94" spans="1:38" hidden="1" x14ac:dyDescent="0.2">
      <c r="A94" t="s">
        <v>237</v>
      </c>
      <c r="B94" t="s">
        <v>238</v>
      </c>
      <c r="C94" t="s">
        <v>238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4.9000000000000004</v>
      </c>
      <c r="AE94">
        <v>395</v>
      </c>
      <c r="AF94">
        <v>14.39024390243903</v>
      </c>
      <c r="AG94">
        <v>14.0625</v>
      </c>
      <c r="AH94">
        <f>14.3170386882625*1</f>
        <v>14.3170386882625</v>
      </c>
      <c r="AI94">
        <f>2.8634077376525*1</f>
        <v>2.8634077376525</v>
      </c>
      <c r="AJ94">
        <v>1</v>
      </c>
      <c r="AK94">
        <v>0</v>
      </c>
      <c r="AL94">
        <v>0</v>
      </c>
    </row>
    <row r="95" spans="1:38" hidden="1" x14ac:dyDescent="0.2">
      <c r="A95" t="s">
        <v>239</v>
      </c>
      <c r="B95" t="s">
        <v>240</v>
      </c>
      <c r="C95" t="s">
        <v>241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7.3</v>
      </c>
      <c r="AE95">
        <v>396</v>
      </c>
      <c r="AF95">
        <v>16.111111111111111</v>
      </c>
      <c r="AG95">
        <v>16.969771187336331</v>
      </c>
      <c r="AH95">
        <f>16.5298946983494*1</f>
        <v>16.529894698349398</v>
      </c>
      <c r="AI95">
        <f>3.30597651859429*1</f>
        <v>3.30597651859429</v>
      </c>
      <c r="AJ95">
        <v>1</v>
      </c>
      <c r="AK95">
        <v>0</v>
      </c>
      <c r="AL95">
        <v>0</v>
      </c>
    </row>
    <row r="96" spans="1:38" hidden="1" x14ac:dyDescent="0.2">
      <c r="A96" t="s">
        <v>242</v>
      </c>
      <c r="B96" t="s">
        <v>243</v>
      </c>
      <c r="C96" t="s">
        <v>243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13.2</v>
      </c>
      <c r="AE96">
        <v>401</v>
      </c>
      <c r="AF96">
        <v>34.687499999999993</v>
      </c>
      <c r="AG96">
        <v>34.069012555809998</v>
      </c>
      <c r="AH96">
        <f>0*0</f>
        <v>0</v>
      </c>
      <c r="AI96">
        <f>6.91622478955054*0</f>
        <v>0</v>
      </c>
      <c r="AJ96">
        <v>0</v>
      </c>
      <c r="AK96">
        <v>0</v>
      </c>
      <c r="AL96">
        <v>0</v>
      </c>
    </row>
    <row r="97" spans="1:38" hidden="1" x14ac:dyDescent="0.2">
      <c r="A97" t="s">
        <v>244</v>
      </c>
      <c r="B97" t="s">
        <v>245</v>
      </c>
      <c r="C97" t="s">
        <v>245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7.1</v>
      </c>
      <c r="AE97">
        <v>402</v>
      </c>
      <c r="AF97">
        <v>18.25</v>
      </c>
      <c r="AG97">
        <v>19.289811389149332</v>
      </c>
      <c r="AH97">
        <f>18.7518190072732*1</f>
        <v>18.751819007273198</v>
      </c>
      <c r="AI97">
        <f>3.74989616392087*1</f>
        <v>3.7498961639208699</v>
      </c>
      <c r="AJ97">
        <v>1</v>
      </c>
      <c r="AK97">
        <v>0</v>
      </c>
      <c r="AL97">
        <v>0</v>
      </c>
    </row>
    <row r="98" spans="1:38" x14ac:dyDescent="0.2">
      <c r="A98" t="s">
        <v>334</v>
      </c>
      <c r="B98" t="s">
        <v>335</v>
      </c>
      <c r="C98" t="s">
        <v>334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6.9</v>
      </c>
      <c r="AE98">
        <v>683</v>
      </c>
      <c r="AF98">
        <v>17.805662953612451</v>
      </c>
      <c r="AG98">
        <v>20.030462777159808</v>
      </c>
      <c r="AH98">
        <f>25.0585543668561*1</f>
        <v>25.0585543668561</v>
      </c>
      <c r="AI98">
        <f>5.01171087335198*1</f>
        <v>5.01171087335198</v>
      </c>
      <c r="AJ98">
        <v>1</v>
      </c>
      <c r="AK98">
        <v>0</v>
      </c>
      <c r="AL98">
        <v>1</v>
      </c>
    </row>
    <row r="99" spans="1:38" hidden="1" x14ac:dyDescent="0.2">
      <c r="A99" t="s">
        <v>248</v>
      </c>
      <c r="B99" t="s">
        <v>249</v>
      </c>
      <c r="C99" t="s">
        <v>249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4.8</v>
      </c>
      <c r="AE99">
        <v>420</v>
      </c>
      <c r="AF99">
        <v>13.611111111111111</v>
      </c>
      <c r="AG99">
        <v>11.92307692307692</v>
      </c>
      <c r="AH99">
        <f>15.4738092830119*1</f>
        <v>15.473809283011899</v>
      </c>
      <c r="AI99">
        <f>3.09476185660239*1</f>
        <v>3.09476185660239</v>
      </c>
      <c r="AJ99">
        <v>1</v>
      </c>
      <c r="AK99">
        <v>0</v>
      </c>
      <c r="AL99">
        <v>0</v>
      </c>
    </row>
    <row r="100" spans="1:38" hidden="1" x14ac:dyDescent="0.2">
      <c r="A100" t="s">
        <v>250</v>
      </c>
      <c r="B100" t="s">
        <v>251</v>
      </c>
      <c r="C100" t="s">
        <v>251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</v>
      </c>
      <c r="AE100">
        <v>432</v>
      </c>
      <c r="AF100">
        <v>15.27777777777778</v>
      </c>
      <c r="AG100">
        <v>15.38461538461539</v>
      </c>
      <c r="AH100">
        <f>18.6102992673568*1</f>
        <v>18.610299267356801</v>
      </c>
      <c r="AI100">
        <f>3.72205985347136*1</f>
        <v>3.72205985347136</v>
      </c>
      <c r="AJ100">
        <v>1</v>
      </c>
      <c r="AK100">
        <v>0</v>
      </c>
      <c r="AL100">
        <v>0</v>
      </c>
    </row>
    <row r="101" spans="1:38" hidden="1" x14ac:dyDescent="0.2">
      <c r="A101" t="s">
        <v>252</v>
      </c>
      <c r="B101" t="s">
        <v>253</v>
      </c>
      <c r="C101" t="s">
        <v>253</v>
      </c>
      <c r="D101" t="s">
        <v>3</v>
      </c>
      <c r="E101">
        <v>1</v>
      </c>
      <c r="F101">
        <v>0</v>
      </c>
      <c r="G101">
        <v>0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4.5</v>
      </c>
      <c r="AE101">
        <v>453</v>
      </c>
      <c r="AF101">
        <v>11.111111111111111</v>
      </c>
      <c r="AG101">
        <v>12.30769230769231</v>
      </c>
      <c r="AH101">
        <f>14.2288967623965*1</f>
        <v>14.2288967623965</v>
      </c>
      <c r="AI101">
        <f>2.84577935247931*1</f>
        <v>2.84577935247931</v>
      </c>
      <c r="AJ101">
        <v>1</v>
      </c>
      <c r="AK101">
        <v>0</v>
      </c>
      <c r="AL101">
        <v>0</v>
      </c>
    </row>
    <row r="102" spans="1:38" hidden="1" x14ac:dyDescent="0.2">
      <c r="A102" t="s">
        <v>254</v>
      </c>
      <c r="B102" t="s">
        <v>255</v>
      </c>
      <c r="C102" t="s">
        <v>255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4.9000000000000004</v>
      </c>
      <c r="AE102">
        <v>454</v>
      </c>
      <c r="AF102">
        <v>14.394880231932881</v>
      </c>
      <c r="AG102">
        <v>14.513888888888889</v>
      </c>
      <c r="AH102">
        <f>17.5461974514117*1</f>
        <v>17.5461974514117</v>
      </c>
      <c r="AI102">
        <f>3.3684534502324*1</f>
        <v>3.3684534502323999</v>
      </c>
      <c r="AJ102">
        <v>1</v>
      </c>
      <c r="AK102">
        <v>0</v>
      </c>
      <c r="AL102">
        <v>0</v>
      </c>
    </row>
    <row r="103" spans="1:38" hidden="1" x14ac:dyDescent="0.2">
      <c r="A103" t="s">
        <v>256</v>
      </c>
      <c r="B103" t="s">
        <v>257</v>
      </c>
      <c r="C103" t="s">
        <v>257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4.9000000000000004</v>
      </c>
      <c r="AE103">
        <v>462</v>
      </c>
      <c r="AF103">
        <v>15.089961542916161</v>
      </c>
      <c r="AG103">
        <v>14.765625</v>
      </c>
      <c r="AH103">
        <f>14.7723828780193*1</f>
        <v>14.7723828780193</v>
      </c>
      <c r="AI103">
        <f>3.15518612986697*1</f>
        <v>3.1551861298669701</v>
      </c>
      <c r="AJ103">
        <v>1</v>
      </c>
      <c r="AK103">
        <v>0</v>
      </c>
      <c r="AL103">
        <v>0</v>
      </c>
    </row>
    <row r="104" spans="1:38" hidden="1" x14ac:dyDescent="0.2">
      <c r="A104" t="s">
        <v>110</v>
      </c>
      <c r="B104" t="s">
        <v>258</v>
      </c>
      <c r="C104" t="s">
        <v>258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</v>
      </c>
      <c r="AE104">
        <v>463</v>
      </c>
      <c r="AF104">
        <v>16.384615384615369</v>
      </c>
      <c r="AG104">
        <v>14.927184466019421</v>
      </c>
      <c r="AH104">
        <f>15.5868095125076*1</f>
        <v>15.5868095125076</v>
      </c>
      <c r="AI104">
        <f>3.11736190250152*1</f>
        <v>3.11736190250152</v>
      </c>
      <c r="AJ104">
        <v>1</v>
      </c>
      <c r="AK104">
        <v>0</v>
      </c>
      <c r="AL104">
        <v>0</v>
      </c>
    </row>
    <row r="105" spans="1:38" hidden="1" x14ac:dyDescent="0.2">
      <c r="A105" t="s">
        <v>259</v>
      </c>
      <c r="B105" t="s">
        <v>260</v>
      </c>
      <c r="C105" t="s">
        <v>261</v>
      </c>
      <c r="D105" t="s">
        <v>6</v>
      </c>
      <c r="E105">
        <v>0</v>
      </c>
      <c r="F105">
        <v>0</v>
      </c>
      <c r="G105">
        <v>0</v>
      </c>
      <c r="H105">
        <v>1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</v>
      </c>
      <c r="AE105">
        <v>464</v>
      </c>
      <c r="AF105">
        <v>18.750000000000011</v>
      </c>
      <c r="AG105">
        <v>19.131525755682311</v>
      </c>
      <c r="AH105">
        <f>18.6769230075472*1</f>
        <v>18.676923007547199</v>
      </c>
      <c r="AI105">
        <f>3.73613713595541*1</f>
        <v>3.7361371359554099</v>
      </c>
      <c r="AJ105">
        <v>1</v>
      </c>
      <c r="AK105">
        <v>0</v>
      </c>
      <c r="AL105">
        <v>0</v>
      </c>
    </row>
    <row r="106" spans="1:38" hidden="1" x14ac:dyDescent="0.2">
      <c r="A106" t="s">
        <v>262</v>
      </c>
      <c r="B106" t="s">
        <v>263</v>
      </c>
      <c r="C106" t="s">
        <v>262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6.5</v>
      </c>
      <c r="AE106">
        <v>465</v>
      </c>
      <c r="AF106">
        <v>19.361702127659569</v>
      </c>
      <c r="AG106">
        <v>17.465620448565819</v>
      </c>
      <c r="AH106">
        <f>18.3476905427923*1</f>
        <v>18.3476905427923</v>
      </c>
      <c r="AI106">
        <f>3.66953659742486*1</f>
        <v>3.6695365974248602</v>
      </c>
      <c r="AJ106">
        <v>1</v>
      </c>
      <c r="AK106">
        <v>0</v>
      </c>
      <c r="AL106">
        <v>0</v>
      </c>
    </row>
    <row r="107" spans="1:38" hidden="1" x14ac:dyDescent="0.2">
      <c r="A107" t="s">
        <v>264</v>
      </c>
      <c r="B107" t="s">
        <v>265</v>
      </c>
      <c r="C107" t="s">
        <v>266</v>
      </c>
      <c r="D107" t="s">
        <v>3</v>
      </c>
      <c r="E107">
        <v>1</v>
      </c>
      <c r="F107">
        <v>0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5.5</v>
      </c>
      <c r="AE107">
        <v>472</v>
      </c>
      <c r="AF107">
        <v>19.601063829787229</v>
      </c>
      <c r="AG107">
        <v>17.891342043203959</v>
      </c>
      <c r="AH107">
        <f>18.660500517598*1</f>
        <v>18.660500517597999</v>
      </c>
      <c r="AI107">
        <f>3.70170171137453*1</f>
        <v>3.7017017113745299</v>
      </c>
      <c r="AJ107">
        <v>1</v>
      </c>
      <c r="AK107">
        <v>0</v>
      </c>
      <c r="AL107">
        <v>0</v>
      </c>
    </row>
    <row r="108" spans="1:38" hidden="1" x14ac:dyDescent="0.2">
      <c r="A108" t="s">
        <v>267</v>
      </c>
      <c r="B108" t="s">
        <v>268</v>
      </c>
      <c r="C108" t="s">
        <v>268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7.8</v>
      </c>
      <c r="AE108">
        <v>473</v>
      </c>
      <c r="AF108">
        <v>22.47127259945329</v>
      </c>
      <c r="AG108">
        <v>16.985981308411219</v>
      </c>
      <c r="AH108">
        <f>19.9482164610988*1</f>
        <v>19.948216461098799</v>
      </c>
      <c r="AI108">
        <f>4.56683879614715*1</f>
        <v>4.5668387961471497</v>
      </c>
      <c r="AJ108">
        <v>1</v>
      </c>
      <c r="AK108">
        <v>0</v>
      </c>
      <c r="AL108">
        <v>0</v>
      </c>
    </row>
    <row r="109" spans="1:38" hidden="1" x14ac:dyDescent="0.2">
      <c r="A109" t="s">
        <v>269</v>
      </c>
      <c r="B109" t="s">
        <v>270</v>
      </c>
      <c r="C109" t="s">
        <v>270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13.9</v>
      </c>
      <c r="AE109">
        <v>475</v>
      </c>
      <c r="AF109">
        <v>40.108695652173907</v>
      </c>
      <c r="AG109">
        <v>37.055880157587971</v>
      </c>
      <c r="AH109">
        <f>19.1833667498873*0.5</f>
        <v>9.5916833749436492</v>
      </c>
      <c r="AI109">
        <f>7.63599936600126*0.5</f>
        <v>3.8179996830006302</v>
      </c>
      <c r="AJ109">
        <v>0.5</v>
      </c>
      <c r="AK109">
        <v>1</v>
      </c>
      <c r="AL109">
        <v>0</v>
      </c>
    </row>
    <row r="110" spans="1:38" hidden="1" x14ac:dyDescent="0.2">
      <c r="A110" t="s">
        <v>271</v>
      </c>
      <c r="B110" t="s">
        <v>272</v>
      </c>
      <c r="C110" t="s">
        <v>271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5.6</v>
      </c>
      <c r="AE110">
        <v>483</v>
      </c>
      <c r="AF110">
        <v>15.34246575342466</v>
      </c>
      <c r="AG110">
        <v>15.06264154485263</v>
      </c>
      <c r="AH110">
        <f>15.0400400675676*1</f>
        <v>15.040040067567601</v>
      </c>
      <c r="AI110">
        <f>3.00800801351352*1</f>
        <v>3.0080080135135199</v>
      </c>
      <c r="AJ110">
        <v>1</v>
      </c>
      <c r="AK110">
        <v>0</v>
      </c>
      <c r="AL110">
        <v>0</v>
      </c>
    </row>
    <row r="111" spans="1:38" hidden="1" x14ac:dyDescent="0.2">
      <c r="A111" t="s">
        <v>273</v>
      </c>
      <c r="B111" t="s">
        <v>274</v>
      </c>
      <c r="C111" t="s">
        <v>274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5.4</v>
      </c>
      <c r="AE111">
        <v>487</v>
      </c>
      <c r="AF111">
        <v>16.10882798175637</v>
      </c>
      <c r="AG111">
        <v>18.095198629584431</v>
      </c>
      <c r="AH111">
        <f>16.7257964408555*1</f>
        <v>16.7257964408555</v>
      </c>
      <c r="AI111">
        <f>3.32860693335338*1</f>
        <v>3.3286069333533801</v>
      </c>
      <c r="AJ111">
        <v>1</v>
      </c>
      <c r="AK111">
        <v>0</v>
      </c>
      <c r="AL111">
        <v>0</v>
      </c>
    </row>
    <row r="112" spans="1:38" hidden="1" x14ac:dyDescent="0.2">
      <c r="A112" t="s">
        <v>275</v>
      </c>
      <c r="B112" t="s">
        <v>276</v>
      </c>
      <c r="C112" t="s">
        <v>276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4.8</v>
      </c>
      <c r="AE112">
        <v>489</v>
      </c>
      <c r="AF112">
        <v>13.754006007648441</v>
      </c>
      <c r="AG112">
        <v>14.09090909090909</v>
      </c>
      <c r="AH112">
        <f>13.7237761066633*1</f>
        <v>13.7237761066633</v>
      </c>
      <c r="AI112">
        <f>2.06163934071604*1</f>
        <v>2.0616393407160398</v>
      </c>
      <c r="AJ112">
        <v>1</v>
      </c>
      <c r="AK112">
        <v>0</v>
      </c>
      <c r="AL112">
        <v>0</v>
      </c>
    </row>
    <row r="113" spans="1:38" hidden="1" x14ac:dyDescent="0.2">
      <c r="A113" t="s">
        <v>277</v>
      </c>
      <c r="B113" t="s">
        <v>278</v>
      </c>
      <c r="C113" t="s">
        <v>278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4.8</v>
      </c>
      <c r="AE113">
        <v>505</v>
      </c>
      <c r="AF113">
        <v>12.941176470588241</v>
      </c>
      <c r="AG113">
        <v>11.05769230769231</v>
      </c>
      <c r="AH113">
        <f>6.65675085503337*1</f>
        <v>6.6567508550333701</v>
      </c>
      <c r="AI113">
        <f>1.33135017100667*1</f>
        <v>1.33135017100667</v>
      </c>
      <c r="AJ113">
        <v>1</v>
      </c>
      <c r="AK113">
        <v>0</v>
      </c>
      <c r="AL113">
        <v>0</v>
      </c>
    </row>
    <row r="114" spans="1:38" hidden="1" x14ac:dyDescent="0.2">
      <c r="A114" t="s">
        <v>279</v>
      </c>
      <c r="B114" t="s">
        <v>280</v>
      </c>
      <c r="C114" t="s">
        <v>281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4.5</v>
      </c>
      <c r="AE114">
        <v>508</v>
      </c>
      <c r="AF114">
        <v>14.90140677840189</v>
      </c>
      <c r="AG114">
        <v>15.32608695652174</v>
      </c>
      <c r="AH114">
        <f>13.946924504905*1</f>
        <v>13.946924504905001</v>
      </c>
      <c r="AI114">
        <f>3.59401242862356*1</f>
        <v>3.59401242862356</v>
      </c>
      <c r="AJ114">
        <v>1</v>
      </c>
      <c r="AK114">
        <v>0</v>
      </c>
      <c r="AL114">
        <v>0</v>
      </c>
    </row>
    <row r="115" spans="1:38" hidden="1" x14ac:dyDescent="0.2">
      <c r="A115" t="s">
        <v>282</v>
      </c>
      <c r="B115" t="s">
        <v>283</v>
      </c>
      <c r="C115" t="s">
        <v>283</v>
      </c>
      <c r="D115" t="s">
        <v>6</v>
      </c>
      <c r="E115">
        <v>0</v>
      </c>
      <c r="F115">
        <v>0</v>
      </c>
      <c r="G115">
        <v>0</v>
      </c>
      <c r="H115">
        <v>1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6.4</v>
      </c>
      <c r="AE115">
        <v>512</v>
      </c>
      <c r="AF115">
        <v>13.269733387063299</v>
      </c>
      <c r="AG115">
        <v>20.80110290124906</v>
      </c>
      <c r="AH115">
        <f>14.8730857690812*0.5</f>
        <v>7.4365428845406001</v>
      </c>
      <c r="AI115">
        <f>5.95003658764676*0.5</f>
        <v>2.9750182938233798</v>
      </c>
      <c r="AJ115">
        <v>0.5</v>
      </c>
      <c r="AK115">
        <v>0</v>
      </c>
      <c r="AL115">
        <v>0</v>
      </c>
    </row>
    <row r="116" spans="1:38" hidden="1" x14ac:dyDescent="0.2">
      <c r="A116" t="s">
        <v>104</v>
      </c>
      <c r="B116" t="s">
        <v>284</v>
      </c>
      <c r="C116" t="s">
        <v>284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8.4</v>
      </c>
      <c r="AE116">
        <v>517</v>
      </c>
      <c r="AF116">
        <v>22.863582241602199</v>
      </c>
      <c r="AG116">
        <v>22.4833504478894</v>
      </c>
      <c r="AH116">
        <f>18.8998095861761*1</f>
        <v>18.899809586176101</v>
      </c>
      <c r="AI116">
        <f>3.91035769174594*1</f>
        <v>3.9103576917459399</v>
      </c>
      <c r="AJ116">
        <v>1</v>
      </c>
      <c r="AK116">
        <v>0</v>
      </c>
      <c r="AL116">
        <v>0</v>
      </c>
    </row>
    <row r="117" spans="1:38" hidden="1" x14ac:dyDescent="0.2">
      <c r="A117" t="s">
        <v>285</v>
      </c>
      <c r="B117" t="s">
        <v>195</v>
      </c>
      <c r="C117" t="s">
        <v>195</v>
      </c>
      <c r="D117" t="s">
        <v>3</v>
      </c>
      <c r="E117">
        <v>1</v>
      </c>
      <c r="F117">
        <v>0</v>
      </c>
      <c r="G117">
        <v>0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4.8</v>
      </c>
      <c r="AE117">
        <v>524</v>
      </c>
      <c r="AF117">
        <v>17.999999999999989</v>
      </c>
      <c r="AG117">
        <v>16.333333333333329</v>
      </c>
      <c r="AH117">
        <f>11.5674994361666*1</f>
        <v>11.567499436166599</v>
      </c>
      <c r="AI117">
        <f>2.31349988723333*1</f>
        <v>2.3134998872333301</v>
      </c>
      <c r="AJ117">
        <v>1</v>
      </c>
      <c r="AK117">
        <v>0</v>
      </c>
      <c r="AL117">
        <v>0</v>
      </c>
    </row>
    <row r="118" spans="1:38" hidden="1" x14ac:dyDescent="0.2">
      <c r="A118" t="s">
        <v>286</v>
      </c>
      <c r="B118" t="s">
        <v>287</v>
      </c>
      <c r="C118" t="s">
        <v>287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6.8</v>
      </c>
      <c r="AE118">
        <v>525</v>
      </c>
      <c r="AF118">
        <v>9.9999999999999982</v>
      </c>
      <c r="AG118">
        <v>11.36363636363637</v>
      </c>
      <c r="AH118">
        <f>11.9721495427727*1</f>
        <v>11.9721495427727</v>
      </c>
      <c r="AI118">
        <f>2.39442990855454*1</f>
        <v>2.3944299085545402</v>
      </c>
      <c r="AJ118">
        <v>1</v>
      </c>
      <c r="AK118">
        <v>0</v>
      </c>
      <c r="AL118">
        <v>0</v>
      </c>
    </row>
    <row r="119" spans="1:38" hidden="1" x14ac:dyDescent="0.2">
      <c r="A119" t="s">
        <v>288</v>
      </c>
      <c r="B119" t="s">
        <v>289</v>
      </c>
      <c r="C119" t="s">
        <v>290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6.2</v>
      </c>
      <c r="AE119">
        <v>536</v>
      </c>
      <c r="AF119">
        <v>19.705086907753749</v>
      </c>
      <c r="AG119">
        <v>21.94232374239748</v>
      </c>
      <c r="AH119">
        <f>21.9251928401157*1</f>
        <v>21.925192840115699</v>
      </c>
      <c r="AI119">
        <f>4.16972133532045*1</f>
        <v>4.1697213353204496</v>
      </c>
      <c r="AJ119">
        <v>1</v>
      </c>
      <c r="AK119">
        <v>0</v>
      </c>
      <c r="AL119">
        <v>0</v>
      </c>
    </row>
    <row r="120" spans="1:38" hidden="1" x14ac:dyDescent="0.2">
      <c r="A120" t="s">
        <v>291</v>
      </c>
      <c r="B120" t="s">
        <v>292</v>
      </c>
      <c r="C120" t="s">
        <v>293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5.8</v>
      </c>
      <c r="AE120">
        <v>540</v>
      </c>
      <c r="AF120">
        <v>16.349206349206341</v>
      </c>
      <c r="AG120">
        <v>15.58855855056337</v>
      </c>
      <c r="AH120">
        <f>16.6281948815962*1</f>
        <v>16.628194881596201</v>
      </c>
      <c r="AI120">
        <f>3.32566999697817*1</f>
        <v>3.3256699969781698</v>
      </c>
      <c r="AJ120">
        <v>1</v>
      </c>
      <c r="AK120">
        <v>0</v>
      </c>
      <c r="AL120">
        <v>0</v>
      </c>
    </row>
    <row r="121" spans="1:38" hidden="1" x14ac:dyDescent="0.2">
      <c r="A121" t="s">
        <v>294</v>
      </c>
      <c r="B121" t="s">
        <v>295</v>
      </c>
      <c r="C121" t="s">
        <v>295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4.4000000000000004</v>
      </c>
      <c r="AE121">
        <v>541</v>
      </c>
      <c r="AF121">
        <v>16.32324408875839</v>
      </c>
      <c r="AG121">
        <v>14.953703703703701</v>
      </c>
      <c r="AH121">
        <f>16.2373848861049*1</f>
        <v>16.237384886104898</v>
      </c>
      <c r="AI121">
        <f>3.24841810543468*1</f>
        <v>3.2484181054346801</v>
      </c>
      <c r="AJ121">
        <v>1</v>
      </c>
      <c r="AK121">
        <v>0</v>
      </c>
      <c r="AL121">
        <v>0</v>
      </c>
    </row>
    <row r="122" spans="1:38" hidden="1" x14ac:dyDescent="0.2">
      <c r="A122" t="s">
        <v>282</v>
      </c>
      <c r="B122" t="s">
        <v>296</v>
      </c>
      <c r="C122" t="s">
        <v>296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6.1</v>
      </c>
      <c r="AE122">
        <v>546</v>
      </c>
      <c r="AF122">
        <v>21.914861922245489</v>
      </c>
      <c r="AG122">
        <v>12.83783783783784</v>
      </c>
      <c r="AH122">
        <f>17.4762292810652*1</f>
        <v>17.476229281065201</v>
      </c>
      <c r="AI122">
        <f>3.49524585621305*1</f>
        <v>3.49524585621305</v>
      </c>
      <c r="AJ122">
        <v>1</v>
      </c>
      <c r="AK122">
        <v>1</v>
      </c>
      <c r="AL122">
        <v>0</v>
      </c>
    </row>
    <row r="123" spans="1:38" x14ac:dyDescent="0.2">
      <c r="A123" t="s">
        <v>297</v>
      </c>
      <c r="B123" t="s">
        <v>298</v>
      </c>
      <c r="C123" t="s">
        <v>298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7.6</v>
      </c>
      <c r="AE123">
        <v>549</v>
      </c>
      <c r="AF123">
        <v>23.571428571428569</v>
      </c>
      <c r="AG123">
        <v>23.262743418947359</v>
      </c>
      <c r="AH123">
        <f>24.4443075167002*1</f>
        <v>24.444307516700199</v>
      </c>
      <c r="AI123">
        <f>4.86683475387547*1</f>
        <v>4.8668347538754704</v>
      </c>
      <c r="AJ123">
        <v>1</v>
      </c>
      <c r="AK123">
        <v>0</v>
      </c>
      <c r="AL123">
        <v>1</v>
      </c>
    </row>
    <row r="124" spans="1:38" hidden="1" x14ac:dyDescent="0.2">
      <c r="A124" t="s">
        <v>299</v>
      </c>
      <c r="B124" t="s">
        <v>300</v>
      </c>
      <c r="C124" t="s">
        <v>301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5.8</v>
      </c>
      <c r="AE124">
        <v>550</v>
      </c>
      <c r="AF124">
        <v>15.24565566934573</v>
      </c>
      <c r="AG124">
        <v>13.43220338983051</v>
      </c>
      <c r="AH124">
        <f>14.846320725051*1</f>
        <v>14.846320725050999</v>
      </c>
      <c r="AI124">
        <f>2.96926414501021*1</f>
        <v>2.96926414501021</v>
      </c>
      <c r="AJ124">
        <v>1</v>
      </c>
      <c r="AK124">
        <v>0</v>
      </c>
      <c r="AL124">
        <v>0</v>
      </c>
    </row>
    <row r="125" spans="1:38" hidden="1" x14ac:dyDescent="0.2">
      <c r="A125" t="s">
        <v>302</v>
      </c>
      <c r="B125" t="s">
        <v>303</v>
      </c>
      <c r="C125" t="s">
        <v>303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4.8</v>
      </c>
      <c r="AE125">
        <v>555</v>
      </c>
      <c r="AF125">
        <v>13.68249937776428</v>
      </c>
      <c r="AG125">
        <v>13.05</v>
      </c>
      <c r="AH125">
        <f>13.9184190580537*1</f>
        <v>13.918419058053701</v>
      </c>
      <c r="AI125">
        <f>2.78368381161075*1</f>
        <v>2.7836838116107501</v>
      </c>
      <c r="AJ125">
        <v>1</v>
      </c>
      <c r="AK125">
        <v>0</v>
      </c>
      <c r="AL125">
        <v>0</v>
      </c>
    </row>
    <row r="126" spans="1:38" hidden="1" x14ac:dyDescent="0.2">
      <c r="A126" t="s">
        <v>304</v>
      </c>
      <c r="B126" t="s">
        <v>305</v>
      </c>
      <c r="C126" t="s">
        <v>305</v>
      </c>
      <c r="D126" t="s">
        <v>3</v>
      </c>
      <c r="E126">
        <v>1</v>
      </c>
      <c r="F126">
        <v>0</v>
      </c>
      <c r="G126">
        <v>0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5.3</v>
      </c>
      <c r="AE126">
        <v>558</v>
      </c>
      <c r="AF126">
        <v>20.684931506849331</v>
      </c>
      <c r="AG126">
        <v>17.952586206896552</v>
      </c>
      <c r="AH126">
        <f>19.9807228338427*1</f>
        <v>19.980722833842702</v>
      </c>
      <c r="AI126">
        <f>3.99614456676855*1</f>
        <v>3.99614456676855</v>
      </c>
      <c r="AJ126">
        <v>1</v>
      </c>
      <c r="AK126">
        <v>0</v>
      </c>
      <c r="AL126">
        <v>0</v>
      </c>
    </row>
    <row r="127" spans="1:38" x14ac:dyDescent="0.2">
      <c r="A127" t="s">
        <v>246</v>
      </c>
      <c r="B127" t="s">
        <v>247</v>
      </c>
      <c r="C127" t="s">
        <v>246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6.3</v>
      </c>
      <c r="AE127">
        <v>406</v>
      </c>
      <c r="AF127">
        <v>23.899371069182401</v>
      </c>
      <c r="AG127">
        <v>21.368659384568979</v>
      </c>
      <c r="AH127">
        <f>22.9662096255835*1</f>
        <v>22.966209625583499</v>
      </c>
      <c r="AI127">
        <f>4.69445948054393*1</f>
        <v>4.6944594805439301</v>
      </c>
      <c r="AJ127">
        <v>1</v>
      </c>
      <c r="AK127">
        <v>1</v>
      </c>
      <c r="AL127">
        <v>1</v>
      </c>
    </row>
    <row r="128" spans="1:38" hidden="1" x14ac:dyDescent="0.2">
      <c r="A128" t="s">
        <v>308</v>
      </c>
      <c r="B128" t="s">
        <v>216</v>
      </c>
      <c r="C128" t="s">
        <v>216</v>
      </c>
      <c r="D128" t="s">
        <v>6</v>
      </c>
      <c r="E128">
        <v>0</v>
      </c>
      <c r="F128">
        <v>0</v>
      </c>
      <c r="G128">
        <v>0</v>
      </c>
      <c r="H128">
        <v>1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7.8</v>
      </c>
      <c r="AE128">
        <v>567</v>
      </c>
      <c r="AF128">
        <v>22.682119205298019</v>
      </c>
      <c r="AG128">
        <v>18.75</v>
      </c>
      <c r="AH128">
        <f>21.3508820463696*1</f>
        <v>21.350882046369598</v>
      </c>
      <c r="AI128">
        <f>4.27017640927392*1</f>
        <v>4.2701764092739198</v>
      </c>
      <c r="AJ128">
        <v>1</v>
      </c>
      <c r="AK128">
        <v>0</v>
      </c>
      <c r="AL128">
        <v>0</v>
      </c>
    </row>
    <row r="129" spans="1:38" hidden="1" x14ac:dyDescent="0.2">
      <c r="A129" t="s">
        <v>309</v>
      </c>
      <c r="B129" t="s">
        <v>310</v>
      </c>
      <c r="C129" t="s">
        <v>310</v>
      </c>
      <c r="D129" t="s">
        <v>3</v>
      </c>
      <c r="E129">
        <v>1</v>
      </c>
      <c r="F129">
        <v>0</v>
      </c>
      <c r="G129">
        <v>0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3.9</v>
      </c>
      <c r="AE129">
        <v>578</v>
      </c>
      <c r="AF129">
        <v>13.333333333333339</v>
      </c>
      <c r="AG129">
        <v>14.09090909090909</v>
      </c>
      <c r="AH129">
        <f>19.7150494116197*1</f>
        <v>19.715049411619699</v>
      </c>
      <c r="AI129">
        <f>3.94300988232394*1</f>
        <v>3.9430098823239401</v>
      </c>
      <c r="AJ129">
        <v>1</v>
      </c>
      <c r="AK129">
        <v>0</v>
      </c>
      <c r="AL129">
        <v>0</v>
      </c>
    </row>
    <row r="130" spans="1:38" hidden="1" x14ac:dyDescent="0.2">
      <c r="A130" t="s">
        <v>282</v>
      </c>
      <c r="B130" t="s">
        <v>311</v>
      </c>
      <c r="C130" t="s">
        <v>311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</v>
      </c>
      <c r="AE130">
        <v>581</v>
      </c>
      <c r="AF130">
        <v>20.49029534666694</v>
      </c>
      <c r="AG130">
        <v>12.5</v>
      </c>
      <c r="AH130">
        <f>23.5283464957865*0.75</f>
        <v>17.646259871839874</v>
      </c>
      <c r="AI130">
        <f>4.09069056506072*0.75</f>
        <v>3.0680179237955403</v>
      </c>
      <c r="AJ130">
        <v>0.75</v>
      </c>
      <c r="AK130">
        <v>0</v>
      </c>
      <c r="AL130">
        <v>0</v>
      </c>
    </row>
    <row r="131" spans="1:38" x14ac:dyDescent="0.2">
      <c r="A131" t="s">
        <v>374</v>
      </c>
      <c r="B131" t="s">
        <v>375</v>
      </c>
      <c r="C131" t="s">
        <v>376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30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5</v>
      </c>
      <c r="AE131">
        <v>756</v>
      </c>
      <c r="AF131">
        <v>18.776106816635611</v>
      </c>
      <c r="AG131">
        <v>17.463235294117649</v>
      </c>
      <c r="AH131">
        <f>23.7152747842446*1</f>
        <v>23.715274784244599</v>
      </c>
      <c r="AI131">
        <f>4.67673253967131*1</f>
        <v>4.6767325396713098</v>
      </c>
      <c r="AJ131">
        <v>1</v>
      </c>
      <c r="AK131">
        <v>0</v>
      </c>
      <c r="AL131">
        <v>1</v>
      </c>
    </row>
    <row r="132" spans="1:38" hidden="1" x14ac:dyDescent="0.2">
      <c r="A132" t="s">
        <v>215</v>
      </c>
      <c r="B132" t="s">
        <v>314</v>
      </c>
      <c r="C132" t="s">
        <v>314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4.4000000000000004</v>
      </c>
      <c r="AE132">
        <v>612</v>
      </c>
      <c r="AF132">
        <v>10.483870967741931</v>
      </c>
      <c r="AG132">
        <v>12.60416666666667</v>
      </c>
      <c r="AH132">
        <f>15.3229536370021*1</f>
        <v>15.322953637002099</v>
      </c>
      <c r="AI132">
        <f>3.06459072740042*1</f>
        <v>3.0645907274004198</v>
      </c>
      <c r="AJ132">
        <v>1</v>
      </c>
      <c r="AK132">
        <v>0</v>
      </c>
      <c r="AL132">
        <v>0</v>
      </c>
    </row>
    <row r="133" spans="1:38" x14ac:dyDescent="0.2">
      <c r="A133" t="s">
        <v>370</v>
      </c>
      <c r="B133" t="s">
        <v>371</v>
      </c>
      <c r="C133" t="s">
        <v>371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30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4.5</v>
      </c>
      <c r="AE133">
        <v>751</v>
      </c>
      <c r="AF133">
        <v>15.09345794392523</v>
      </c>
      <c r="AG133">
        <v>15.67953281781155</v>
      </c>
      <c r="AH133">
        <f>20.9351381658603*1</f>
        <v>20.935138165860302</v>
      </c>
      <c r="AI133">
        <f>4.26058723342412*1</f>
        <v>4.2605872334241202</v>
      </c>
      <c r="AJ133">
        <v>1</v>
      </c>
      <c r="AK133">
        <v>0</v>
      </c>
      <c r="AL133">
        <v>1</v>
      </c>
    </row>
    <row r="134" spans="1:38" hidden="1" x14ac:dyDescent="0.2">
      <c r="A134" t="s">
        <v>317</v>
      </c>
      <c r="B134" t="s">
        <v>318</v>
      </c>
      <c r="C134" t="s">
        <v>317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4.5</v>
      </c>
      <c r="AE134">
        <v>622</v>
      </c>
      <c r="AF134">
        <v>10.71428571428571</v>
      </c>
      <c r="AG134">
        <v>12</v>
      </c>
      <c r="AH134">
        <f>15.7630617937457*1</f>
        <v>15.763061793745701</v>
      </c>
      <c r="AI134">
        <f>3.15261235874914*1</f>
        <v>3.1526123587491401</v>
      </c>
      <c r="AJ134">
        <v>1</v>
      </c>
      <c r="AK134">
        <v>0</v>
      </c>
      <c r="AL134">
        <v>0</v>
      </c>
    </row>
    <row r="135" spans="1:38" hidden="1" x14ac:dyDescent="0.2">
      <c r="A135" t="s">
        <v>319</v>
      </c>
      <c r="B135" t="s">
        <v>320</v>
      </c>
      <c r="C135" t="s">
        <v>320</v>
      </c>
      <c r="D135" t="s">
        <v>6</v>
      </c>
      <c r="E135">
        <v>0</v>
      </c>
      <c r="F135">
        <v>0</v>
      </c>
      <c r="G135">
        <v>0</v>
      </c>
      <c r="H135">
        <v>1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4.5</v>
      </c>
      <c r="AE135">
        <v>629</v>
      </c>
      <c r="AF135">
        <v>12.79711267976654</v>
      </c>
      <c r="AG135">
        <v>12.125</v>
      </c>
      <c r="AH135">
        <f>24.2741356287305*1</f>
        <v>24.274135628730502</v>
      </c>
      <c r="AI135">
        <f>4.90790034312714*1</f>
        <v>4.9079003431271397</v>
      </c>
      <c r="AJ135">
        <v>1</v>
      </c>
      <c r="AK135">
        <v>0</v>
      </c>
      <c r="AL135">
        <v>0</v>
      </c>
    </row>
    <row r="136" spans="1:38" hidden="1" x14ac:dyDescent="0.2">
      <c r="A136" t="s">
        <v>143</v>
      </c>
      <c r="B136" t="s">
        <v>321</v>
      </c>
      <c r="C136" t="s">
        <v>321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4.4000000000000004</v>
      </c>
      <c r="AE136">
        <v>630</v>
      </c>
      <c r="AF136">
        <v>12.36722329094453</v>
      </c>
      <c r="AG136">
        <v>11.92307692307692</v>
      </c>
      <c r="AH136">
        <f>23.4363408989429*1</f>
        <v>23.436340898942898</v>
      </c>
      <c r="AI136">
        <f>4.71969382557579*1</f>
        <v>4.7196938255757903</v>
      </c>
      <c r="AJ136">
        <v>1</v>
      </c>
      <c r="AK136">
        <v>0</v>
      </c>
      <c r="AL136">
        <v>0</v>
      </c>
    </row>
    <row r="137" spans="1:38" hidden="1" x14ac:dyDescent="0.2">
      <c r="A137" t="s">
        <v>322</v>
      </c>
      <c r="B137" t="s">
        <v>323</v>
      </c>
      <c r="C137" t="s">
        <v>323</v>
      </c>
      <c r="D137" t="s">
        <v>3</v>
      </c>
      <c r="E137">
        <v>1</v>
      </c>
      <c r="F137">
        <v>0</v>
      </c>
      <c r="G137">
        <v>0</v>
      </c>
      <c r="H137">
        <v>0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4.5</v>
      </c>
      <c r="AE137">
        <v>641</v>
      </c>
      <c r="AF137">
        <v>12.25</v>
      </c>
      <c r="AG137">
        <v>12.66666666666667</v>
      </c>
      <c r="AH137">
        <f>23.1209371884399*1</f>
        <v>23.1209371884399</v>
      </c>
      <c r="AI137">
        <f>4.62418743768799*1</f>
        <v>4.6241874376879899</v>
      </c>
      <c r="AJ137">
        <v>1</v>
      </c>
      <c r="AK137">
        <v>0</v>
      </c>
      <c r="AL137">
        <v>0</v>
      </c>
    </row>
    <row r="138" spans="1:38" x14ac:dyDescent="0.2">
      <c r="A138" t="s">
        <v>306</v>
      </c>
      <c r="B138" t="s">
        <v>307</v>
      </c>
      <c r="C138" t="s">
        <v>307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6.8</v>
      </c>
      <c r="AE138">
        <v>564</v>
      </c>
      <c r="AF138">
        <v>23.021819230161942</v>
      </c>
      <c r="AG138">
        <v>19.080882352941181</v>
      </c>
      <c r="AH138">
        <f>21.7005520057532*1</f>
        <v>21.700552005753199</v>
      </c>
      <c r="AI138">
        <f>3.94079405782088*1</f>
        <v>3.94079405782088</v>
      </c>
      <c r="AJ138">
        <v>1</v>
      </c>
      <c r="AK138">
        <v>0</v>
      </c>
      <c r="AL138">
        <v>1</v>
      </c>
    </row>
    <row r="139" spans="1:38" hidden="1" x14ac:dyDescent="0.2">
      <c r="A139" t="s">
        <v>326</v>
      </c>
      <c r="B139" t="s">
        <v>327</v>
      </c>
      <c r="C139" t="s">
        <v>327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5.8</v>
      </c>
      <c r="AE139">
        <v>665</v>
      </c>
      <c r="AF139">
        <v>15.555555555555561</v>
      </c>
      <c r="AG139">
        <v>14.58333333333333</v>
      </c>
      <c r="AH139">
        <f>17.8073409202888*1</f>
        <v>17.807340920288802</v>
      </c>
      <c r="AI139">
        <f>3.56146818405777*1</f>
        <v>3.56146818405777</v>
      </c>
      <c r="AJ139">
        <v>1</v>
      </c>
      <c r="AK139">
        <v>0</v>
      </c>
      <c r="AL139">
        <v>0</v>
      </c>
    </row>
    <row r="140" spans="1:38" hidden="1" x14ac:dyDescent="0.2">
      <c r="A140" t="s">
        <v>328</v>
      </c>
      <c r="B140" t="s">
        <v>329</v>
      </c>
      <c r="C140" t="s">
        <v>329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7.1</v>
      </c>
      <c r="AE140">
        <v>676</v>
      </c>
      <c r="AF140">
        <v>23.922427798958839</v>
      </c>
      <c r="AG140">
        <v>20.201727235722231</v>
      </c>
      <c r="AH140">
        <f>24.2678326707997*1</f>
        <v>24.267832670799699</v>
      </c>
      <c r="AI140">
        <f>4.28729386317063*1</f>
        <v>4.2872938631706301</v>
      </c>
      <c r="AJ140">
        <v>1</v>
      </c>
      <c r="AK140">
        <v>1</v>
      </c>
      <c r="AL140">
        <v>0</v>
      </c>
    </row>
    <row r="141" spans="1:38" hidden="1" x14ac:dyDescent="0.2">
      <c r="A141" t="s">
        <v>143</v>
      </c>
      <c r="B141" t="s">
        <v>330</v>
      </c>
      <c r="C141" t="s">
        <v>330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7.8</v>
      </c>
      <c r="AE141">
        <v>679</v>
      </c>
      <c r="AF141">
        <v>21.619389819648969</v>
      </c>
      <c r="AG141">
        <v>21.2071294376032</v>
      </c>
      <c r="AH141">
        <f>0*0</f>
        <v>0</v>
      </c>
      <c r="AI141">
        <f>5.29830850072677*0</f>
        <v>0</v>
      </c>
      <c r="AJ141">
        <v>0</v>
      </c>
      <c r="AK141">
        <v>0</v>
      </c>
      <c r="AL141">
        <v>0</v>
      </c>
    </row>
    <row r="142" spans="1:38" x14ac:dyDescent="0.2">
      <c r="A142" t="s">
        <v>331</v>
      </c>
      <c r="B142" t="s">
        <v>332</v>
      </c>
      <c r="C142" t="s">
        <v>333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5.7</v>
      </c>
      <c r="AE142">
        <v>681</v>
      </c>
      <c r="AF142">
        <v>20</v>
      </c>
      <c r="AG142">
        <v>16.473418177591029</v>
      </c>
      <c r="AH142">
        <f>19.7061164889969*1</f>
        <v>19.706116488996901</v>
      </c>
      <c r="AI142">
        <f>3.93250738340615*1</f>
        <v>3.9325073834061501</v>
      </c>
      <c r="AJ142">
        <v>1</v>
      </c>
      <c r="AK142">
        <v>0</v>
      </c>
      <c r="AL142">
        <v>1</v>
      </c>
    </row>
    <row r="143" spans="1:38" x14ac:dyDescent="0.2">
      <c r="A143" t="s">
        <v>315</v>
      </c>
      <c r="B143" t="s">
        <v>316</v>
      </c>
      <c r="C143" t="s">
        <v>316</v>
      </c>
      <c r="D143" t="s">
        <v>6</v>
      </c>
      <c r="E143">
        <v>0</v>
      </c>
      <c r="F143">
        <v>0</v>
      </c>
      <c r="G143">
        <v>0</v>
      </c>
      <c r="H143">
        <v>1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4.9000000000000004</v>
      </c>
      <c r="AE143">
        <v>615</v>
      </c>
      <c r="AF143">
        <v>16.512803641433031</v>
      </c>
      <c r="AG143">
        <v>16.294964028776981</v>
      </c>
      <c r="AH143">
        <f>24.5518824673187*1</f>
        <v>24.551882467318698</v>
      </c>
      <c r="AI143">
        <f>3.9200711427019*1</f>
        <v>3.9200711427019002</v>
      </c>
      <c r="AJ143">
        <v>1</v>
      </c>
      <c r="AK143">
        <v>0</v>
      </c>
      <c r="AL143">
        <v>1</v>
      </c>
    </row>
    <row r="144" spans="1:38" hidden="1" x14ac:dyDescent="0.2">
      <c r="A144" t="s">
        <v>336</v>
      </c>
      <c r="B144" t="s">
        <v>337</v>
      </c>
      <c r="C144" t="s">
        <v>337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4.9000000000000004</v>
      </c>
      <c r="AE144">
        <v>685</v>
      </c>
      <c r="AF144">
        <v>15.57377049180328</v>
      </c>
      <c r="AG144">
        <v>14.0625</v>
      </c>
      <c r="AH144">
        <f>17.0746884368934*1</f>
        <v>17.0746884368934</v>
      </c>
      <c r="AI144">
        <f>3.41493768737868*1</f>
        <v>3.4149376873786799</v>
      </c>
      <c r="AJ144">
        <v>1</v>
      </c>
      <c r="AK144">
        <v>0</v>
      </c>
      <c r="AL144">
        <v>0</v>
      </c>
    </row>
    <row r="145" spans="1:38" hidden="1" x14ac:dyDescent="0.2">
      <c r="A145" t="s">
        <v>338</v>
      </c>
      <c r="B145" t="s">
        <v>339</v>
      </c>
      <c r="C145" t="s">
        <v>339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4.5</v>
      </c>
      <c r="AE145">
        <v>687</v>
      </c>
      <c r="AF145">
        <v>11.55172413793103</v>
      </c>
      <c r="AG145">
        <v>12.04545454545455</v>
      </c>
      <c r="AH145">
        <f>14.9268955198938*1</f>
        <v>14.926895519893799</v>
      </c>
      <c r="AI145">
        <f>2.98537910397877*1</f>
        <v>2.98537910397877</v>
      </c>
      <c r="AJ145">
        <v>1</v>
      </c>
      <c r="AK145">
        <v>0</v>
      </c>
      <c r="AL145">
        <v>0</v>
      </c>
    </row>
    <row r="146" spans="1:38" hidden="1" x14ac:dyDescent="0.2">
      <c r="A146" t="s">
        <v>340</v>
      </c>
      <c r="B146" t="s">
        <v>341</v>
      </c>
      <c r="C146" t="s">
        <v>340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9.8000000000000007</v>
      </c>
      <c r="AE146">
        <v>690</v>
      </c>
      <c r="AF146">
        <v>26</v>
      </c>
      <c r="AG146">
        <v>24.273050495911601</v>
      </c>
      <c r="AH146">
        <f>0*0</f>
        <v>0</v>
      </c>
      <c r="AI146">
        <f>5.92478688612476*0</f>
        <v>0</v>
      </c>
      <c r="AJ146">
        <v>0</v>
      </c>
      <c r="AK146">
        <v>0</v>
      </c>
      <c r="AL146">
        <v>0</v>
      </c>
    </row>
    <row r="147" spans="1:38" hidden="1" x14ac:dyDescent="0.2">
      <c r="A147" t="s">
        <v>342</v>
      </c>
      <c r="B147" t="s">
        <v>343</v>
      </c>
      <c r="C147" t="s">
        <v>343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28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4.8</v>
      </c>
      <c r="AE147">
        <v>693</v>
      </c>
      <c r="AF147">
        <v>13.82352941176471</v>
      </c>
      <c r="AG147">
        <v>13.33333333333333</v>
      </c>
      <c r="AH147">
        <f>16.3481741593715*1</f>
        <v>16.348174159371499</v>
      </c>
      <c r="AI147">
        <f>3.26963483187431*1</f>
        <v>3.2696348318743098</v>
      </c>
      <c r="AJ147">
        <v>1</v>
      </c>
      <c r="AK147">
        <v>0</v>
      </c>
      <c r="AL147">
        <v>0</v>
      </c>
    </row>
    <row r="148" spans="1:38" hidden="1" x14ac:dyDescent="0.2">
      <c r="A148" t="s">
        <v>344</v>
      </c>
      <c r="B148" t="s">
        <v>345</v>
      </c>
      <c r="C148" t="s">
        <v>345</v>
      </c>
      <c r="D148" t="s">
        <v>3</v>
      </c>
      <c r="E148">
        <v>1</v>
      </c>
      <c r="F148">
        <v>0</v>
      </c>
      <c r="G148">
        <v>0</v>
      </c>
      <c r="H148">
        <v>0</v>
      </c>
      <c r="I148" t="s">
        <v>28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5.3</v>
      </c>
      <c r="AE148">
        <v>694</v>
      </c>
      <c r="AF148">
        <v>17.5</v>
      </c>
      <c r="AG148">
        <v>15.66970753687119</v>
      </c>
      <c r="AH148">
        <f>19.0015097539828*1</f>
        <v>19.001509753982798</v>
      </c>
      <c r="AI148">
        <f>3.79945002051833*1</f>
        <v>3.7994500205183299</v>
      </c>
      <c r="AJ148">
        <v>1</v>
      </c>
      <c r="AK148">
        <v>1</v>
      </c>
      <c r="AL148">
        <v>0</v>
      </c>
    </row>
    <row r="149" spans="1:38" hidden="1" x14ac:dyDescent="0.2">
      <c r="A149" t="s">
        <v>346</v>
      </c>
      <c r="B149" t="s">
        <v>347</v>
      </c>
      <c r="C149" t="s">
        <v>347</v>
      </c>
      <c r="D149" t="s">
        <v>3</v>
      </c>
      <c r="E149">
        <v>1</v>
      </c>
      <c r="F149">
        <v>0</v>
      </c>
      <c r="G149">
        <v>0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4.2</v>
      </c>
      <c r="AE149">
        <v>706</v>
      </c>
      <c r="AF149">
        <v>19.540445620501771</v>
      </c>
      <c r="AG149">
        <v>16.127264848828801</v>
      </c>
      <c r="AH149">
        <f>15.7022783190368*1</f>
        <v>15.7022783190368</v>
      </c>
      <c r="AI149">
        <f>0.380766130639401*1</f>
        <v>0.38076613063940101</v>
      </c>
      <c r="AJ149">
        <v>1</v>
      </c>
      <c r="AK149">
        <v>0</v>
      </c>
      <c r="AL149">
        <v>0</v>
      </c>
    </row>
    <row r="150" spans="1:38" hidden="1" x14ac:dyDescent="0.2">
      <c r="A150" t="s">
        <v>348</v>
      </c>
      <c r="B150" t="s">
        <v>349</v>
      </c>
      <c r="C150" t="s">
        <v>349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8</v>
      </c>
      <c r="AE150">
        <v>708</v>
      </c>
      <c r="AF150">
        <v>22.642857142857132</v>
      </c>
      <c r="AG150">
        <v>21.558044284924559</v>
      </c>
      <c r="AH150">
        <f>11.8767211706413*0.5</f>
        <v>5.93836058532065</v>
      </c>
      <c r="AI150">
        <f>4.75068785424258*0.5</f>
        <v>2.3753439271212899</v>
      </c>
      <c r="AJ150">
        <v>0.5</v>
      </c>
      <c r="AK150">
        <v>1</v>
      </c>
      <c r="AL150">
        <v>0</v>
      </c>
    </row>
    <row r="151" spans="1:38" hidden="1" x14ac:dyDescent="0.2">
      <c r="A151" t="s">
        <v>350</v>
      </c>
      <c r="B151" t="s">
        <v>351</v>
      </c>
      <c r="C151" t="s">
        <v>351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4.7</v>
      </c>
      <c r="AE151">
        <v>710</v>
      </c>
      <c r="AF151">
        <v>17.184763322683949</v>
      </c>
      <c r="AG151">
        <v>14.642857142857141</v>
      </c>
      <c r="AH151">
        <f>14.6996840656662*1</f>
        <v>14.699684065666199</v>
      </c>
      <c r="AI151">
        <f>2.45746669016167*1</f>
        <v>2.4574666901616702</v>
      </c>
      <c r="AJ151">
        <v>1</v>
      </c>
      <c r="AK151">
        <v>0</v>
      </c>
      <c r="AL151">
        <v>0</v>
      </c>
    </row>
    <row r="152" spans="1:38" hidden="1" x14ac:dyDescent="0.2">
      <c r="A152" t="s">
        <v>352</v>
      </c>
      <c r="B152" t="s">
        <v>353</v>
      </c>
      <c r="C152" t="s">
        <v>352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29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4.5</v>
      </c>
      <c r="AE152">
        <v>714</v>
      </c>
      <c r="AF152">
        <v>11.776388787688351</v>
      </c>
      <c r="AG152">
        <v>11.73076923076923</v>
      </c>
      <c r="AH152">
        <f>13.3582063529819*1</f>
        <v>13.358206352981901</v>
      </c>
      <c r="AI152">
        <f>2.03400679968662*1</f>
        <v>2.0340067996866198</v>
      </c>
      <c r="AJ152">
        <v>1</v>
      </c>
      <c r="AK152">
        <v>0</v>
      </c>
      <c r="AL152">
        <v>0</v>
      </c>
    </row>
    <row r="153" spans="1:38" hidden="1" x14ac:dyDescent="0.2">
      <c r="A153" t="s">
        <v>67</v>
      </c>
      <c r="B153" t="s">
        <v>354</v>
      </c>
      <c r="C153" t="s">
        <v>355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6</v>
      </c>
      <c r="AE153">
        <v>721</v>
      </c>
      <c r="AF153">
        <v>17.72727272727273</v>
      </c>
      <c r="AG153">
        <v>16.940183726973022</v>
      </c>
      <c r="AH153">
        <f>18.7172436541627*1</f>
        <v>18.717243654162701</v>
      </c>
      <c r="AI153">
        <f>3.74345008495572*1</f>
        <v>3.74345008495572</v>
      </c>
      <c r="AJ153">
        <v>1</v>
      </c>
      <c r="AK153">
        <v>0</v>
      </c>
      <c r="AL153">
        <v>0</v>
      </c>
    </row>
    <row r="154" spans="1:38" hidden="1" x14ac:dyDescent="0.2">
      <c r="A154" t="s">
        <v>356</v>
      </c>
      <c r="B154" t="s">
        <v>357</v>
      </c>
      <c r="C154" t="s">
        <v>357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4.9000000000000004</v>
      </c>
      <c r="AE154">
        <v>723</v>
      </c>
      <c r="AF154">
        <v>18.947368421052641</v>
      </c>
      <c r="AG154">
        <v>16.785070499411141</v>
      </c>
      <c r="AH154">
        <f>17.4473575008221*1</f>
        <v>17.4473575008221</v>
      </c>
      <c r="AI154">
        <f>3.48947150084631*1</f>
        <v>3.4894715008463102</v>
      </c>
      <c r="AJ154">
        <v>1</v>
      </c>
      <c r="AK154">
        <v>0</v>
      </c>
      <c r="AL154">
        <v>0</v>
      </c>
    </row>
    <row r="155" spans="1:38" hidden="1" x14ac:dyDescent="0.2">
      <c r="A155" t="s">
        <v>358</v>
      </c>
      <c r="B155" t="s">
        <v>359</v>
      </c>
      <c r="C155" t="s">
        <v>359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29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4.5</v>
      </c>
      <c r="AE155">
        <v>725</v>
      </c>
      <c r="AF155">
        <v>16.348757186596039</v>
      </c>
      <c r="AG155">
        <v>15.47413793103448</v>
      </c>
      <c r="AH155">
        <f>16.9737258501968*1</f>
        <v>16.9737258501968</v>
      </c>
      <c r="AI155">
        <f>3.7811208509148*1</f>
        <v>3.7811208509148</v>
      </c>
      <c r="AJ155">
        <v>1</v>
      </c>
      <c r="AK155">
        <v>0</v>
      </c>
      <c r="AL155">
        <v>0</v>
      </c>
    </row>
    <row r="156" spans="1:38" hidden="1" x14ac:dyDescent="0.2">
      <c r="A156" t="s">
        <v>360</v>
      </c>
      <c r="B156" t="s">
        <v>361</v>
      </c>
      <c r="C156" t="s">
        <v>260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5</v>
      </c>
      <c r="AE156">
        <v>727</v>
      </c>
      <c r="AF156">
        <v>10</v>
      </c>
      <c r="AG156">
        <v>11.45833333333333</v>
      </c>
      <c r="AH156">
        <f>14.2422103581666*1</f>
        <v>14.2422103581666</v>
      </c>
      <c r="AI156">
        <f>2.84844207163333*1</f>
        <v>2.8484420716333299</v>
      </c>
      <c r="AJ156">
        <v>1</v>
      </c>
      <c r="AK156">
        <v>0</v>
      </c>
      <c r="AL156">
        <v>0</v>
      </c>
    </row>
    <row r="157" spans="1:38" hidden="1" x14ac:dyDescent="0.2">
      <c r="A157" t="s">
        <v>143</v>
      </c>
      <c r="B157" t="s">
        <v>362</v>
      </c>
      <c r="C157" t="s">
        <v>362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6</v>
      </c>
      <c r="AE157">
        <v>729</v>
      </c>
      <c r="AF157">
        <v>19.143609298351809</v>
      </c>
      <c r="AG157">
        <v>18.81434756997599</v>
      </c>
      <c r="AH157">
        <f>21.2210068380008*1</f>
        <v>21.2210068380008</v>
      </c>
      <c r="AI157">
        <f>4.3431910850981*1</f>
        <v>4.3431910850981001</v>
      </c>
      <c r="AJ157">
        <v>1</v>
      </c>
      <c r="AK157">
        <v>0</v>
      </c>
      <c r="AL157">
        <v>0</v>
      </c>
    </row>
    <row r="158" spans="1:38" hidden="1" x14ac:dyDescent="0.2">
      <c r="A158" t="s">
        <v>363</v>
      </c>
      <c r="B158" t="s">
        <v>364</v>
      </c>
      <c r="C158" t="s">
        <v>364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6.9</v>
      </c>
      <c r="AE158">
        <v>731</v>
      </c>
      <c r="AF158">
        <v>33.351374438217462</v>
      </c>
      <c r="AG158">
        <v>16.737163280883209</v>
      </c>
      <c r="AH158">
        <f>5.90881507870635*1</f>
        <v>5.9088150787063496</v>
      </c>
      <c r="AI158">
        <f>-1.06266470494732*1</f>
        <v>-1.0626647049473199</v>
      </c>
      <c r="AJ158">
        <v>1</v>
      </c>
      <c r="AK158">
        <v>0</v>
      </c>
      <c r="AL158">
        <v>0</v>
      </c>
    </row>
    <row r="159" spans="1:38" x14ac:dyDescent="0.2">
      <c r="A159" t="s">
        <v>365</v>
      </c>
      <c r="B159" t="s">
        <v>366</v>
      </c>
      <c r="C159" t="s">
        <v>366</v>
      </c>
      <c r="D159" t="s">
        <v>4</v>
      </c>
      <c r="E159">
        <v>0</v>
      </c>
      <c r="F159">
        <v>1</v>
      </c>
      <c r="G159">
        <v>0</v>
      </c>
      <c r="H159">
        <v>0</v>
      </c>
      <c r="I159" t="s">
        <v>30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4.5</v>
      </c>
      <c r="AE159">
        <v>741</v>
      </c>
      <c r="AF159">
        <v>17.18988140313872</v>
      </c>
      <c r="AG159">
        <v>13.86363636363637</v>
      </c>
      <c r="AH159">
        <f>19.2900888709674*1</f>
        <v>19.290088870967399</v>
      </c>
      <c r="AI159">
        <f>3.70319876714231*1</f>
        <v>3.7031987671423101</v>
      </c>
      <c r="AJ159">
        <v>1</v>
      </c>
      <c r="AK159">
        <v>0</v>
      </c>
      <c r="AL159">
        <v>1</v>
      </c>
    </row>
    <row r="160" spans="1:38" hidden="1" x14ac:dyDescent="0.2">
      <c r="A160" t="s">
        <v>367</v>
      </c>
      <c r="B160" t="s">
        <v>368</v>
      </c>
      <c r="C160" t="s">
        <v>369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30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5.7</v>
      </c>
      <c r="AE160">
        <v>746</v>
      </c>
      <c r="AF160">
        <v>32.131937659858643</v>
      </c>
      <c r="AG160">
        <v>14.65277777777778</v>
      </c>
      <c r="AH160">
        <f>23.2194260976482*1</f>
        <v>23.219426097648199</v>
      </c>
      <c r="AI160">
        <f>4.58703018610802*1</f>
        <v>4.58703018610802</v>
      </c>
      <c r="AJ160">
        <v>1</v>
      </c>
      <c r="AK160">
        <v>0</v>
      </c>
      <c r="AL160">
        <v>0</v>
      </c>
    </row>
    <row r="161" spans="1:38" x14ac:dyDescent="0.2">
      <c r="A161" t="s">
        <v>164</v>
      </c>
      <c r="B161" t="s">
        <v>165</v>
      </c>
      <c r="C161" t="s">
        <v>165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17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5.6</v>
      </c>
      <c r="AE161">
        <v>262</v>
      </c>
      <c r="AF161">
        <v>36.302047095704388</v>
      </c>
      <c r="AG161">
        <v>12.69230769230769</v>
      </c>
      <c r="AH161">
        <f>47.2829905274116*1</f>
        <v>47.282990527411599</v>
      </c>
      <c r="AI161">
        <f>2.45015885624735*1</f>
        <v>2.45015885624735</v>
      </c>
      <c r="AJ161">
        <v>1</v>
      </c>
      <c r="AK161">
        <v>1</v>
      </c>
      <c r="AL161">
        <v>1</v>
      </c>
    </row>
    <row r="162" spans="1:38" hidden="1" x14ac:dyDescent="0.2">
      <c r="A162" t="s">
        <v>372</v>
      </c>
      <c r="B162" t="s">
        <v>373</v>
      </c>
      <c r="C162" t="s">
        <v>373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30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4.9000000000000004</v>
      </c>
      <c r="AE162">
        <v>753</v>
      </c>
      <c r="AF162">
        <v>11.219512195121951</v>
      </c>
      <c r="AG162">
        <v>12.578125</v>
      </c>
      <c r="AH162">
        <f>16.6140243658671*1</f>
        <v>16.614024365867099</v>
      </c>
      <c r="AI162">
        <f>3.32280487317342*1</f>
        <v>3.3228048731734199</v>
      </c>
      <c r="AJ162">
        <v>1</v>
      </c>
      <c r="AK162">
        <v>0</v>
      </c>
      <c r="AL162">
        <v>0</v>
      </c>
    </row>
    <row r="163" spans="1:38" x14ac:dyDescent="0.2">
      <c r="A163" t="s">
        <v>93</v>
      </c>
      <c r="B163" t="s">
        <v>94</v>
      </c>
      <c r="C163" t="s">
        <v>95</v>
      </c>
      <c r="D163" t="s">
        <v>3</v>
      </c>
      <c r="E163">
        <v>1</v>
      </c>
      <c r="F163">
        <v>0</v>
      </c>
      <c r="G163">
        <v>0</v>
      </c>
      <c r="H163">
        <v>0</v>
      </c>
      <c r="I163" t="s">
        <v>13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4.5999999999999996</v>
      </c>
      <c r="AE163">
        <v>88</v>
      </c>
      <c r="AF163">
        <v>17.842165638406101</v>
      </c>
      <c r="AG163">
        <v>16.13636363636364</v>
      </c>
      <c r="AH163">
        <f>24.6181007640485*1</f>
        <v>24.618100764048499</v>
      </c>
      <c r="AI163">
        <f>1.41789019435951*1</f>
        <v>1.4178901943595099</v>
      </c>
      <c r="AJ163">
        <v>1</v>
      </c>
      <c r="AK163">
        <v>1</v>
      </c>
      <c r="AL163">
        <v>1</v>
      </c>
    </row>
    <row r="164" spans="1:38" hidden="1" x14ac:dyDescent="0.2">
      <c r="A164" t="s">
        <v>377</v>
      </c>
      <c r="B164" t="s">
        <v>378</v>
      </c>
      <c r="C164" t="s">
        <v>378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30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4.7</v>
      </c>
      <c r="AE164">
        <v>757</v>
      </c>
      <c r="AF164">
        <v>26.42204154308812</v>
      </c>
      <c r="AG164">
        <v>11.84210526315789</v>
      </c>
      <c r="AH164">
        <f>18.8574867540416*1</f>
        <v>18.857486754041599</v>
      </c>
      <c r="AI164">
        <f>3.68798598426478*1</f>
        <v>3.6879859842647802</v>
      </c>
      <c r="AJ164">
        <v>1</v>
      </c>
      <c r="AK164">
        <v>0</v>
      </c>
      <c r="AL164">
        <v>0</v>
      </c>
    </row>
    <row r="165" spans="1:38" hidden="1" x14ac:dyDescent="0.2">
      <c r="A165" t="s">
        <v>379</v>
      </c>
      <c r="B165" t="s">
        <v>380</v>
      </c>
      <c r="C165" t="s">
        <v>381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30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4.4000000000000004</v>
      </c>
      <c r="AE165">
        <v>760</v>
      </c>
      <c r="AF165">
        <v>12.10526315789474</v>
      </c>
      <c r="AG165">
        <v>12.586206896551721</v>
      </c>
      <c r="AH165">
        <f>16.802836282494*1</f>
        <v>16.802836282493999</v>
      </c>
      <c r="AI165">
        <f>3.3605672564988*1</f>
        <v>3.3605672564988001</v>
      </c>
      <c r="AJ165">
        <v>1</v>
      </c>
      <c r="AK165">
        <v>0</v>
      </c>
      <c r="AL165">
        <v>0</v>
      </c>
    </row>
    <row r="166" spans="1:38" hidden="1" x14ac:dyDescent="0.2">
      <c r="A166" t="s">
        <v>382</v>
      </c>
      <c r="B166" t="s">
        <v>383</v>
      </c>
      <c r="C166" t="s">
        <v>384</v>
      </c>
      <c r="D166" t="s">
        <v>6</v>
      </c>
      <c r="E166">
        <v>0</v>
      </c>
      <c r="F166">
        <v>0</v>
      </c>
      <c r="G166">
        <v>0</v>
      </c>
      <c r="H166">
        <v>1</v>
      </c>
      <c r="I166" t="s">
        <v>30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5.8</v>
      </c>
      <c r="AE166">
        <v>762</v>
      </c>
      <c r="AF166">
        <v>25.796834524213029</v>
      </c>
      <c r="AG166">
        <v>13.571428571428569</v>
      </c>
      <c r="AH166">
        <f>20.7021522605352*1</f>
        <v>20.7021522605352</v>
      </c>
      <c r="AI166">
        <f>3.80909108541472*1</f>
        <v>3.8090910854147202</v>
      </c>
      <c r="AJ166">
        <v>1</v>
      </c>
      <c r="AK166">
        <v>1</v>
      </c>
      <c r="AL16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2024-01-11T20:12:14Z</dcterms:created>
  <dcterms:modified xsi:type="dcterms:W3CDTF">2024-01-11T20:18:47Z</dcterms:modified>
</cp:coreProperties>
</file>