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GitHub/FPL-Predictor/Calibrations/2023-24/"/>
    </mc:Choice>
  </mc:AlternateContent>
  <xr:revisionPtr revIDLastSave="0" documentId="13_ncr:1_{692BFC60-83B1-8A4F-A4D9-F23967B3DB81}" xr6:coauthVersionLast="47" xr6:coauthVersionMax="47" xr10:uidLastSave="{00000000-0000-0000-0000-000000000000}"/>
  <bookViews>
    <workbookView xWindow="0" yWindow="760" windowWidth="34560" windowHeight="21580" activeTab="19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BUR" sheetId="6" r:id="rId6"/>
    <sheet name="CHE" sheetId="7" r:id="rId7"/>
    <sheet name="CRY" sheetId="8" r:id="rId8"/>
    <sheet name="EVE" sheetId="9" r:id="rId9"/>
    <sheet name="FUL" sheetId="10" r:id="rId10"/>
    <sheet name="LIV" sheetId="11" r:id="rId11"/>
    <sheet name="LUT" sheetId="12" r:id="rId12"/>
    <sheet name="MCI" sheetId="13" r:id="rId13"/>
    <sheet name="MUN" sheetId="14" r:id="rId14"/>
    <sheet name="NEW" sheetId="15" r:id="rId15"/>
    <sheet name="NFO" sheetId="16" r:id="rId16"/>
    <sheet name="SHU" sheetId="17" r:id="rId17"/>
    <sheet name="TOT" sheetId="18" r:id="rId18"/>
    <sheet name="WHU" sheetId="19" r:id="rId19"/>
    <sheet name="WOL" sheetId="20" r:id="rId20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BUR!$I$2:$I$3</definedName>
    <definedName name="solver_adj" localSheetId="6" hidden="1">CHE!$I$2:$I$3</definedName>
    <definedName name="solver_adj" localSheetId="7" hidden="1">CRY!$I$2:$I$3</definedName>
    <definedName name="solver_adj" localSheetId="8" hidden="1">EVE!$I$2:$I$3</definedName>
    <definedName name="solver_adj" localSheetId="9" hidden="1">FUL!$I$2:$I$3</definedName>
    <definedName name="solver_adj" localSheetId="10" hidden="1">LIV!$I$2:$I$3</definedName>
    <definedName name="solver_adj" localSheetId="11" hidden="1">LUT!$I$2:$I$3</definedName>
    <definedName name="solver_adj" localSheetId="12" hidden="1">MCI!$I$2:$I$3</definedName>
    <definedName name="solver_adj" localSheetId="13" hidden="1">MUN!$I$2:$I$3</definedName>
    <definedName name="solver_adj" localSheetId="14" hidden="1">NEW!$I$2:$I$3</definedName>
    <definedName name="solver_adj" localSheetId="15" hidden="1">NFO!$I$2:$I$3</definedName>
    <definedName name="solver_adj" localSheetId="16" hidden="1">SHU!$I$2:$I$3</definedName>
    <definedName name="solver_adj" localSheetId="17" hidden="1">TOT!$I$2:$I$3</definedName>
    <definedName name="solver_adj" localSheetId="18" hidden="1">WHU!$I$2:$I$3</definedName>
    <definedName name="solver_adj" localSheetId="19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lin" localSheetId="0" hidden="1">2</definedName>
    <definedName name="solver_lin" localSheetId="1" hidden="1">2</definedName>
    <definedName name="solver_lin" localSheetId="4" hidden="1">2</definedName>
    <definedName name="solver_lin" localSheetId="2" hidden="1">2</definedName>
    <definedName name="solver_lin" localSheetId="3" hidden="1">2</definedName>
    <definedName name="solver_lin" localSheetId="5" hidden="1">2</definedName>
    <definedName name="solver_lin" localSheetId="6" hidden="1">2</definedName>
    <definedName name="solver_lin" localSheetId="7" hidden="1">2</definedName>
    <definedName name="solver_lin" localSheetId="8" hidden="1">2</definedName>
    <definedName name="solver_lin" localSheetId="9" hidden="1">2</definedName>
    <definedName name="solver_lin" localSheetId="10" hidden="1">2</definedName>
    <definedName name="solver_lin" localSheetId="11" hidden="1">2</definedName>
    <definedName name="solver_lin" localSheetId="12" hidden="1">2</definedName>
    <definedName name="solver_lin" localSheetId="13" hidden="1">2</definedName>
    <definedName name="solver_lin" localSheetId="14" hidden="1">2</definedName>
    <definedName name="solver_lin" localSheetId="15" hidden="1">2</definedName>
    <definedName name="solver_lin" localSheetId="16" hidden="1">2</definedName>
    <definedName name="solver_lin" localSheetId="17" hidden="1">2</definedName>
    <definedName name="solver_lin" localSheetId="18" hidden="1">2</definedName>
    <definedName name="solver_lin" localSheetId="19" hidden="1">2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BUR!$I$5</definedName>
    <definedName name="solver_opt" localSheetId="6" hidden="1">CHE!$I$5</definedName>
    <definedName name="solver_opt" localSheetId="7" hidden="1">CRY!$I$5</definedName>
    <definedName name="solver_opt" localSheetId="8" hidden="1">EVE!$I$5</definedName>
    <definedName name="solver_opt" localSheetId="9" hidden="1">FUL!$I$5</definedName>
    <definedName name="solver_opt" localSheetId="10" hidden="1">LIV!$I$5</definedName>
    <definedName name="solver_opt" localSheetId="11" hidden="1">LUT!$I$5</definedName>
    <definedName name="solver_opt" localSheetId="12" hidden="1">MCI!$I$5</definedName>
    <definedName name="solver_opt" localSheetId="13" hidden="1">MUN!$I$5</definedName>
    <definedName name="solver_opt" localSheetId="14" hidden="1">NEW!$I$5</definedName>
    <definedName name="solver_opt" localSheetId="15" hidden="1">NFO!$I$5</definedName>
    <definedName name="solver_opt" localSheetId="16" hidden="1">SHU!$I$5</definedName>
    <definedName name="solver_opt" localSheetId="17" hidden="1">TOT!$I$5</definedName>
    <definedName name="solver_opt" localSheetId="18" hidden="1">WHU!$I$5</definedName>
    <definedName name="solver_opt" localSheetId="19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er" localSheetId="0" hidden="1">2</definedName>
    <definedName name="solver_ver" localSheetId="1" hidden="1">2</definedName>
    <definedName name="solver_ver" localSheetId="4" hidden="1">2</definedName>
    <definedName name="solver_ver" localSheetId="2" hidden="1">2</definedName>
    <definedName name="solver_ver" localSheetId="3" hidden="1">2</definedName>
    <definedName name="solver_ver" localSheetId="5" hidden="1">2</definedName>
    <definedName name="solver_ver" localSheetId="6" hidden="1">2</definedName>
    <definedName name="solver_ver" localSheetId="7" hidden="1">2</definedName>
    <definedName name="solver_ver" localSheetId="8" hidden="1">2</definedName>
    <definedName name="solver_ver" localSheetId="9" hidden="1">2</definedName>
    <definedName name="solver_ver" localSheetId="10" hidden="1">2</definedName>
    <definedName name="solver_ver" localSheetId="11" hidden="1">2</definedName>
    <definedName name="solver_ver" localSheetId="12" hidden="1">2</definedName>
    <definedName name="solver_ver" localSheetId="13" hidden="1">2</definedName>
    <definedName name="solver_ver" localSheetId="14" hidden="1">2</definedName>
    <definedName name="solver_ver" localSheetId="15" hidden="1">2</definedName>
    <definedName name="solver_ver" localSheetId="16" hidden="1">2</definedName>
    <definedName name="solver_ver" localSheetId="17" hidden="1">2</definedName>
    <definedName name="solver_ver" localSheetId="18" hidden="1">2</definedName>
    <definedName name="solver_ver" localSheetId="19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0" l="1"/>
  <c r="F7" i="20" s="1"/>
  <c r="D6" i="20"/>
  <c r="F6" i="20" s="1"/>
  <c r="D5" i="20"/>
  <c r="F5" i="20" s="1"/>
  <c r="D4" i="20"/>
  <c r="F4" i="20" s="1"/>
  <c r="D3" i="20"/>
  <c r="F3" i="20" s="1"/>
  <c r="D2" i="20"/>
  <c r="F2" i="20" s="1"/>
  <c r="D9" i="19"/>
  <c r="F9" i="19" s="1"/>
  <c r="D8" i="19"/>
  <c r="F8" i="19" s="1"/>
  <c r="D7" i="19"/>
  <c r="F7" i="19" s="1"/>
  <c r="D6" i="19"/>
  <c r="F6" i="19" s="1"/>
  <c r="D5" i="19"/>
  <c r="D4" i="19"/>
  <c r="F4" i="19" s="1"/>
  <c r="D3" i="19"/>
  <c r="F3" i="19" s="1"/>
  <c r="D2" i="19"/>
  <c r="D10" i="18"/>
  <c r="F10" i="18" s="1"/>
  <c r="D9" i="18"/>
  <c r="F9" i="18" s="1"/>
  <c r="D8" i="18"/>
  <c r="F8" i="18" s="1"/>
  <c r="D7" i="18"/>
  <c r="F7" i="18" s="1"/>
  <c r="D6" i="18"/>
  <c r="F6" i="18" s="1"/>
  <c r="D5" i="18"/>
  <c r="D4" i="18"/>
  <c r="F4" i="18" s="1"/>
  <c r="D3" i="18"/>
  <c r="F3" i="18" s="1"/>
  <c r="D2" i="18"/>
  <c r="D4" i="17"/>
  <c r="F4" i="17" s="1"/>
  <c r="D3" i="17"/>
  <c r="F3" i="17" s="1"/>
  <c r="D2" i="17"/>
  <c r="D8" i="16"/>
  <c r="F8" i="16" s="1"/>
  <c r="D7" i="16"/>
  <c r="F7" i="16" s="1"/>
  <c r="D6" i="16"/>
  <c r="F6" i="16" s="1"/>
  <c r="D5" i="16"/>
  <c r="F5" i="16" s="1"/>
  <c r="D4" i="16"/>
  <c r="F4" i="16" s="1"/>
  <c r="D3" i="16"/>
  <c r="F3" i="16" s="1"/>
  <c r="D2" i="16"/>
  <c r="D13" i="15"/>
  <c r="F13" i="15" s="1"/>
  <c r="D12" i="15"/>
  <c r="F12" i="15" s="1"/>
  <c r="D11" i="15"/>
  <c r="F11" i="15" s="1"/>
  <c r="D10" i="15"/>
  <c r="F10" i="15" s="1"/>
  <c r="D9" i="15"/>
  <c r="F9" i="15" s="1"/>
  <c r="D8" i="15"/>
  <c r="F8" i="15" s="1"/>
  <c r="D7" i="15"/>
  <c r="F7" i="15" s="1"/>
  <c r="D6" i="15"/>
  <c r="F6" i="15" s="1"/>
  <c r="D5" i="15"/>
  <c r="F5" i="15" s="1"/>
  <c r="D4" i="15"/>
  <c r="F4" i="15" s="1"/>
  <c r="D3" i="15"/>
  <c r="F3" i="15" s="1"/>
  <c r="D2" i="15"/>
  <c r="D12" i="14"/>
  <c r="F12" i="14" s="1"/>
  <c r="D11" i="14"/>
  <c r="F11" i="14" s="1"/>
  <c r="D10" i="14"/>
  <c r="F10" i="14" s="1"/>
  <c r="D9" i="14"/>
  <c r="F9" i="14" s="1"/>
  <c r="D8" i="14"/>
  <c r="F8" i="14" s="1"/>
  <c r="D7" i="14"/>
  <c r="F7" i="14" s="1"/>
  <c r="D6" i="14"/>
  <c r="F6" i="14" s="1"/>
  <c r="D5" i="14"/>
  <c r="F5" i="14" s="1"/>
  <c r="D4" i="14"/>
  <c r="F4" i="14" s="1"/>
  <c r="D3" i="14"/>
  <c r="F3" i="14" s="1"/>
  <c r="D2" i="14"/>
  <c r="F2" i="14" s="1"/>
  <c r="D11" i="13"/>
  <c r="F11" i="13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D5" i="12"/>
  <c r="F5" i="12" s="1"/>
  <c r="D4" i="12"/>
  <c r="F4" i="12" s="1"/>
  <c r="D3" i="12"/>
  <c r="F3" i="12" s="1"/>
  <c r="D2" i="12"/>
  <c r="D12" i="11"/>
  <c r="F12" i="11" s="1"/>
  <c r="D11" i="11"/>
  <c r="F11" i="11" s="1"/>
  <c r="D10" i="11"/>
  <c r="F10" i="11" s="1"/>
  <c r="D9" i="11"/>
  <c r="F9" i="11" s="1"/>
  <c r="D8" i="11"/>
  <c r="F8" i="11" s="1"/>
  <c r="D7" i="11"/>
  <c r="F7" i="11" s="1"/>
  <c r="D6" i="11"/>
  <c r="F6" i="11" s="1"/>
  <c r="D5" i="11"/>
  <c r="D4" i="11"/>
  <c r="F4" i="11" s="1"/>
  <c r="D3" i="11"/>
  <c r="F3" i="11" s="1"/>
  <c r="D2" i="11"/>
  <c r="D14" i="10"/>
  <c r="F14" i="10" s="1"/>
  <c r="D13" i="10"/>
  <c r="F13" i="10" s="1"/>
  <c r="D12" i="10"/>
  <c r="F12" i="10" s="1"/>
  <c r="D11" i="10"/>
  <c r="F11" i="10" s="1"/>
  <c r="D10" i="10"/>
  <c r="F10" i="10" s="1"/>
  <c r="D9" i="10"/>
  <c r="F9" i="10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D12" i="9"/>
  <c r="F12" i="9" s="1"/>
  <c r="D11" i="9"/>
  <c r="F11" i="9" s="1"/>
  <c r="D10" i="9"/>
  <c r="F10" i="9" s="1"/>
  <c r="D9" i="9"/>
  <c r="F9" i="9" s="1"/>
  <c r="D8" i="9"/>
  <c r="F8" i="9" s="1"/>
  <c r="D7" i="9"/>
  <c r="F7" i="9" s="1"/>
  <c r="D6" i="9"/>
  <c r="F6" i="9" s="1"/>
  <c r="D5" i="9"/>
  <c r="F5" i="9" s="1"/>
  <c r="D4" i="9"/>
  <c r="F4" i="9" s="1"/>
  <c r="D3" i="9"/>
  <c r="F3" i="9" s="1"/>
  <c r="D2" i="9"/>
  <c r="D12" i="8"/>
  <c r="F12" i="8" s="1"/>
  <c r="D11" i="8"/>
  <c r="F11" i="8" s="1"/>
  <c r="D10" i="8"/>
  <c r="F10" i="8" s="1"/>
  <c r="D9" i="8"/>
  <c r="F9" i="8" s="1"/>
  <c r="D8" i="8"/>
  <c r="F8" i="8" s="1"/>
  <c r="D7" i="8"/>
  <c r="F7" i="8" s="1"/>
  <c r="D6" i="8"/>
  <c r="F6" i="8" s="1"/>
  <c r="D5" i="8"/>
  <c r="F5" i="8" s="1"/>
  <c r="D4" i="8"/>
  <c r="F4" i="8" s="1"/>
  <c r="D3" i="8"/>
  <c r="F3" i="8" s="1"/>
  <c r="D2" i="8"/>
  <c r="D10" i="7"/>
  <c r="F10" i="7" s="1"/>
  <c r="D9" i="7"/>
  <c r="F9" i="7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2" i="7"/>
  <c r="D6" i="6"/>
  <c r="F6" i="6" s="1"/>
  <c r="D5" i="6"/>
  <c r="F5" i="6" s="1"/>
  <c r="D4" i="6"/>
  <c r="F4" i="6" s="1"/>
  <c r="D3" i="6"/>
  <c r="F3" i="6" s="1"/>
  <c r="D2" i="6"/>
  <c r="D8" i="5"/>
  <c r="F8" i="5" s="1"/>
  <c r="D7" i="5"/>
  <c r="F7" i="5" s="1"/>
  <c r="D6" i="5"/>
  <c r="F6" i="5" s="1"/>
  <c r="D5" i="5"/>
  <c r="F5" i="5" s="1"/>
  <c r="D4" i="5"/>
  <c r="F4" i="5" s="1"/>
  <c r="D3" i="5"/>
  <c r="F3" i="5" s="1"/>
  <c r="D2" i="5"/>
  <c r="D12" i="4"/>
  <c r="F12" i="4" s="1"/>
  <c r="D11" i="4"/>
  <c r="F11" i="4" s="1"/>
  <c r="D10" i="4"/>
  <c r="F10" i="4" s="1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2" i="4"/>
  <c r="D9" i="3"/>
  <c r="F9" i="3" s="1"/>
  <c r="D8" i="3"/>
  <c r="F8" i="3" s="1"/>
  <c r="D7" i="3"/>
  <c r="F7" i="3" s="1"/>
  <c r="D6" i="3"/>
  <c r="F6" i="3" s="1"/>
  <c r="D5" i="3"/>
  <c r="F5" i="3" s="1"/>
  <c r="D4" i="3"/>
  <c r="F4" i="3" s="1"/>
  <c r="D3" i="3"/>
  <c r="F3" i="3" s="1"/>
  <c r="D2" i="3"/>
  <c r="D12" i="2"/>
  <c r="F12" i="2" s="1"/>
  <c r="D11" i="2"/>
  <c r="F11" i="2" s="1"/>
  <c r="D10" i="2"/>
  <c r="F10" i="2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I7" i="20" l="1"/>
  <c r="I5" i="20" a="1"/>
  <c r="I5" i="20" s="1"/>
  <c r="I5" i="19" a="1"/>
  <c r="I5" i="19" s="1"/>
  <c r="F2" i="19"/>
  <c r="I5" i="18" a="1"/>
  <c r="I5" i="18" s="1"/>
  <c r="F2" i="18"/>
  <c r="I5" i="17" a="1"/>
  <c r="I5" i="17" s="1"/>
  <c r="F2" i="17"/>
  <c r="I7" i="17" s="1"/>
  <c r="I5" i="16" a="1"/>
  <c r="I5" i="16" s="1"/>
  <c r="F2" i="16"/>
  <c r="I7" i="16" s="1"/>
  <c r="I5" i="15" a="1"/>
  <c r="I5" i="15" s="1"/>
  <c r="F2" i="15"/>
  <c r="I7" i="15" s="1"/>
  <c r="I5" i="14" a="1"/>
  <c r="I5" i="14" s="1"/>
  <c r="I5" i="13" a="1"/>
  <c r="I5" i="13" s="1"/>
  <c r="F2" i="13"/>
  <c r="I7" i="13" s="1"/>
  <c r="I5" i="12" a="1"/>
  <c r="I5" i="12" s="1"/>
  <c r="F2" i="12"/>
  <c r="I7" i="12" s="1"/>
  <c r="I5" i="11" a="1"/>
  <c r="I5" i="11" s="1"/>
  <c r="F2" i="11"/>
  <c r="I5" i="10" a="1"/>
  <c r="I5" i="10" s="1"/>
  <c r="F2" i="10"/>
  <c r="I7" i="10" s="1"/>
  <c r="I5" i="9" a="1"/>
  <c r="I5" i="9" s="1"/>
  <c r="F2" i="9"/>
  <c r="I7" i="9" s="1"/>
  <c r="I5" i="8" a="1"/>
  <c r="I5" i="8" s="1"/>
  <c r="F2" i="8"/>
  <c r="I7" i="8" s="1"/>
  <c r="I5" i="7" a="1"/>
  <c r="I5" i="7" s="1"/>
  <c r="F2" i="7"/>
  <c r="I7" i="7" s="1"/>
  <c r="I5" i="6" a="1"/>
  <c r="I5" i="6" s="1"/>
  <c r="F2" i="6"/>
  <c r="I7" i="6" s="1"/>
  <c r="I5" i="5" a="1"/>
  <c r="I5" i="5" s="1"/>
  <c r="F2" i="5"/>
  <c r="I7" i="5" s="1"/>
  <c r="I5" i="4" a="1"/>
  <c r="I5" i="4" s="1"/>
  <c r="F2" i="4"/>
  <c r="I7" i="4" s="1"/>
  <c r="I5" i="3" a="1"/>
  <c r="I5" i="3" s="1"/>
  <c r="F2" i="3"/>
  <c r="I7" i="3" s="1"/>
  <c r="I5" i="2" a="1"/>
  <c r="I5" i="2" s="1"/>
  <c r="F2" i="2"/>
  <c r="I7" i="2" s="1"/>
  <c r="I5" i="1" a="1"/>
  <c r="I5" i="1" s="1"/>
  <c r="F2" i="1"/>
  <c r="I7" i="1" s="1"/>
  <c r="I7" i="14"/>
  <c r="F5" i="11"/>
  <c r="F5" i="18"/>
  <c r="F5" i="19"/>
  <c r="I7" i="19" l="1"/>
  <c r="I7" i="18"/>
  <c r="I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<sst xmlns="http://schemas.openxmlformats.org/spreadsheetml/2006/main" count="381" uniqueCount="188">
  <si>
    <t>ARIMA</t>
  </si>
  <si>
    <t>LSTM</t>
  </si>
  <si>
    <t>OFF</t>
  </si>
  <si>
    <t>AVG</t>
  </si>
  <si>
    <t>Name</t>
  </si>
  <si>
    <t>ARIMAPP</t>
  </si>
  <si>
    <t>LSTMPP</t>
  </si>
  <si>
    <t>PP</t>
  </si>
  <si>
    <t>AP</t>
  </si>
  <si>
    <t>DIFF</t>
  </si>
  <si>
    <t>Rice</t>
  </si>
  <si>
    <t>G.Jesus</t>
  </si>
  <si>
    <t>Zinchenko</t>
  </si>
  <si>
    <t>Saka</t>
  </si>
  <si>
    <t>Trossard</t>
  </si>
  <si>
    <t>Havertz</t>
  </si>
  <si>
    <t>Ødegaard</t>
  </si>
  <si>
    <t>Raya</t>
  </si>
  <si>
    <t>Tomiyasu</t>
  </si>
  <si>
    <t>Saliba</t>
  </si>
  <si>
    <t>White</t>
  </si>
  <si>
    <t>Martinelli</t>
  </si>
  <si>
    <t>Nketiah</t>
  </si>
  <si>
    <t>Gabriel</t>
  </si>
  <si>
    <t>Digne</t>
  </si>
  <si>
    <t>Tielemans</t>
  </si>
  <si>
    <t>Douglas Luiz</t>
  </si>
  <si>
    <t>McGinn</t>
  </si>
  <si>
    <t>Konsa</t>
  </si>
  <si>
    <t>Watkins</t>
  </si>
  <si>
    <t>Bailey</t>
  </si>
  <si>
    <t>Cash</t>
  </si>
  <si>
    <t>Martinez</t>
  </si>
  <si>
    <t>Diaby</t>
  </si>
  <si>
    <t>Pau</t>
  </si>
  <si>
    <t>Billing</t>
  </si>
  <si>
    <t>Solanke</t>
  </si>
  <si>
    <t>Kelly</t>
  </si>
  <si>
    <t>Christie</t>
  </si>
  <si>
    <t>Tavernier</t>
  </si>
  <si>
    <t>Senesi</t>
  </si>
  <si>
    <t>Neto</t>
  </si>
  <si>
    <t>Semenyo</t>
  </si>
  <si>
    <t>Maupay</t>
  </si>
  <si>
    <t>Nørgaard</t>
  </si>
  <si>
    <t>Pinnock</t>
  </si>
  <si>
    <t>Janelt</t>
  </si>
  <si>
    <t>Mbeumo</t>
  </si>
  <si>
    <t>Ajer</t>
  </si>
  <si>
    <t>Wissa</t>
  </si>
  <si>
    <t>Jensen</t>
  </si>
  <si>
    <t>Collins</t>
  </si>
  <si>
    <t>Hickey</t>
  </si>
  <si>
    <t>Flekken</t>
  </si>
  <si>
    <t>Gross</t>
  </si>
  <si>
    <t>Gilmour</t>
  </si>
  <si>
    <t>João Pedro</t>
  </si>
  <si>
    <t>Steele</t>
  </si>
  <si>
    <t>Ferguson</t>
  </si>
  <si>
    <t>Mitoma</t>
  </si>
  <si>
    <t>Adingra</t>
  </si>
  <si>
    <t>Taylor</t>
  </si>
  <si>
    <t>Brownhill</t>
  </si>
  <si>
    <t>Koleosho</t>
  </si>
  <si>
    <t>Trafford</t>
  </si>
  <si>
    <t>Amdouni</t>
  </si>
  <si>
    <t>Sterling</t>
  </si>
  <si>
    <t>Gallagher</t>
  </si>
  <si>
    <t>Sanchez</t>
  </si>
  <si>
    <t>Palmer</t>
  </si>
  <si>
    <t>T.Silva</t>
  </si>
  <si>
    <t>Colwill</t>
  </si>
  <si>
    <t>Mudryk</t>
  </si>
  <si>
    <t>N.Jackson</t>
  </si>
  <si>
    <t>Disasi</t>
  </si>
  <si>
    <t>Schlupp</t>
  </si>
  <si>
    <t>Hughes</t>
  </si>
  <si>
    <t>Ward</t>
  </si>
  <si>
    <t>J.Ayew</t>
  </si>
  <si>
    <t>Mitchell</t>
  </si>
  <si>
    <t>Eze</t>
  </si>
  <si>
    <t>Johnstone</t>
  </si>
  <si>
    <t>Andersen</t>
  </si>
  <si>
    <t>Guéhi</t>
  </si>
  <si>
    <t>Edouard</t>
  </si>
  <si>
    <t>Lerma</t>
  </si>
  <si>
    <t>A.Doucoure</t>
  </si>
  <si>
    <t>Gana</t>
  </si>
  <si>
    <t>Tarkowski</t>
  </si>
  <si>
    <t>Pickford</t>
  </si>
  <si>
    <t>Calvert-Lewin</t>
  </si>
  <si>
    <t>McNeil</t>
  </si>
  <si>
    <t>Garner</t>
  </si>
  <si>
    <t>Branthwaite</t>
  </si>
  <si>
    <t>Harrison</t>
  </si>
  <si>
    <t>Mykolenko</t>
  </si>
  <si>
    <t>Onana</t>
  </si>
  <si>
    <t>Raúl</t>
  </si>
  <si>
    <t>Cairney</t>
  </si>
  <si>
    <t>Iwobi</t>
  </si>
  <si>
    <t>Diop</t>
  </si>
  <si>
    <t>Leno</t>
  </si>
  <si>
    <t>Ream</t>
  </si>
  <si>
    <t>Wilson</t>
  </si>
  <si>
    <t>Castagne</t>
  </si>
  <si>
    <t>Robinson</t>
  </si>
  <si>
    <t>J.Palhinha</t>
  </si>
  <si>
    <t>Andreas</t>
  </si>
  <si>
    <t>De Cordova-Reid</t>
  </si>
  <si>
    <t>Willian</t>
  </si>
  <si>
    <t>A.Becker</t>
  </si>
  <si>
    <t>Salah</t>
  </si>
  <si>
    <t>Alexander-Arnold</t>
  </si>
  <si>
    <t>Virgil</t>
  </si>
  <si>
    <t>Mac Allister</t>
  </si>
  <si>
    <t>Konaté</t>
  </si>
  <si>
    <t>Luis Díaz</t>
  </si>
  <si>
    <t>Darwin</t>
  </si>
  <si>
    <t>Diogo J.</t>
  </si>
  <si>
    <t>Gakpo</t>
  </si>
  <si>
    <t>Szoboszlai</t>
  </si>
  <si>
    <t>Kaminski</t>
  </si>
  <si>
    <t>Adebayo</t>
  </si>
  <si>
    <t>Morris</t>
  </si>
  <si>
    <t>Brown</t>
  </si>
  <si>
    <t>Ederson M.</t>
  </si>
  <si>
    <t>Walker</t>
  </si>
  <si>
    <t>Aké</t>
  </si>
  <si>
    <t>Foden</t>
  </si>
  <si>
    <t>Rodrigo</t>
  </si>
  <si>
    <t>Haaland</t>
  </si>
  <si>
    <t>Bernardo</t>
  </si>
  <si>
    <t>J.Alvarez</t>
  </si>
  <si>
    <t>Rúben</t>
  </si>
  <si>
    <t>Akanji</t>
  </si>
  <si>
    <t>Eriksen</t>
  </si>
  <si>
    <t>Maguire</t>
  </si>
  <si>
    <t>Rashford</t>
  </si>
  <si>
    <t>McTominay</t>
  </si>
  <si>
    <t>Lindelof</t>
  </si>
  <si>
    <t>Martial</t>
  </si>
  <si>
    <t>B.Fernandes</t>
  </si>
  <si>
    <t>Dalot</t>
  </si>
  <si>
    <t>Garnacho</t>
  </si>
  <si>
    <t>Casemiro</t>
  </si>
  <si>
    <t>Trippier</t>
  </si>
  <si>
    <t>Schär</t>
  </si>
  <si>
    <t>Longstaff</t>
  </si>
  <si>
    <t>Burn</t>
  </si>
  <si>
    <t>Joelinton</t>
  </si>
  <si>
    <t>Pope</t>
  </si>
  <si>
    <t>Gordon</t>
  </si>
  <si>
    <t>Anderson</t>
  </si>
  <si>
    <t>Bruno G.</t>
  </si>
  <si>
    <t>Almirón</t>
  </si>
  <si>
    <t>Isak</t>
  </si>
  <si>
    <t>Wood</t>
  </si>
  <si>
    <t>Gibbs-White</t>
  </si>
  <si>
    <t>Boly</t>
  </si>
  <si>
    <t>Elanga</t>
  </si>
  <si>
    <t>Mangala</t>
  </si>
  <si>
    <t>Awoniyi</t>
  </si>
  <si>
    <t>Toffolo</t>
  </si>
  <si>
    <t>Norwood</t>
  </si>
  <si>
    <t>Archer</t>
  </si>
  <si>
    <t>McAtee</t>
  </si>
  <si>
    <t>Maddison</t>
  </si>
  <si>
    <t>Richarlison</t>
  </si>
  <si>
    <t>Romero</t>
  </si>
  <si>
    <t>Kulusevski</t>
  </si>
  <si>
    <t>Johnson</t>
  </si>
  <si>
    <t>Son</t>
  </si>
  <si>
    <t>Sarr</t>
  </si>
  <si>
    <t>Pedro Porro</t>
  </si>
  <si>
    <t>Vicario</t>
  </si>
  <si>
    <t>Antonio</t>
  </si>
  <si>
    <t>Ward-Prowse</t>
  </si>
  <si>
    <t>Zouma</t>
  </si>
  <si>
    <t>Bowen</t>
  </si>
  <si>
    <t>Areola</t>
  </si>
  <si>
    <t>L.Paquetá</t>
  </si>
  <si>
    <t>Coufal</t>
  </si>
  <si>
    <t>Souček</t>
  </si>
  <si>
    <t>Lemina</t>
  </si>
  <si>
    <t>José Sá</t>
  </si>
  <si>
    <t>Toti</t>
  </si>
  <si>
    <t>Hee Chan</t>
  </si>
  <si>
    <t>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</si>
</sst>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5" totalsRowShown="0">
  <autoFilter ref="A1:F15" xr:uid="{00000000-0009-0000-0100-000001000000}"/>
  <tableColumns count="6">
    <tableColumn id="1" xr3:uid="{00000000-0010-0000-0000-000001000000}" name="Name"/>
    <tableColumn id="2" xr3:uid="{00000000-0010-0000-0000-000002000000}" name="ARIMAPP"/>
    <tableColumn id="3" xr3:uid="{00000000-0010-0000-0000-000003000000}" name="LSTMPP"/>
    <tableColumn id="4" xr3:uid="{00000000-0010-0000-0000-000004000000}" name="PP">
      <calculatedColumnFormula>TableARS[[#This Row],[ARIMAPP]]*$I$2+TableARS[[#This Row],[LSTMPP]]*$I$3</calculatedColumnFormula>
    </tableColumn>
    <tableColumn id="5" xr3:uid="{00000000-0010-0000-0000-000005000000}" name="AP"/>
    <tableColumn id="6" xr3:uid="{00000000-0010-0000-0000-000006000000}" name="DIFF">
      <calculatedColumnFormula>ABS(TableARS[[#This Row],[PP]]-TableARS[[#This Row],[AP]])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12" totalsRowShown="0">
  <autoFilter ref="A1:F12" xr:uid="{00000000-0009-0000-0100-000002000000}"/>
  <tableColumns count="6">
    <tableColumn id="1" xr3:uid="{00000000-0010-0000-0100-000001000000}" name="Name"/>
    <tableColumn id="2" xr3:uid="{00000000-0010-0000-0100-000002000000}" name="ARIMAPP"/>
    <tableColumn id="3" xr3:uid="{00000000-0010-0000-0100-000003000000}" name="LSTMPP"/>
    <tableColumn id="4" xr3:uid="{00000000-0010-0000-0100-000004000000}" name="PP">
      <calculatedColumnFormula>TableAVL[[#This Row],[ARIMAPP]]*$I$2+TableAVL[[#This Row],[LSTMPP]]*$I$3</calculatedColumnFormula>
    </tableColumn>
    <tableColumn id="5" xr3:uid="{00000000-0010-0000-0100-000005000000}" name="AP"/>
    <tableColumn id="6" xr3:uid="{00000000-0010-0000-0100-000006000000}" name="DIFF">
      <calculatedColumnFormula>ABS(TableAVL[[#This Row],[PP]]-TableAVL[[#This Row],[AP]])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9" totalsRowShown="0">
  <autoFilter ref="A1:F9" xr:uid="{00000000-0009-0000-0100-000003000000}"/>
  <tableColumns count="6">
    <tableColumn id="1" xr3:uid="{00000000-0010-0000-0200-000001000000}" name="Name"/>
    <tableColumn id="2" xr3:uid="{00000000-0010-0000-0200-000002000000}" name="ARIMAPP"/>
    <tableColumn id="3" xr3:uid="{00000000-0010-0000-0200-000003000000}" name="LSTMPP"/>
    <tableColumn id="4" xr3:uid="{00000000-0010-0000-0200-000004000000}" name="PP">
      <calculatedColumnFormula>TableBOU[[#This Row],[ARIMAPP]]*$I$2+TableBOU[[#This Row],[LSTMPP]]*$I$3</calculatedColumnFormula>
    </tableColumn>
    <tableColumn id="5" xr3:uid="{00000000-0010-0000-0200-000005000000}" name="AP"/>
    <tableColumn id="6" xr3:uid="{00000000-0010-0000-0200-000006000000}" name="DIFF">
      <calculatedColumnFormula>ABS(TableBOU[[#This Row],[PP]]-TableBOU[[#This Row],[AP]])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12" totalsRowShown="0">
  <autoFilter ref="A1:F12" xr:uid="{00000000-0009-0000-0100-000004000000}"/>
  <tableColumns count="6">
    <tableColumn id="1" xr3:uid="{00000000-0010-0000-0300-000001000000}" name="Name"/>
    <tableColumn id="2" xr3:uid="{00000000-0010-0000-0300-000002000000}" name="ARIMAPP"/>
    <tableColumn id="3" xr3:uid="{00000000-0010-0000-0300-000003000000}" name="LSTMPP"/>
    <tableColumn id="4" xr3:uid="{00000000-0010-0000-0300-000004000000}" name="PP">
      <calculatedColumnFormula>TableBRE[[#This Row],[ARIMAPP]]*$I$2+TableBRE[[#This Row],[LSTMPP]]*$I$3</calculatedColumnFormula>
    </tableColumn>
    <tableColumn id="5" xr3:uid="{00000000-0010-0000-0300-000005000000}" name="AP"/>
    <tableColumn id="6" xr3:uid="{00000000-0010-0000-0300-000006000000}" name="DIFF">
      <calculatedColumnFormula>ABS(TableBRE[[#This Row],[PP]]-TableBRE[[#This Row],[AP]])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8" totalsRowShown="0">
  <autoFilter ref="A1:F8" xr:uid="{00000000-0009-0000-0100-000005000000}"/>
  <tableColumns count="6">
    <tableColumn id="1" xr3:uid="{00000000-0010-0000-0400-000001000000}" name="Name"/>
    <tableColumn id="2" xr3:uid="{00000000-0010-0000-0400-000002000000}" name="ARIMAPP"/>
    <tableColumn id="3" xr3:uid="{00000000-0010-0000-0400-000003000000}" name="LSTMPP"/>
    <tableColumn id="4" xr3:uid="{00000000-0010-0000-0400-000004000000}" name="PP">
      <calculatedColumnFormula>TableBHA[[#This Row],[ARIMAPP]]*$I$2+TableBHA[[#This Row],[LSTMPP]]*$I$3</calculatedColumnFormula>
    </tableColumn>
    <tableColumn id="5" xr3:uid="{00000000-0010-0000-0400-000005000000}" name="AP"/>
    <tableColumn id="6" xr3:uid="{00000000-0010-0000-0400-000006000000}" name="DIFF">
      <calculatedColumnFormula>ABS(TableBHA[[#This Row],[PP]]-TableBHA[[#This Row],[AP]])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BUR" displayName="TableBUR" ref="A1:F6" totalsRowShown="0">
  <autoFilter ref="A1:F6" xr:uid="{00000000-0009-0000-0100-000006000000}"/>
  <tableColumns count="6">
    <tableColumn id="1" xr3:uid="{00000000-0010-0000-0500-000001000000}" name="Name"/>
    <tableColumn id="2" xr3:uid="{00000000-0010-0000-0500-000002000000}" name="ARIMAPP"/>
    <tableColumn id="3" xr3:uid="{00000000-0010-0000-0500-000003000000}" name="LSTMPP"/>
    <tableColumn id="4" xr3:uid="{00000000-0010-0000-0500-000004000000}" name="PP">
      <calculatedColumnFormula>TableBUR[[#This Row],[ARIMAPP]]*$I$2+TableBUR[[#This Row],[LSTMPP]]*$I$3</calculatedColumnFormula>
    </tableColumn>
    <tableColumn id="5" xr3:uid="{00000000-0010-0000-0500-000005000000}" name="AP"/>
    <tableColumn id="6" xr3:uid="{00000000-0010-0000-0500-000006000000}" name="DIFF">
      <calculatedColumnFormula>ABS(TableBUR[[#This Row],[PP]]-TableBUR[[#This Row],[AP]])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HE" displayName="TableCHE" ref="A1:F10" totalsRowShown="0">
  <autoFilter ref="A1:F10" xr:uid="{00000000-0009-0000-0100-000007000000}"/>
  <tableColumns count="6">
    <tableColumn id="1" xr3:uid="{00000000-0010-0000-0600-000001000000}" name="Name"/>
    <tableColumn id="2" xr3:uid="{00000000-0010-0000-0600-000002000000}" name="ARIMAPP"/>
    <tableColumn id="3" xr3:uid="{00000000-0010-0000-0600-000003000000}" name="LSTMPP"/>
    <tableColumn id="4" xr3:uid="{00000000-0010-0000-0600-000004000000}" name="PP">
      <calculatedColumnFormula>TableCHE[[#This Row],[ARIMAPP]]*$I$2+TableCHE[[#This Row],[LSTMPP]]*$I$3</calculatedColumnFormula>
    </tableColumn>
    <tableColumn id="5" xr3:uid="{00000000-0010-0000-0600-000005000000}" name="AP"/>
    <tableColumn id="6" xr3:uid="{00000000-0010-0000-0600-000006000000}" name="DIFF">
      <calculatedColumnFormula>ABS(TableCHE[[#This Row],[PP]]-TableCHE[[#This Row],[AP]])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CRY" displayName="TableCRY" ref="A1:F12" totalsRowShown="0">
  <autoFilter ref="A1:F12" xr:uid="{00000000-0009-0000-0100-000008000000}"/>
  <tableColumns count="6">
    <tableColumn id="1" xr3:uid="{00000000-0010-0000-0700-000001000000}" name="Name"/>
    <tableColumn id="2" xr3:uid="{00000000-0010-0000-0700-000002000000}" name="ARIMAPP"/>
    <tableColumn id="3" xr3:uid="{00000000-0010-0000-0700-000003000000}" name="LSTMPP"/>
    <tableColumn id="4" xr3:uid="{00000000-0010-0000-0700-000004000000}" name="PP">
      <calculatedColumnFormula>TableCRY[[#This Row],[ARIMAPP]]*$I$2+TableCRY[[#This Row],[LSTMPP]]*$I$3</calculatedColumnFormula>
    </tableColumn>
    <tableColumn id="5" xr3:uid="{00000000-0010-0000-0700-000005000000}" name="AP"/>
    <tableColumn id="6" xr3:uid="{00000000-0010-0000-0700-000006000000}" name="DIFF">
      <calculatedColumnFormula>ABS(TableCRY[[#This Row],[PP]]-TableCRY[[#This Row],[AP]])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EVE" displayName="TableEVE" ref="A1:F12" totalsRowShown="0">
  <autoFilter ref="A1:F12" xr:uid="{00000000-0009-0000-0100-000009000000}"/>
  <tableColumns count="6">
    <tableColumn id="1" xr3:uid="{00000000-0010-0000-0800-000001000000}" name="Name"/>
    <tableColumn id="2" xr3:uid="{00000000-0010-0000-0800-000002000000}" name="ARIMAPP"/>
    <tableColumn id="3" xr3:uid="{00000000-0010-0000-0800-000003000000}" name="LSTMPP"/>
    <tableColumn id="4" xr3:uid="{00000000-0010-0000-0800-000004000000}" name="PP">
      <calculatedColumnFormula>TableEVE[[#This Row],[ARIMAPP]]*$I$2+TableEVE[[#This Row],[LSTMPP]]*$I$3</calculatedColumnFormula>
    </tableColumn>
    <tableColumn id="5" xr3:uid="{00000000-0010-0000-0800-000005000000}" name="AP"/>
    <tableColumn id="6" xr3:uid="{00000000-0010-0000-0800-000006000000}" name="DIFF">
      <calculatedColumnFormula>ABS(TableEVE[[#This Row],[PP]]-TableEVE[[#This Row],[AP]])</calculatedColumnFormula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FUL" displayName="TableFUL" ref="A1:F14" totalsRowShown="0">
  <autoFilter ref="A1:F14" xr:uid="{00000000-0009-0000-0100-00000A000000}"/>
  <tableColumns count="6">
    <tableColumn id="1" xr3:uid="{00000000-0010-0000-0900-000001000000}" name="Name"/>
    <tableColumn id="2" xr3:uid="{00000000-0010-0000-0900-000002000000}" name="ARIMAPP"/>
    <tableColumn id="3" xr3:uid="{00000000-0010-0000-0900-000003000000}" name="LSTMPP"/>
    <tableColumn id="4" xr3:uid="{00000000-0010-0000-0900-000004000000}" name="PP">
      <calculatedColumnFormula>TableFUL[[#This Row],[ARIMAPP]]*$I$2+TableFUL[[#This Row],[LSTMPP]]*$I$3</calculatedColumnFormula>
    </tableColumn>
    <tableColumn id="5" xr3:uid="{00000000-0010-0000-0900-000005000000}" name="AP"/>
    <tableColumn id="6" xr3:uid="{00000000-0010-0000-0900-000006000000}" name="DIFF">
      <calculatedColumnFormula>ABS(TableFUL[[#This Row],[PP]]-TableFUL[[#This Row],[AP]])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IV" displayName="TableLIV" ref="A1:F12" totalsRowShown="0">
  <autoFilter ref="A1:F12" xr:uid="{00000000-0009-0000-0100-00000B000000}"/>
  <tableColumns count="6">
    <tableColumn id="1" xr3:uid="{00000000-0010-0000-0A00-000001000000}" name="Name"/>
    <tableColumn id="2" xr3:uid="{00000000-0010-0000-0A00-000002000000}" name="ARIMAPP"/>
    <tableColumn id="3" xr3:uid="{00000000-0010-0000-0A00-000003000000}" name="LSTMPP"/>
    <tableColumn id="4" xr3:uid="{00000000-0010-0000-0A00-000004000000}" name="PP">
      <calculatedColumnFormula>TableLIV[[#This Row],[ARIMAPP]]*$I$2+TableLIV[[#This Row],[LSTMPP]]*$I$3</calculatedColumnFormula>
    </tableColumn>
    <tableColumn id="5" xr3:uid="{00000000-0010-0000-0A00-000005000000}" name="AP"/>
    <tableColumn id="6" xr3:uid="{00000000-0010-0000-0A00-000006000000}" name="DIFF">
      <calculatedColumnFormula>ABS(TableLIV[[#This Row],[PP]]-TableLIV[[#This Row],[AP]])</calculatedColumnFormula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UT" displayName="TableLUT" ref="A1:F5" totalsRowShown="0">
  <autoFilter ref="A1:F5" xr:uid="{00000000-0009-0000-0100-00000C000000}"/>
  <tableColumns count="6">
    <tableColumn id="1" xr3:uid="{00000000-0010-0000-0B00-000001000000}" name="Name"/>
    <tableColumn id="2" xr3:uid="{00000000-0010-0000-0B00-000002000000}" name="ARIMAPP"/>
    <tableColumn id="3" xr3:uid="{00000000-0010-0000-0B00-000003000000}" name="LSTMPP"/>
    <tableColumn id="4" xr3:uid="{00000000-0010-0000-0B00-000004000000}" name="PP">
      <calculatedColumnFormula>TableLUT[[#This Row],[ARIMAPP]]*$I$2+TableLUT[[#This Row],[LSTMPP]]*$I$3</calculatedColumnFormula>
    </tableColumn>
    <tableColumn id="5" xr3:uid="{00000000-0010-0000-0B00-000005000000}" name="AP"/>
    <tableColumn id="6" xr3:uid="{00000000-0010-0000-0B00-000006000000}" name="DIFF">
      <calculatedColumnFormula>ABS(TableLUT[[#This Row],[PP]]-TableLUT[[#This Row],[AP]])</calculatedColumnFormula>
    </tableColumn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CI" displayName="TableMCI" ref="A1:F11" totalsRowShown="0">
  <autoFilter ref="A1:F11" xr:uid="{00000000-0009-0000-0100-00000D000000}"/>
  <tableColumns count="6">
    <tableColumn id="1" xr3:uid="{00000000-0010-0000-0C00-000001000000}" name="Name"/>
    <tableColumn id="2" xr3:uid="{00000000-0010-0000-0C00-000002000000}" name="ARIMAPP"/>
    <tableColumn id="3" xr3:uid="{00000000-0010-0000-0C00-000003000000}" name="LSTMPP"/>
    <tableColumn id="4" xr3:uid="{00000000-0010-0000-0C00-000004000000}" name="PP">
      <calculatedColumnFormula>TableMCI[[#This Row],[ARIMAPP]]*$I$2+TableMCI[[#This Row],[LSTMPP]]*$I$3</calculatedColumnFormula>
    </tableColumn>
    <tableColumn id="5" xr3:uid="{00000000-0010-0000-0C00-000005000000}" name="AP"/>
    <tableColumn id="6" xr3:uid="{00000000-0010-0000-0C00-000006000000}" name="DIFF">
      <calculatedColumnFormula>ABS(TableMCI[[#This Row],[PP]]-TableMCI[[#This Row],[AP]])</calculatedColumnFormula>
    </tableColumn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UN" displayName="TableMUN" ref="A1:F12" totalsRowShown="0">
  <autoFilter ref="A1:F12" xr:uid="{00000000-0009-0000-0100-00000E000000}"/>
  <tableColumns count="6">
    <tableColumn id="1" xr3:uid="{00000000-0010-0000-0D00-000001000000}" name="Name"/>
    <tableColumn id="2" xr3:uid="{00000000-0010-0000-0D00-000002000000}" name="ARIMAPP"/>
    <tableColumn id="3" xr3:uid="{00000000-0010-0000-0D00-000003000000}" name="LSTMPP"/>
    <tableColumn id="4" xr3:uid="{00000000-0010-0000-0D00-000004000000}" name="PP">
      <calculatedColumnFormula>TableMUN[[#This Row],[ARIMAPP]]*$I$2+TableMUN[[#This Row],[LSTMPP]]*$I$3</calculatedColumnFormula>
    </tableColumn>
    <tableColumn id="5" xr3:uid="{00000000-0010-0000-0D00-000005000000}" name="AP"/>
    <tableColumn id="6" xr3:uid="{00000000-0010-0000-0D00-000006000000}" name="DIFF">
      <calculatedColumnFormula>ABS(TableMUN[[#This Row],[PP]]-TableMUN[[#This Row],[AP]])</calculatedColumnFormula>
    </tableColumn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EW" displayName="TableNEW" ref="A1:F13" totalsRowShown="0">
  <autoFilter ref="A1:F13" xr:uid="{00000000-0009-0000-0100-00000F000000}"/>
  <tableColumns count="6">
    <tableColumn id="1" xr3:uid="{00000000-0010-0000-0E00-000001000000}" name="Name"/>
    <tableColumn id="2" xr3:uid="{00000000-0010-0000-0E00-000002000000}" name="ARIMAPP"/>
    <tableColumn id="3" xr3:uid="{00000000-0010-0000-0E00-000003000000}" name="LSTMPP"/>
    <tableColumn id="4" xr3:uid="{00000000-0010-0000-0E00-000004000000}" name="PP">
      <calculatedColumnFormula>TableNEW[[#This Row],[ARIMAPP]]*$I$2+TableNEW[[#This Row],[LSTMPP]]*$I$3</calculatedColumnFormula>
    </tableColumn>
    <tableColumn id="5" xr3:uid="{00000000-0010-0000-0E00-000005000000}" name="AP"/>
    <tableColumn id="6" xr3:uid="{00000000-0010-0000-0E00-000006000000}" name="DIFF">
      <calculatedColumnFormula>ABS(TableNEW[[#This Row],[PP]]-TableNEW[[#This Row],[AP]])</calculatedColumnFormula>
    </tableColumn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FO" displayName="TableNFO" ref="A1:F8" totalsRowShown="0">
  <autoFilter ref="A1:F8" xr:uid="{00000000-0009-0000-0100-000010000000}"/>
  <tableColumns count="6">
    <tableColumn id="1" xr3:uid="{00000000-0010-0000-0F00-000001000000}" name="Name"/>
    <tableColumn id="2" xr3:uid="{00000000-0010-0000-0F00-000002000000}" name="ARIMAPP"/>
    <tableColumn id="3" xr3:uid="{00000000-0010-0000-0F00-000003000000}" name="LSTMPP"/>
    <tableColumn id="4" xr3:uid="{00000000-0010-0000-0F00-000004000000}" name="PP">
      <calculatedColumnFormula>TableNFO[[#This Row],[ARIMAPP]]*$I$2+TableNFO[[#This Row],[LSTMPP]]*$I$3</calculatedColumnFormula>
    </tableColumn>
    <tableColumn id="5" xr3:uid="{00000000-0010-0000-0F00-000005000000}" name="AP"/>
    <tableColumn id="6" xr3:uid="{00000000-0010-0000-0F00-000006000000}" name="DIFF">
      <calculatedColumnFormula>ABS(TableNFO[[#This Row],[PP]]-TableNFO[[#This Row],[AP]])</calculatedColumnFormula>
    </tableColumn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SHU" displayName="TableSHU" ref="A1:F4" totalsRowShown="0">
  <autoFilter ref="A1:F4" xr:uid="{00000000-0009-0000-0100-000011000000}"/>
  <tableColumns count="6">
    <tableColumn id="1" xr3:uid="{00000000-0010-0000-1000-000001000000}" name="Name"/>
    <tableColumn id="2" xr3:uid="{00000000-0010-0000-1000-000002000000}" name="ARIMAPP"/>
    <tableColumn id="3" xr3:uid="{00000000-0010-0000-1000-000003000000}" name="LSTMPP"/>
    <tableColumn id="4" xr3:uid="{00000000-0010-0000-1000-000004000000}" name="PP">
      <calculatedColumnFormula>TableSHU[[#This Row],[ARIMAPP]]*$I$2+TableSHU[[#This Row],[LSTMPP]]*$I$3</calculatedColumnFormula>
    </tableColumn>
    <tableColumn id="5" xr3:uid="{00000000-0010-0000-1000-000005000000}" name="AP"/>
    <tableColumn id="6" xr3:uid="{00000000-0010-0000-1000-000006000000}" name="DIFF">
      <calculatedColumnFormula>ABS(TableSHU[[#This Row],[PP]]-TableSHU[[#This Row],[AP]])</calculatedColumnFormula>
    </tableColumn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TOT" displayName="TableTOT" ref="A1:F10" totalsRowShown="0">
  <autoFilter ref="A1:F10" xr:uid="{00000000-0009-0000-0100-000012000000}"/>
  <tableColumns count="6">
    <tableColumn id="1" xr3:uid="{00000000-0010-0000-1100-000001000000}" name="Name"/>
    <tableColumn id="2" xr3:uid="{00000000-0010-0000-1100-000002000000}" name="ARIMAPP"/>
    <tableColumn id="3" xr3:uid="{00000000-0010-0000-1100-000003000000}" name="LSTMPP"/>
    <tableColumn id="4" xr3:uid="{00000000-0010-0000-1100-000004000000}" name="PP">
      <calculatedColumnFormula>TableTOT[[#This Row],[ARIMAPP]]*$I$2+TableTOT[[#This Row],[LSTMPP]]*$I$3</calculatedColumnFormula>
    </tableColumn>
    <tableColumn id="5" xr3:uid="{00000000-0010-0000-1100-000005000000}" name="AP"/>
    <tableColumn id="6" xr3:uid="{00000000-0010-0000-1100-000006000000}" name="DIFF">
      <calculatedColumnFormula>ABS(TableTOT[[#This Row],[PP]]-TableTOT[[#This Row],[AP]])</calculatedColumnFormula>
    </tableColumn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HU" displayName="TableWHU" ref="A1:F9" totalsRowShown="0">
  <autoFilter ref="A1:F9" xr:uid="{00000000-0009-0000-0100-000013000000}"/>
  <tableColumns count="6">
    <tableColumn id="1" xr3:uid="{00000000-0010-0000-1200-000001000000}" name="Name"/>
    <tableColumn id="2" xr3:uid="{00000000-0010-0000-1200-000002000000}" name="ARIMAPP"/>
    <tableColumn id="3" xr3:uid="{00000000-0010-0000-1200-000003000000}" name="LSTMPP"/>
    <tableColumn id="4" xr3:uid="{00000000-0010-0000-1200-000004000000}" name="PP">
      <calculatedColumnFormula>TableWHU[[#This Row],[ARIMAPP]]*$I$2+TableWHU[[#This Row],[LSTMPP]]*$I$3</calculatedColumnFormula>
    </tableColumn>
    <tableColumn id="5" xr3:uid="{00000000-0010-0000-1200-000005000000}" name="AP"/>
    <tableColumn id="6" xr3:uid="{00000000-0010-0000-1200-000006000000}" name="DIFF">
      <calculatedColumnFormula>ABS(TableWHU[[#This Row],[PP]]-TableWHU[[#This Row],[AP]])</calculatedColumnFormula>
    </tableColumn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WOL" displayName="TableWOL" ref="A1:F7" totalsRowShown="0">
  <autoFilter ref="A1:F7" xr:uid="{00000000-0009-0000-0100-000014000000}"/>
  <tableColumns count="6">
    <tableColumn id="1" xr3:uid="{00000000-0010-0000-1300-000001000000}" name="Name"/>
    <tableColumn id="2" xr3:uid="{00000000-0010-0000-1300-000002000000}" name="ARIMAPP"/>
    <tableColumn id="3" xr3:uid="{00000000-0010-0000-1300-000003000000}" name="LSTMPP"/>
    <tableColumn id="4" xr3:uid="{00000000-0010-0000-1300-000004000000}" name="PP">
      <calculatedColumnFormula>TableWOL[[#This Row],[ARIMAPP]]*$I$2+TableWOL[[#This Row],[LSTMPP]]*$I$3</calculatedColumnFormula>
    </tableColumn>
    <tableColumn id="5" xr3:uid="{00000000-0010-0000-1300-000005000000}" name="AP"/>
    <tableColumn id="6" xr3:uid="{00000000-0010-0000-1300-000006000000}" name="DIFF">
      <calculatedColumnFormula>ABS(TableWOL[[#This Row],[PP]]-TableWOL[[#This Row],[AP]])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10</v>
      </c>
      <c r="B2">
        <v>27.979879354613431</v>
      </c>
      <c r="C2">
        <v>27.95774647887324</v>
      </c>
      <c r="D2">
        <f>TableARS[[#This Row],[ARIMAPP]]*$I$2+TableARS[[#This Row],[LSTMPP]]*$I$3</f>
        <v>31.390207521409387</v>
      </c>
      <c r="E2">
        <v>40</v>
      </c>
      <c r="F2">
        <f>ABS(TableARS[[#This Row],[PP]]-TableARS[[#This Row],[AP]])</f>
        <v>8.609792478590613</v>
      </c>
      <c r="H2" t="s">
        <v>0</v>
      </c>
      <c r="I2">
        <v>0.58762180254475516</v>
      </c>
    </row>
    <row r="3" spans="1:9" x14ac:dyDescent="0.2">
      <c r="A3" t="s">
        <v>11</v>
      </c>
      <c r="B3">
        <v>41.142857142857132</v>
      </c>
      <c r="C3">
        <v>34.464285714285722</v>
      </c>
      <c r="D3">
        <f>TableARS[[#This Row],[ARIMAPP]]*$I$2+TableARS[[#This Row],[LSTMPP]]*$I$3</f>
        <v>42.604016798406079</v>
      </c>
      <c r="E3">
        <v>33</v>
      </c>
      <c r="F3">
        <f>ABS(TableARS[[#This Row],[PP]]-TableARS[[#This Row],[AP]])</f>
        <v>9.6040167984060787</v>
      </c>
      <c r="H3" t="s">
        <v>1</v>
      </c>
      <c r="I3">
        <v>0.53468616976560857</v>
      </c>
    </row>
    <row r="4" spans="1:9" x14ac:dyDescent="0.2">
      <c r="A4" t="s">
        <v>12</v>
      </c>
      <c r="B4">
        <v>32.3913043478261</v>
      </c>
      <c r="C4">
        <v>30.75342465753425</v>
      </c>
      <c r="D4">
        <f>TableARS[[#This Row],[ARIMAPP]]*$I$2+TableARS[[#This Row],[LSTMPP]]*$I$3</f>
        <v>35.477267484957551</v>
      </c>
      <c r="E4">
        <v>48</v>
      </c>
      <c r="F4">
        <f>ABS(TableARS[[#This Row],[PP]]-TableARS[[#This Row],[AP]])</f>
        <v>12.522732515042449</v>
      </c>
    </row>
    <row r="5" spans="1:9" x14ac:dyDescent="0.2">
      <c r="A5" t="s">
        <v>13</v>
      </c>
      <c r="B5">
        <v>51.902848644227852</v>
      </c>
      <c r="C5">
        <v>39.800960804781589</v>
      </c>
      <c r="D5">
        <f>TableARS[[#This Row],[ARIMAPP]]*$I$2+TableARS[[#This Row],[LSTMPP]]*$I$3</f>
        <v>51.780268763228548</v>
      </c>
      <c r="E5">
        <v>67</v>
      </c>
      <c r="F5">
        <f>ABS(TableARS[[#This Row],[PP]]-TableARS[[#This Row],[AP]])</f>
        <v>15.219731236771452</v>
      </c>
      <c r="H5" t="s">
        <v>2</v>
      </c>
      <c r="I5" cm="1">
        <f t="array" ref="I5">(SUM(TableARS[PP]-TableARS[AP]))^2</f>
        <v>8.0779356694631609E-28</v>
      </c>
    </row>
    <row r="6" spans="1:9" x14ac:dyDescent="0.2">
      <c r="A6" t="s">
        <v>14</v>
      </c>
      <c r="B6">
        <v>37.925152906914981</v>
      </c>
      <c r="C6">
        <v>34.85849056603773</v>
      </c>
      <c r="D6">
        <f>TableARS[[#This Row],[ARIMAPP]]*$I$2+TableARS[[#This Row],[LSTMPP]]*$I$3</f>
        <v>40.923999517512158</v>
      </c>
      <c r="E6">
        <v>40</v>
      </c>
      <c r="F6">
        <f>ABS(TableARS[[#This Row],[PP]]-TableARS[[#This Row],[AP]])</f>
        <v>0.92399951751215781</v>
      </c>
    </row>
    <row r="7" spans="1:9" x14ac:dyDescent="0.2">
      <c r="A7" t="s">
        <v>15</v>
      </c>
      <c r="B7">
        <v>31.97802197802196</v>
      </c>
      <c r="C7">
        <v>30.972222222222221</v>
      </c>
      <c r="D7">
        <f>TableARS[[#This Row],[ARIMAPP]]*$I$2+TableARS[[#This Row],[LSTMPP]]*$I$3</f>
        <v>35.351401785670326</v>
      </c>
      <c r="E7">
        <v>31</v>
      </c>
      <c r="F7">
        <f>ABS(TableARS[[#This Row],[PP]]-TableARS[[#This Row],[AP]])</f>
        <v>4.3514017856703262</v>
      </c>
      <c r="H7" t="s">
        <v>3</v>
      </c>
      <c r="I7">
        <f>AVERAGE(TableARS[DIFF])/10</f>
        <v>0.80134264603930172</v>
      </c>
    </row>
    <row r="8" spans="1:9" x14ac:dyDescent="0.2">
      <c r="A8" t="s">
        <v>16</v>
      </c>
      <c r="B8">
        <v>57.000754412362078</v>
      </c>
      <c r="C8">
        <v>41.697115812444423</v>
      </c>
      <c r="D8">
        <f>TableARS[[#This Row],[ARIMAPP]]*$I$2+TableARS[[#This Row],[LSTMPP]]*$I$3</f>
        <v>55.78975719823201</v>
      </c>
      <c r="E8">
        <v>53</v>
      </c>
      <c r="F8">
        <f>ABS(TableARS[[#This Row],[PP]]-TableARS[[#This Row],[AP]])</f>
        <v>2.7897571982320102</v>
      </c>
    </row>
    <row r="9" spans="1:9" x14ac:dyDescent="0.2">
      <c r="A9" t="s">
        <v>17</v>
      </c>
      <c r="B9">
        <v>42.000000000000021</v>
      </c>
      <c r="C9">
        <v>35.036205877237848</v>
      </c>
      <c r="D9">
        <f>TableARS[[#This Row],[ARIMAPP]]*$I$2+TableARS[[#This Row],[LSTMPP]]*$I$3</f>
        <v>43.413490430499337</v>
      </c>
      <c r="E9">
        <v>38</v>
      </c>
      <c r="F9">
        <f>ABS(TableARS[[#This Row],[PP]]-TableARS[[#This Row],[AP]])</f>
        <v>5.413490430499337</v>
      </c>
    </row>
    <row r="10" spans="1:9" x14ac:dyDescent="0.2">
      <c r="A10" t="s">
        <v>18</v>
      </c>
      <c r="B10">
        <v>15.8265845102394</v>
      </c>
      <c r="C10">
        <v>28.382352941176482</v>
      </c>
      <c r="D10">
        <f>TableARS[[#This Row],[ARIMAPP]]*$I$2+TableARS[[#This Row],[LSTMPP]]*$I$3</f>
        <v>24.475697701087086</v>
      </c>
      <c r="E10">
        <v>34</v>
      </c>
      <c r="F10">
        <f>ABS(TableARS[[#This Row],[PP]]-TableARS[[#This Row],[AP]])</f>
        <v>9.5243022989129145</v>
      </c>
    </row>
    <row r="11" spans="1:9" x14ac:dyDescent="0.2">
      <c r="A11" t="s">
        <v>19</v>
      </c>
      <c r="B11">
        <v>43.291188416418727</v>
      </c>
      <c r="C11">
        <v>36.169721766669973</v>
      </c>
      <c r="D11">
        <f>TableARS[[#This Row],[ARIMAPP]]*$I$2+TableARS[[#This Row],[LSTMPP]]*$I$3</f>
        <v>44.778296164469126</v>
      </c>
      <c r="E11">
        <v>41</v>
      </c>
      <c r="F11">
        <f>ABS(TableARS[[#This Row],[PP]]-TableARS[[#This Row],[AP]])</f>
        <v>3.7782961644691255</v>
      </c>
    </row>
    <row r="12" spans="1:9" x14ac:dyDescent="0.2">
      <c r="A12" t="s">
        <v>20</v>
      </c>
      <c r="B12">
        <v>37.736227971652738</v>
      </c>
      <c r="C12">
        <v>35.763959949506663</v>
      </c>
      <c r="D12">
        <f>TableARS[[#This Row],[ARIMAPP]]*$I$2+TableARS[[#This Row],[LSTMPP]]*$I$3</f>
        <v>41.297125062994738</v>
      </c>
      <c r="E12">
        <v>48</v>
      </c>
      <c r="F12">
        <f>ABS(TableARS[[#This Row],[PP]]-TableARS[[#This Row],[AP]])</f>
        <v>6.7028749370052623</v>
      </c>
    </row>
    <row r="13" spans="1:9" x14ac:dyDescent="0.2">
      <c r="A13" t="s">
        <v>21</v>
      </c>
      <c r="B13">
        <v>52.702702702702737</v>
      </c>
      <c r="C13">
        <v>48.949073428300053</v>
      </c>
      <c r="D13">
        <f>TableARS[[#This Row],[ARIMAPP]]*$I$2+TableARS[[#This Row],[LSTMPP]]*$I$3</f>
        <v>57.141649746095808</v>
      </c>
      <c r="E13">
        <v>33</v>
      </c>
      <c r="F13">
        <f>ABS(TableARS[[#This Row],[PP]]-TableARS[[#This Row],[AP]])</f>
        <v>24.141649746095808</v>
      </c>
    </row>
    <row r="14" spans="1:9" x14ac:dyDescent="0.2">
      <c r="A14" t="s">
        <v>22</v>
      </c>
      <c r="B14">
        <v>25</v>
      </c>
      <c r="C14">
        <v>25.8</v>
      </c>
      <c r="D14">
        <f>TableARS[[#This Row],[ARIMAPP]]*$I$2+TableARS[[#This Row],[LSTMPP]]*$I$3</f>
        <v>28.485448243571582</v>
      </c>
      <c r="E14">
        <v>32</v>
      </c>
      <c r="F14">
        <f>ABS(TableARS[[#This Row],[PP]]-TableARS[[#This Row],[AP]])</f>
        <v>3.5145517564284177</v>
      </c>
    </row>
    <row r="15" spans="1:9" x14ac:dyDescent="0.2">
      <c r="A15" t="s">
        <v>23</v>
      </c>
      <c r="B15">
        <v>35.641025641025642</v>
      </c>
      <c r="C15">
        <v>33.94127410869541</v>
      </c>
      <c r="D15">
        <f>TableARS[[#This Row],[ARIMAPP]]*$I$2+TableARS[[#This Row],[LSTMPP]]*$I$3</f>
        <v>39.091373581866293</v>
      </c>
      <c r="E15">
        <v>34</v>
      </c>
      <c r="F15">
        <f>ABS(TableARS[[#This Row],[PP]]-TableARS[[#This Row],[AP]])</f>
        <v>5.0913735818662929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24</v>
      </c>
      <c r="B2">
        <v>26.668865026205129</v>
      </c>
      <c r="C2">
        <v>34.34135574190163</v>
      </c>
      <c r="D2">
        <f>TableAVL[[#This Row],[ARIMAPP]]*$I$2+TableAVL[[#This Row],[LSTMPP]]*$I$3</f>
        <v>35.013998426342468</v>
      </c>
      <c r="E2">
        <v>24</v>
      </c>
      <c r="F2">
        <f>ABS(TableAVL[[#This Row],[PP]]-TableAVL[[#This Row],[AP]])</f>
        <v>11.013998426342468</v>
      </c>
      <c r="H2" t="s">
        <v>0</v>
      </c>
      <c r="I2">
        <v>0.59361347802215803</v>
      </c>
    </row>
    <row r="3" spans="1:9" x14ac:dyDescent="0.2">
      <c r="A3" t="s">
        <v>25</v>
      </c>
      <c r="B3">
        <v>33.04635761589406</v>
      </c>
      <c r="C3">
        <v>35.189054271547981</v>
      </c>
      <c r="D3">
        <f>TableAVL[[#This Row],[ARIMAPP]]*$I$2+TableAVL[[#This Row],[LSTMPP]]*$I$3</f>
        <v>39.273286392309224</v>
      </c>
      <c r="E3">
        <v>23</v>
      </c>
      <c r="F3">
        <f>ABS(TableAVL[[#This Row],[PP]]-TableAVL[[#This Row],[AP]])</f>
        <v>16.273286392309224</v>
      </c>
      <c r="H3" t="s">
        <v>1</v>
      </c>
      <c r="I3">
        <v>0.55859765256230687</v>
      </c>
    </row>
    <row r="4" spans="1:9" x14ac:dyDescent="0.2">
      <c r="A4" t="s">
        <v>26</v>
      </c>
      <c r="B4">
        <v>44.625468627637026</v>
      </c>
      <c r="C4">
        <v>26.68181818181818</v>
      </c>
      <c r="D4">
        <f>TableAVL[[#This Row],[ARIMAPP]]*$I$2+TableAVL[[#This Row],[LSTMPP]]*$I$3</f>
        <v>41.394680642878228</v>
      </c>
      <c r="E4">
        <v>50</v>
      </c>
      <c r="F4">
        <f>ABS(TableAVL[[#This Row],[PP]]-TableAVL[[#This Row],[AP]])</f>
        <v>8.6053193571217719</v>
      </c>
    </row>
    <row r="5" spans="1:9" x14ac:dyDescent="0.2">
      <c r="A5" t="s">
        <v>27</v>
      </c>
      <c r="B5">
        <v>29.469696969696951</v>
      </c>
      <c r="C5">
        <v>29.61904761904762</v>
      </c>
      <c r="D5">
        <f>TableAVL[[#This Row],[ARIMAPP]]*$I$2+TableAVL[[#This Row],[LSTMPP]]*$I$3</f>
        <v>34.038739785572041</v>
      </c>
      <c r="E5">
        <v>40</v>
      </c>
      <c r="F5">
        <f>ABS(TableAVL[[#This Row],[PP]]-TableAVL[[#This Row],[AP]])</f>
        <v>5.9612602144279592</v>
      </c>
      <c r="H5" t="s">
        <v>2</v>
      </c>
      <c r="I5" cm="1">
        <f t="array" ref="I5">(SUM(TableAVL[PP]-TableAVL[AP]))^2</f>
        <v>4.0894549326657252E-27</v>
      </c>
    </row>
    <row r="6" spans="1:9" x14ac:dyDescent="0.2">
      <c r="A6" t="s">
        <v>28</v>
      </c>
      <c r="B6">
        <v>28.346456692913371</v>
      </c>
      <c r="C6">
        <v>28.663366336633661</v>
      </c>
      <c r="D6">
        <f>TableAVL[[#This Row],[ARIMAPP]]*$I$2+TableAVL[[#This Row],[LSTMPP]]*$I$3</f>
        <v>32.838127897261799</v>
      </c>
      <c r="E6">
        <v>31</v>
      </c>
      <c r="F6">
        <f>ABS(TableAVL[[#This Row],[PP]]-TableAVL[[#This Row],[AP]])</f>
        <v>1.8381278972617991</v>
      </c>
    </row>
    <row r="7" spans="1:9" x14ac:dyDescent="0.2">
      <c r="A7" t="s">
        <v>29</v>
      </c>
      <c r="B7">
        <v>42.870370370370388</v>
      </c>
      <c r="C7">
        <v>40.507895363241488</v>
      </c>
      <c r="D7">
        <f>TableAVL[[#This Row],[ARIMAPP]]*$I$2+TableAVL[[#This Row],[LSTMPP]]*$I$3</f>
        <v>48.076044919799884</v>
      </c>
      <c r="E7">
        <v>75</v>
      </c>
      <c r="F7">
        <f>ABS(TableAVL[[#This Row],[PP]]-TableAVL[[#This Row],[AP]])</f>
        <v>26.923955080200116</v>
      </c>
      <c r="H7" t="s">
        <v>3</v>
      </c>
      <c r="I7">
        <f>AVERAGE(TableAVL[DIFF])/10</f>
        <v>1.1341731559760349</v>
      </c>
    </row>
    <row r="8" spans="1:9" x14ac:dyDescent="0.2">
      <c r="A8" t="s">
        <v>30</v>
      </c>
      <c r="B8">
        <v>28.679245283018879</v>
      </c>
      <c r="C8">
        <v>28.214285714285719</v>
      </c>
      <c r="D8">
        <f>TableAVL[[#This Row],[ARIMAPP]]*$I$2+TableAVL[[#This Row],[LSTMPP]]*$I$3</f>
        <v>32.78482030822564</v>
      </c>
      <c r="E8">
        <v>39</v>
      </c>
      <c r="F8">
        <f>ABS(TableAVL[[#This Row],[PP]]-TableAVL[[#This Row],[AP]])</f>
        <v>6.2151796917743596</v>
      </c>
    </row>
    <row r="9" spans="1:9" x14ac:dyDescent="0.2">
      <c r="A9" t="s">
        <v>31</v>
      </c>
      <c r="B9">
        <v>26</v>
      </c>
      <c r="C9">
        <v>26.041666666666671</v>
      </c>
      <c r="D9">
        <f>TableAVL[[#This Row],[ARIMAPP]]*$I$2+TableAVL[[#This Row],[LSTMPP]]*$I$3</f>
        <v>29.980764297386187</v>
      </c>
      <c r="E9">
        <v>25</v>
      </c>
      <c r="F9">
        <f>ABS(TableAVL[[#This Row],[PP]]-TableAVL[[#This Row],[AP]])</f>
        <v>4.9807642973861874</v>
      </c>
    </row>
    <row r="10" spans="1:9" x14ac:dyDescent="0.2">
      <c r="A10" t="s">
        <v>32</v>
      </c>
      <c r="B10">
        <v>34.871794871794883</v>
      </c>
      <c r="C10">
        <v>32.258064516129032</v>
      </c>
      <c r="D10">
        <f>TableAVL[[#This Row],[ARIMAPP]]*$I$2+TableAVL[[#This Row],[LSTMPP]]*$I$3</f>
        <v>38.71964655363454</v>
      </c>
      <c r="E10">
        <v>33</v>
      </c>
      <c r="F10">
        <f>ABS(TableAVL[[#This Row],[PP]]-TableAVL[[#This Row],[AP]])</f>
        <v>5.71964655363454</v>
      </c>
    </row>
    <row r="11" spans="1:9" x14ac:dyDescent="0.2">
      <c r="A11" t="s">
        <v>33</v>
      </c>
      <c r="B11">
        <v>61.349748802845703</v>
      </c>
      <c r="C11">
        <v>50.368386118426109</v>
      </c>
      <c r="D11">
        <f>TableAVL[[#This Row],[ARIMAPP]]*$I$2+TableAVL[[#This Row],[LSTMPP]]*$I$3</f>
        <v>64.553700011747665</v>
      </c>
      <c r="E11">
        <v>42</v>
      </c>
      <c r="F11">
        <f>ABS(TableAVL[[#This Row],[PP]]-TableAVL[[#This Row],[AP]])</f>
        <v>22.553700011747665</v>
      </c>
    </row>
    <row r="12" spans="1:9" x14ac:dyDescent="0.2">
      <c r="A12" t="s">
        <v>34</v>
      </c>
      <c r="B12">
        <v>21.999999999999989</v>
      </c>
      <c r="C12">
        <v>23.75</v>
      </c>
      <c r="D12">
        <f>TableAVL[[#This Row],[ARIMAPP]]*$I$2+TableAVL[[#This Row],[LSTMPP]]*$I$3</f>
        <v>26.326190764842259</v>
      </c>
      <c r="E12">
        <v>41</v>
      </c>
      <c r="F12">
        <f>ABS(TableAVL[[#This Row],[PP]]-TableAVL[[#This Row],[AP]])</f>
        <v>14.673809235157741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35</v>
      </c>
      <c r="B2">
        <v>26.164702659612569</v>
      </c>
      <c r="C2">
        <v>26.875</v>
      </c>
      <c r="D2">
        <f>TableBOU[[#This Row],[ARIMAPP]]*$I$2+TableBOU[[#This Row],[LSTMPP]]*$I$3</f>
        <v>28.192048194738085</v>
      </c>
      <c r="E2">
        <v>29</v>
      </c>
      <c r="F2">
        <f>ABS(TableBOU[[#This Row],[PP]]-TableBOU[[#This Row],[AP]])</f>
        <v>0.80795180526191501</v>
      </c>
      <c r="H2" t="s">
        <v>0</v>
      </c>
      <c r="I2">
        <v>0.53639888282077131</v>
      </c>
    </row>
    <row r="3" spans="1:9" x14ac:dyDescent="0.2">
      <c r="A3" t="s">
        <v>36</v>
      </c>
      <c r="B3">
        <v>38.88347715359712</v>
      </c>
      <c r="C3">
        <v>27.222222222222221</v>
      </c>
      <c r="D3">
        <f>TableBOU[[#This Row],[ARIMAPP]]*$I$2+TableBOU[[#This Row],[LSTMPP]]*$I$3</f>
        <v>35.197295876341393</v>
      </c>
      <c r="E3">
        <v>43</v>
      </c>
      <c r="F3">
        <f>ABS(TableBOU[[#This Row],[PP]]-TableBOU[[#This Row],[AP]])</f>
        <v>7.8027041236586072</v>
      </c>
      <c r="H3" t="s">
        <v>1</v>
      </c>
      <c r="I3">
        <v>0.52678440628034384</v>
      </c>
    </row>
    <row r="4" spans="1:9" x14ac:dyDescent="0.2">
      <c r="A4" t="s">
        <v>37</v>
      </c>
      <c r="B4">
        <v>23.103448275862061</v>
      </c>
      <c r="C4">
        <v>26.739130434782609</v>
      </c>
      <c r="D4">
        <f>TableBOU[[#This Row],[ARIMAPP]]*$I$2+TableBOU[[#This Row],[LSTMPP]]*$I$3</f>
        <v>26.478420795019513</v>
      </c>
      <c r="E4">
        <v>22</v>
      </c>
      <c r="F4">
        <f>ABS(TableBOU[[#This Row],[PP]]-TableBOU[[#This Row],[AP]])</f>
        <v>4.4784207950195132</v>
      </c>
    </row>
    <row r="5" spans="1:9" x14ac:dyDescent="0.2">
      <c r="A5" t="s">
        <v>38</v>
      </c>
      <c r="B5">
        <v>19.44444444444445</v>
      </c>
      <c r="C5">
        <v>24.642857142857149</v>
      </c>
      <c r="D5">
        <f>TableBOU[[#This Row],[ARIMAPP]]*$I$2+TableBOU[[#This Row],[LSTMPP]]*$I$3</f>
        <v>23.411451146121891</v>
      </c>
      <c r="E5">
        <v>28</v>
      </c>
      <c r="F5">
        <f>ABS(TableBOU[[#This Row],[PP]]-TableBOU[[#This Row],[AP]])</f>
        <v>4.588548853878109</v>
      </c>
      <c r="H5" t="s">
        <v>2</v>
      </c>
      <c r="I5" cm="1">
        <f t="array" ref="I5">(SUM(TableBOU[PP]-TableBOU[AP]))^2</f>
        <v>8.0779356694631609E-28</v>
      </c>
    </row>
    <row r="6" spans="1:9" x14ac:dyDescent="0.2">
      <c r="A6" t="s">
        <v>39</v>
      </c>
      <c r="B6">
        <v>39.05638845187017</v>
      </c>
      <c r="C6">
        <v>33.684210526315788</v>
      </c>
      <c r="D6">
        <f>TableBOU[[#This Row],[ARIMAPP]]*$I$2+TableBOU[[#This Row],[LSTMPP]]*$I$3</f>
        <v>38.694119975724604</v>
      </c>
      <c r="E6">
        <v>33</v>
      </c>
      <c r="F6">
        <f>ABS(TableBOU[[#This Row],[PP]]-TableBOU[[#This Row],[AP]])</f>
        <v>5.6941199757246039</v>
      </c>
    </row>
    <row r="7" spans="1:9" x14ac:dyDescent="0.2">
      <c r="A7" t="s">
        <v>40</v>
      </c>
      <c r="B7">
        <v>22.12121212121211</v>
      </c>
      <c r="C7">
        <v>27.11538461538461</v>
      </c>
      <c r="D7">
        <f>TableBOU[[#This Row],[ARIMAPP]]*$I$2+TableBOU[[#This Row],[LSTMPP]]*$I$3</f>
        <v>26.149755254138032</v>
      </c>
      <c r="E7">
        <v>24</v>
      </c>
      <c r="F7">
        <f>ABS(TableBOU[[#This Row],[PP]]-TableBOU[[#This Row],[AP]])</f>
        <v>2.1497552541380323</v>
      </c>
      <c r="H7" t="s">
        <v>3</v>
      </c>
      <c r="I7">
        <f>AVERAGE(TableBOU[DIFF])/10</f>
        <v>0.35602123868486901</v>
      </c>
    </row>
    <row r="8" spans="1:9" x14ac:dyDescent="0.2">
      <c r="A8" t="s">
        <v>41</v>
      </c>
      <c r="B8">
        <v>33.575031685625973</v>
      </c>
      <c r="C8">
        <v>37.793343535449488</v>
      </c>
      <c r="D8">
        <f>TableBOU[[#This Row],[ARIMAPP]]*$I$2+TableBOU[[#This Row],[LSTMPP]]*$I$3</f>
        <v>37.918553522512596</v>
      </c>
      <c r="E8">
        <v>36</v>
      </c>
      <c r="F8">
        <f>ABS(TableBOU[[#This Row],[PP]]-TableBOU[[#This Row],[AP]])</f>
        <v>1.918553522512596</v>
      </c>
    </row>
    <row r="9" spans="1:9" x14ac:dyDescent="0.2">
      <c r="A9" t="s">
        <v>42</v>
      </c>
      <c r="B9">
        <v>29.207217968977901</v>
      </c>
      <c r="C9">
        <v>23.333333333333329</v>
      </c>
      <c r="D9">
        <f>TableBOU[[#This Row],[ARIMAPP]]*$I$2+TableBOU[[#This Row],[LSTMPP]]*$I$3</f>
        <v>27.958355235403857</v>
      </c>
      <c r="E9">
        <v>29</v>
      </c>
      <c r="F9">
        <f>ABS(TableBOU[[#This Row],[PP]]-TableBOU[[#This Row],[AP]])</f>
        <v>1.0416447645961426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43</v>
      </c>
      <c r="B2">
        <v>15.523872683713639</v>
      </c>
      <c r="C2">
        <v>30.940594059405939</v>
      </c>
      <c r="D2">
        <f>TableBRE[[#This Row],[ARIMAPP]]*$I$2+TableBRE[[#This Row],[LSTMPP]]*$I$3</f>
        <v>25.038513727691765</v>
      </c>
      <c r="E2">
        <v>30</v>
      </c>
      <c r="F2">
        <f>ABS(TableBRE[[#This Row],[PP]]-TableBRE[[#This Row],[AP]])</f>
        <v>4.9614862723082354</v>
      </c>
      <c r="H2" t="s">
        <v>0</v>
      </c>
      <c r="I2">
        <v>0.5424115640915943</v>
      </c>
    </row>
    <row r="3" spans="1:9" x14ac:dyDescent="0.2">
      <c r="A3" t="s">
        <v>44</v>
      </c>
      <c r="B3">
        <v>31.052631578947381</v>
      </c>
      <c r="C3">
        <v>29.666666666666671</v>
      </c>
      <c r="D3">
        <f>TableBRE[[#This Row],[ARIMAPP]]*$I$2+TableBRE[[#This Row],[LSTMPP]]*$I$3</f>
        <v>32.777266030694612</v>
      </c>
      <c r="E3">
        <v>24</v>
      </c>
      <c r="F3">
        <f>ABS(TableBRE[[#This Row],[PP]]-TableBRE[[#This Row],[AP]])</f>
        <v>8.7772660306946122</v>
      </c>
      <c r="H3" t="s">
        <v>1</v>
      </c>
      <c r="I3">
        <v>0.53709976067857512</v>
      </c>
    </row>
    <row r="4" spans="1:9" x14ac:dyDescent="0.2">
      <c r="A4" t="s">
        <v>45</v>
      </c>
      <c r="B4">
        <v>32.222222222222221</v>
      </c>
      <c r="C4">
        <v>29.400000000000009</v>
      </c>
      <c r="D4">
        <f>TableBRE[[#This Row],[ARIMAPP]]*$I$2+TableBRE[[#This Row],[LSTMPP]]*$I$3</f>
        <v>33.268438918012592</v>
      </c>
      <c r="E4">
        <v>33</v>
      </c>
      <c r="F4">
        <f>ABS(TableBRE[[#This Row],[PP]]-TableBRE[[#This Row],[AP]])</f>
        <v>0.2684389180125919</v>
      </c>
    </row>
    <row r="5" spans="1:9" x14ac:dyDescent="0.2">
      <c r="A5" t="s">
        <v>46</v>
      </c>
      <c r="B5">
        <v>26.617647058823511</v>
      </c>
      <c r="C5">
        <v>27.407407407407408</v>
      </c>
      <c r="D5">
        <f>TableBRE[[#This Row],[ARIMAPP]]*$I$2+TableBRE[[#This Row],[LSTMPP]]*$I$3</f>
        <v>29.158231532953209</v>
      </c>
      <c r="E5">
        <v>27</v>
      </c>
      <c r="F5">
        <f>ABS(TableBRE[[#This Row],[PP]]-TableBRE[[#This Row],[AP]])</f>
        <v>2.1582315329532094</v>
      </c>
      <c r="H5" t="s">
        <v>2</v>
      </c>
      <c r="I5" cm="1">
        <f t="array" ref="I5">(SUM(TableBRE[PP]-TableBRE[AP]))^2</f>
        <v>3.1554436208840472E-28</v>
      </c>
    </row>
    <row r="6" spans="1:9" x14ac:dyDescent="0.2">
      <c r="A6" t="s">
        <v>47</v>
      </c>
      <c r="B6">
        <v>38.799999999999983</v>
      </c>
      <c r="C6">
        <v>33.994475729001188</v>
      </c>
      <c r="D6">
        <f>TableBRE[[#This Row],[ARIMAPP]]*$I$2+TableBRE[[#This Row],[LSTMPP]]*$I$3</f>
        <v>39.303993465194019</v>
      </c>
      <c r="E6">
        <v>52</v>
      </c>
      <c r="F6">
        <f>ABS(TableBRE[[#This Row],[PP]]-TableBRE[[#This Row],[AP]])</f>
        <v>12.696006534805981</v>
      </c>
    </row>
    <row r="7" spans="1:9" x14ac:dyDescent="0.2">
      <c r="A7" t="s">
        <v>48</v>
      </c>
      <c r="B7">
        <v>32.647058823529413</v>
      </c>
      <c r="C7">
        <v>30.74074074074073</v>
      </c>
      <c r="D7">
        <f>TableBRE[[#This Row],[ARIMAPP]]*$I$2+TableBRE[[#This Row],[LSTMPP]]*$I$3</f>
        <v>34.218986734394846</v>
      </c>
      <c r="E7">
        <v>21</v>
      </c>
      <c r="F7">
        <f>ABS(TableBRE[[#This Row],[PP]]-TableBRE[[#This Row],[AP]])</f>
        <v>13.218986734394846</v>
      </c>
      <c r="H7" t="s">
        <v>3</v>
      </c>
      <c r="I7">
        <f>AVERAGE(TableBRE[DIFF])/10</f>
        <v>0.75195689327342874</v>
      </c>
    </row>
    <row r="8" spans="1:9" x14ac:dyDescent="0.2">
      <c r="A8" t="s">
        <v>49</v>
      </c>
      <c r="B8">
        <v>30.76993726481431</v>
      </c>
      <c r="C8">
        <v>28.72727272727272</v>
      </c>
      <c r="D8">
        <f>TableBRE[[#This Row],[ARIMAPP]]*$I$2+TableBRE[[#This Row],[LSTMPP]]*$I$3</f>
        <v>32.119381105574497</v>
      </c>
      <c r="E8">
        <v>27</v>
      </c>
      <c r="F8">
        <f>ABS(TableBRE[[#This Row],[PP]]-TableBRE[[#This Row],[AP]])</f>
        <v>5.1193811055744973</v>
      </c>
    </row>
    <row r="9" spans="1:9" x14ac:dyDescent="0.2">
      <c r="A9" t="s">
        <v>50</v>
      </c>
      <c r="B9">
        <v>33.622288381029179</v>
      </c>
      <c r="C9">
        <v>27.35720703286848</v>
      </c>
      <c r="D9">
        <f>TableBRE[[#This Row],[ARIMAPP]]*$I$2+TableBRE[[#This Row],[LSTMPP]]*$I$3</f>
        <v>32.930667379280564</v>
      </c>
      <c r="E9">
        <v>51</v>
      </c>
      <c r="F9">
        <f>ABS(TableBRE[[#This Row],[PP]]-TableBRE[[#This Row],[AP]])</f>
        <v>18.069332620719436</v>
      </c>
    </row>
    <row r="10" spans="1:9" x14ac:dyDescent="0.2">
      <c r="A10" t="s">
        <v>51</v>
      </c>
      <c r="B10">
        <v>23.777777777777771</v>
      </c>
      <c r="C10">
        <v>26.944444444444439</v>
      </c>
      <c r="D10">
        <f>TableBRE[[#This Row],[ARIMAPP]]*$I$2+TableBRE[[#This Row],[LSTMPP]]*$I$3</f>
        <v>27.369196297795064</v>
      </c>
      <c r="E10">
        <v>33</v>
      </c>
      <c r="F10">
        <f>ABS(TableBRE[[#This Row],[PP]]-TableBRE[[#This Row],[AP]])</f>
        <v>5.6308037022049362</v>
      </c>
    </row>
    <row r="11" spans="1:9" x14ac:dyDescent="0.2">
      <c r="A11" t="s">
        <v>52</v>
      </c>
      <c r="B11">
        <v>23.91304347826086</v>
      </c>
      <c r="C11">
        <v>24.166666666666671</v>
      </c>
      <c r="D11">
        <f>TableBRE[[#This Row],[ARIMAPP]]*$I$2+TableBRE[[#This Row],[LSTMPP]]*$I$3</f>
        <v>25.950622198299339</v>
      </c>
      <c r="E11">
        <v>23</v>
      </c>
      <c r="F11">
        <f>ABS(TableBRE[[#This Row],[PP]]-TableBRE[[#This Row],[AP]])</f>
        <v>2.9506221982993388</v>
      </c>
    </row>
    <row r="12" spans="1:9" x14ac:dyDescent="0.2">
      <c r="A12" t="s">
        <v>53</v>
      </c>
      <c r="B12">
        <v>35</v>
      </c>
      <c r="C12">
        <v>31.428608058914421</v>
      </c>
      <c r="D12">
        <f>TableBRE[[#This Row],[ARIMAPP]]*$I$2+TableBRE[[#This Row],[LSTMPP]]*$I$3</f>
        <v>35.864702610109475</v>
      </c>
      <c r="E12">
        <v>27</v>
      </c>
      <c r="F12">
        <f>ABS(TableBRE[[#This Row],[PP]]-TableBRE[[#This Row],[AP]])</f>
        <v>8.8647026101094752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54</v>
      </c>
      <c r="B2">
        <v>34.121621621621642</v>
      </c>
      <c r="C2">
        <v>31.652542372881349</v>
      </c>
      <c r="D2">
        <f>TableBHA[[#This Row],[ARIMAPP]]*$I$2+TableBHA[[#This Row],[LSTMPP]]*$I$3</f>
        <v>29.889256278242527</v>
      </c>
      <c r="E2">
        <v>49</v>
      </c>
      <c r="F2">
        <f>ABS(TableBHA[[#This Row],[PP]]-TableBHA[[#This Row],[AP]])</f>
        <v>19.110743721757473</v>
      </c>
      <c r="H2" t="s">
        <v>0</v>
      </c>
      <c r="I2">
        <v>0.45790524427314588</v>
      </c>
    </row>
    <row r="3" spans="1:9" x14ac:dyDescent="0.2">
      <c r="A3" t="s">
        <v>55</v>
      </c>
      <c r="B3">
        <v>19.375000000000011</v>
      </c>
      <c r="C3">
        <v>23.815789473684209</v>
      </c>
      <c r="D3">
        <f>TableBHA[[#This Row],[ARIMAPP]]*$I$2+TableBHA[[#This Row],[LSTMPP]]*$I$3</f>
        <v>19.604927436863733</v>
      </c>
      <c r="E3">
        <v>20</v>
      </c>
      <c r="F3">
        <f>ABS(TableBHA[[#This Row],[PP]]-TableBHA[[#This Row],[AP]])</f>
        <v>0.39507256313626726</v>
      </c>
      <c r="H3" t="s">
        <v>1</v>
      </c>
      <c r="I3">
        <v>0.45066796298863876</v>
      </c>
    </row>
    <row r="4" spans="1:9" x14ac:dyDescent="0.2">
      <c r="A4" t="s">
        <v>56</v>
      </c>
      <c r="B4">
        <v>22.285714285714281</v>
      </c>
      <c r="C4">
        <v>24.107142857142851</v>
      </c>
      <c r="D4">
        <f>TableBHA[[#This Row],[ARIMAPP]]*$I$2+TableBHA[[#This Row],[LSTMPP]]*$I$3</f>
        <v>21.069062408706216</v>
      </c>
      <c r="E4">
        <v>31</v>
      </c>
      <c r="F4">
        <f>ABS(TableBHA[[#This Row],[PP]]-TableBHA[[#This Row],[AP]])</f>
        <v>9.9309375912937838</v>
      </c>
    </row>
    <row r="5" spans="1:9" x14ac:dyDescent="0.2">
      <c r="A5" t="s">
        <v>57</v>
      </c>
      <c r="B5">
        <v>46.000000000000007</v>
      </c>
      <c r="C5">
        <v>45.908828811982993</v>
      </c>
      <c r="D5">
        <f>TableBHA[[#This Row],[ARIMAPP]]*$I$2+TableBHA[[#This Row],[LSTMPP]]*$I$3</f>
        <v>41.753279600455215</v>
      </c>
      <c r="E5">
        <v>20</v>
      </c>
      <c r="F5">
        <f>ABS(TableBHA[[#This Row],[PP]]-TableBHA[[#This Row],[AP]])</f>
        <v>21.753279600455215</v>
      </c>
      <c r="H5" t="s">
        <v>2</v>
      </c>
      <c r="I5" cm="1">
        <f t="array" ref="I5">(SUM(TableBHA[PP]-TableBHA[AP]))^2</f>
        <v>1.0223637331664313E-27</v>
      </c>
    </row>
    <row r="6" spans="1:9" x14ac:dyDescent="0.2">
      <c r="A6" t="s">
        <v>58</v>
      </c>
      <c r="B6">
        <v>35.238095238095227</v>
      </c>
      <c r="C6">
        <v>29.0625</v>
      </c>
      <c r="D6">
        <f>TableBHA[[#This Row],[ARIMAPP]]*$I$2+TableBHA[[#This Row],[LSTMPP]]*$I$3</f>
        <v>29.233246282077687</v>
      </c>
      <c r="E6">
        <v>24</v>
      </c>
      <c r="F6">
        <f>ABS(TableBHA[[#This Row],[PP]]-TableBHA[[#This Row],[AP]])</f>
        <v>5.2332462820776868</v>
      </c>
    </row>
    <row r="7" spans="1:9" x14ac:dyDescent="0.2">
      <c r="A7" t="s">
        <v>59</v>
      </c>
      <c r="B7">
        <v>43.437500000000007</v>
      </c>
      <c r="C7">
        <v>44.729182618893169</v>
      </c>
      <c r="D7">
        <f>TableBHA[[#This Row],[ARIMAPP]]*$I$2+TableBHA[[#This Row],[LSTMPP]]*$I$3</f>
        <v>40.048268665118187</v>
      </c>
      <c r="E7">
        <v>36</v>
      </c>
      <c r="F7">
        <f>ABS(TableBHA[[#This Row],[PP]]-TableBHA[[#This Row],[AP]])</f>
        <v>4.0482686651181865</v>
      </c>
      <c r="H7" t="s">
        <v>3</v>
      </c>
      <c r="I7">
        <f>AVERAGE(TableBHA[DIFF])/10</f>
        <v>0.8867084156471744</v>
      </c>
    </row>
    <row r="8" spans="1:9" x14ac:dyDescent="0.2">
      <c r="A8" t="s">
        <v>60</v>
      </c>
      <c r="B8">
        <v>32.5</v>
      </c>
      <c r="C8">
        <v>30</v>
      </c>
      <c r="D8">
        <f>TableBHA[[#This Row],[ARIMAPP]]*$I$2+TableBHA[[#This Row],[LSTMPP]]*$I$3</f>
        <v>28.401959328536403</v>
      </c>
      <c r="E8">
        <v>30</v>
      </c>
      <c r="F8">
        <f>ABS(TableBHA[[#This Row],[PP]]-TableBHA[[#This Row],[AP]])</f>
        <v>1.5980406714635969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61</v>
      </c>
      <c r="B2">
        <v>27.372881355932211</v>
      </c>
      <c r="C2">
        <v>28.40425531914893</v>
      </c>
      <c r="D2">
        <f>TableBUR[[#This Row],[ARIMAPP]]*$I$2+TableBUR[[#This Row],[LSTMPP]]*$I$3</f>
        <v>31.769750271018005</v>
      </c>
      <c r="E2">
        <v>24</v>
      </c>
      <c r="F2">
        <f>ABS(TableBUR[[#This Row],[PP]]-TableBUR[[#This Row],[AP]])</f>
        <v>7.7697502710180046</v>
      </c>
      <c r="H2" t="s">
        <v>0</v>
      </c>
      <c r="I2">
        <v>0.52739613555138398</v>
      </c>
    </row>
    <row r="3" spans="1:9" x14ac:dyDescent="0.2">
      <c r="A3" t="s">
        <v>62</v>
      </c>
      <c r="B3">
        <v>23.64864864864867</v>
      </c>
      <c r="C3">
        <v>25.16949152542373</v>
      </c>
      <c r="D3">
        <f>TableBUR[[#This Row],[ARIMAPP]]*$I$2+TableBUR[[#This Row],[LSTMPP]]*$I$3</f>
        <v>27.831623709012803</v>
      </c>
      <c r="E3">
        <v>29</v>
      </c>
      <c r="F3">
        <f>ABS(TableBUR[[#This Row],[PP]]-TableBUR[[#This Row],[AP]])</f>
        <v>1.1683762909871973</v>
      </c>
      <c r="H3" t="s">
        <v>1</v>
      </c>
      <c r="I3">
        <v>0.61023949511210718</v>
      </c>
    </row>
    <row r="4" spans="1:9" x14ac:dyDescent="0.2">
      <c r="A4" t="s">
        <v>63</v>
      </c>
      <c r="B4">
        <v>27.5</v>
      </c>
      <c r="C4">
        <v>30.148853643484181</v>
      </c>
      <c r="D4">
        <f>TableBUR[[#This Row],[ARIMAPP]]*$I$2+TableBUR[[#This Row],[LSTMPP]]*$I$3</f>
        <v>32.901414953271654</v>
      </c>
      <c r="E4">
        <v>28</v>
      </c>
      <c r="F4">
        <f>ABS(TableBUR[[#This Row],[PP]]-TableBUR[[#This Row],[AP]])</f>
        <v>4.9014149532716544</v>
      </c>
    </row>
    <row r="5" spans="1:9" x14ac:dyDescent="0.2">
      <c r="A5" t="s">
        <v>64</v>
      </c>
      <c r="B5">
        <v>17.499999997048079</v>
      </c>
      <c r="C5">
        <v>21.666666666666671</v>
      </c>
      <c r="D5">
        <f>TableBUR[[#This Row],[ARIMAPP]]*$I$2+TableBUR[[#This Row],[LSTMPP]]*$I$3</f>
        <v>22.451288098021379</v>
      </c>
      <c r="E5">
        <v>24</v>
      </c>
      <c r="F5">
        <f>ABS(TableBUR[[#This Row],[PP]]-TableBUR[[#This Row],[AP]])</f>
        <v>1.5487119019786206</v>
      </c>
      <c r="H5" t="s">
        <v>2</v>
      </c>
      <c r="I5" cm="1">
        <f t="array" ref="I5">(SUM(TableBUR[PP]-TableBUR[AP]))^2</f>
        <v>0</v>
      </c>
    </row>
    <row r="6" spans="1:9" x14ac:dyDescent="0.2">
      <c r="A6" t="s">
        <v>65</v>
      </c>
      <c r="B6">
        <v>16.666666663538869</v>
      </c>
      <c r="C6">
        <v>25</v>
      </c>
      <c r="D6">
        <f>TableBUR[[#This Row],[ARIMAPP]]*$I$2+TableBUR[[#This Row],[LSTMPP]]*$I$3</f>
        <v>24.045922968676159</v>
      </c>
      <c r="E6">
        <v>34</v>
      </c>
      <c r="F6">
        <f>ABS(TableBUR[[#This Row],[PP]]-TableBUR[[#This Row],[AP]])</f>
        <v>9.9540770313238411</v>
      </c>
    </row>
    <row r="7" spans="1:9" x14ac:dyDescent="0.2">
      <c r="H7" t="s">
        <v>3</v>
      </c>
      <c r="I7">
        <f>AVERAGE(TableBUR[DIFF])/10</f>
        <v>0.5068466089715864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66</v>
      </c>
      <c r="B2">
        <v>44.793178678589243</v>
      </c>
      <c r="C2">
        <v>57.773232104534237</v>
      </c>
      <c r="D2">
        <f>TableCHE[[#This Row],[ARIMAPP]]*$I$2+TableCHE[[#This Row],[LSTMPP]]*$I$3</f>
        <v>61.326714881131132</v>
      </c>
      <c r="E2">
        <v>43</v>
      </c>
      <c r="F2">
        <f>ABS(TableCHE[[#This Row],[PP]]-TableCHE[[#This Row],[AP]])</f>
        <v>18.326714881131132</v>
      </c>
      <c r="H2" t="s">
        <v>0</v>
      </c>
      <c r="I2">
        <v>0.55634287818694672</v>
      </c>
    </row>
    <row r="3" spans="1:9" x14ac:dyDescent="0.2">
      <c r="A3" t="s">
        <v>67</v>
      </c>
      <c r="B3">
        <v>27.519564453634139</v>
      </c>
      <c r="C3">
        <v>28.910256410256419</v>
      </c>
      <c r="D3">
        <f>TableCHE[[#This Row],[ARIMAPP]]*$I$2+TableCHE[[#This Row],[LSTMPP]]*$I$3</f>
        <v>33.528385355858376</v>
      </c>
      <c r="E3">
        <v>37</v>
      </c>
      <c r="F3">
        <f>ABS(TableCHE[[#This Row],[PP]]-TableCHE[[#This Row],[AP]])</f>
        <v>3.4716146441416242</v>
      </c>
      <c r="H3" t="s">
        <v>1</v>
      </c>
      <c r="I3">
        <v>0.63015946322804617</v>
      </c>
    </row>
    <row r="4" spans="1:9" x14ac:dyDescent="0.2">
      <c r="A4" t="s">
        <v>68</v>
      </c>
      <c r="B4">
        <v>35.681818181818173</v>
      </c>
      <c r="C4">
        <v>32.628928112984717</v>
      </c>
      <c r="D4">
        <f>TableCHE[[#This Row],[ARIMAPP]]*$I$2+TableCHE[[#This Row],[LSTMPP]]*$I$3</f>
        <v>40.412753251601004</v>
      </c>
      <c r="E4">
        <v>34</v>
      </c>
      <c r="F4">
        <f>ABS(TableCHE[[#This Row],[PP]]-TableCHE[[#This Row],[AP]])</f>
        <v>6.4127532516010035</v>
      </c>
    </row>
    <row r="5" spans="1:9" x14ac:dyDescent="0.2">
      <c r="A5" t="s">
        <v>69</v>
      </c>
      <c r="B5">
        <v>11.73979464421642</v>
      </c>
      <c r="C5">
        <v>19.0625</v>
      </c>
      <c r="D5">
        <f>TableCHE[[#This Row],[ARIMAPP]]*$I$2+TableCHE[[#This Row],[LSTMPP]]*$I$3</f>
        <v>18.543765909471695</v>
      </c>
      <c r="E5">
        <v>55</v>
      </c>
      <c r="F5">
        <f>ABS(TableCHE[[#This Row],[PP]]-TableCHE[[#This Row],[AP]])</f>
        <v>36.456234090528305</v>
      </c>
      <c r="H5" t="s">
        <v>2</v>
      </c>
      <c r="I5" cm="1">
        <f t="array" ref="I5">(SUM(TableCHE[PP]-TableCHE[AP]))^2</f>
        <v>6.1846694969327326E-28</v>
      </c>
    </row>
    <row r="6" spans="1:9" x14ac:dyDescent="0.2">
      <c r="A6" t="s">
        <v>70</v>
      </c>
      <c r="B6">
        <v>35.000000000000007</v>
      </c>
      <c r="C6">
        <v>32.5</v>
      </c>
      <c r="D6">
        <f>TableCHE[[#This Row],[ARIMAPP]]*$I$2+TableCHE[[#This Row],[LSTMPP]]*$I$3</f>
        <v>39.952183291454645</v>
      </c>
      <c r="E6">
        <v>23</v>
      </c>
      <c r="F6">
        <f>ABS(TableCHE[[#This Row],[PP]]-TableCHE[[#This Row],[AP]])</f>
        <v>16.952183291454645</v>
      </c>
    </row>
    <row r="7" spans="1:9" x14ac:dyDescent="0.2">
      <c r="A7" t="s">
        <v>71</v>
      </c>
      <c r="B7">
        <v>25.5</v>
      </c>
      <c r="C7">
        <v>28.82030774992047</v>
      </c>
      <c r="D7">
        <f>TableCHE[[#This Row],[ARIMAPP]]*$I$2+TableCHE[[#This Row],[LSTMPP]]*$I$3</f>
        <v>32.348133055524123</v>
      </c>
      <c r="E7">
        <v>32</v>
      </c>
      <c r="F7">
        <f>ABS(TableCHE[[#This Row],[PP]]-TableCHE[[#This Row],[AP]])</f>
        <v>0.34813305552412288</v>
      </c>
      <c r="H7" t="s">
        <v>3</v>
      </c>
      <c r="I7">
        <f>AVERAGE(TableCHE[DIFF])/10</f>
        <v>1.5207837503252395</v>
      </c>
    </row>
    <row r="8" spans="1:9" x14ac:dyDescent="0.2">
      <c r="A8" t="s">
        <v>72</v>
      </c>
      <c r="B8">
        <v>7.956935229716084</v>
      </c>
      <c r="C8">
        <v>23.75</v>
      </c>
      <c r="D8">
        <f>TableCHE[[#This Row],[ARIMAPP]]*$I$2+TableCHE[[#This Row],[LSTMPP]]*$I$3</f>
        <v>19.393071498913457</v>
      </c>
      <c r="E8">
        <v>38</v>
      </c>
      <c r="F8">
        <f>ABS(TableCHE[[#This Row],[PP]]-TableCHE[[#This Row],[AP]])</f>
        <v>18.606928501086543</v>
      </c>
    </row>
    <row r="9" spans="1:9" x14ac:dyDescent="0.2">
      <c r="A9" t="s">
        <v>73</v>
      </c>
      <c r="B9">
        <v>25</v>
      </c>
      <c r="C9">
        <v>27.28029573401145</v>
      </c>
      <c r="D9">
        <f>TableCHE[[#This Row],[ARIMAPP]]*$I$2+TableCHE[[#This Row],[LSTMPP]]*$I$3</f>
        <v>31.099508471120682</v>
      </c>
      <c r="E9">
        <v>41</v>
      </c>
      <c r="F9">
        <f>ABS(TableCHE[[#This Row],[PP]]-TableCHE[[#This Row],[AP]])</f>
        <v>9.9004915288793178</v>
      </c>
    </row>
    <row r="10" spans="1:9" x14ac:dyDescent="0.2">
      <c r="A10" t="s">
        <v>74</v>
      </c>
      <c r="B10">
        <v>43.4787730807885</v>
      </c>
      <c r="C10">
        <v>40</v>
      </c>
      <c r="D10">
        <f>TableCHE[[#This Row],[ARIMAPP]]*$I$2+TableCHE[[#This Row],[LSTMPP]]*$I$3</f>
        <v>49.395484284924862</v>
      </c>
      <c r="E10">
        <v>23</v>
      </c>
      <c r="F10">
        <f>ABS(TableCHE[[#This Row],[PP]]-TableCHE[[#This Row],[AP]])</f>
        <v>26.395484284924862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75</v>
      </c>
      <c r="B2">
        <v>26.811594202898561</v>
      </c>
      <c r="C2">
        <v>28.54545454545455</v>
      </c>
      <c r="D2">
        <f>TableCRY[[#This Row],[ARIMAPP]]*$I$2+TableCRY[[#This Row],[LSTMPP]]*$I$3</f>
        <v>30.213882372886975</v>
      </c>
      <c r="E2">
        <v>27</v>
      </c>
      <c r="F2">
        <f>ABS(TableCRY[[#This Row],[PP]]-TableCRY[[#This Row],[AP]])</f>
        <v>3.2138823728869745</v>
      </c>
      <c r="H2" t="s">
        <v>0</v>
      </c>
      <c r="I2">
        <v>0.54086588307102723</v>
      </c>
    </row>
    <row r="3" spans="1:9" x14ac:dyDescent="0.2">
      <c r="A3" t="s">
        <v>76</v>
      </c>
      <c r="B3">
        <v>19.003879186409531</v>
      </c>
      <c r="C3">
        <v>25.662650602409641</v>
      </c>
      <c r="D3">
        <f>TableCRY[[#This Row],[ARIMAPP]]*$I$2+TableCRY[[#This Row],[LSTMPP]]*$I$3</f>
        <v>24.404160666189675</v>
      </c>
      <c r="E3">
        <v>21</v>
      </c>
      <c r="F3">
        <f>ABS(TableCRY[[#This Row],[PP]]-TableCRY[[#This Row],[AP]])</f>
        <v>3.4041606661896751</v>
      </c>
      <c r="H3" t="s">
        <v>1</v>
      </c>
      <c r="I3">
        <v>0.55043459801189898</v>
      </c>
    </row>
    <row r="4" spans="1:9" x14ac:dyDescent="0.2">
      <c r="A4" t="s">
        <v>77</v>
      </c>
      <c r="B4">
        <v>22.302256200037249</v>
      </c>
      <c r="C4">
        <v>27.708333333333329</v>
      </c>
      <c r="D4">
        <f>TableCRY[[#This Row],[ARIMAPP]]*$I$2+TableCRY[[#This Row],[LSTMPP]]*$I$3</f>
        <v>27.314154814022473</v>
      </c>
      <c r="E4">
        <v>25</v>
      </c>
      <c r="F4">
        <f>ABS(TableCRY[[#This Row],[PP]]-TableCRY[[#This Row],[AP]])</f>
        <v>2.3141548140224728</v>
      </c>
    </row>
    <row r="5" spans="1:9" x14ac:dyDescent="0.2">
      <c r="A5" t="s">
        <v>78</v>
      </c>
      <c r="B5">
        <v>27.35849056603773</v>
      </c>
      <c r="C5">
        <v>28.740157480314959</v>
      </c>
      <c r="D5">
        <f>TableCRY[[#This Row],[ARIMAPP]]*$I$2+TableCRY[[#This Row],[LSTMPP]]*$I$3</f>
        <v>30.616851188966201</v>
      </c>
      <c r="E5">
        <v>28</v>
      </c>
      <c r="F5">
        <f>ABS(TableCRY[[#This Row],[PP]]-TableCRY[[#This Row],[AP]])</f>
        <v>2.6168511889662014</v>
      </c>
      <c r="H5" t="s">
        <v>2</v>
      </c>
      <c r="I5" cm="1">
        <f t="array" ref="I5">(SUM(TableCRY[PP]-TableCRY[AP]))^2</f>
        <v>1.8175355256292112E-27</v>
      </c>
    </row>
    <row r="6" spans="1:9" x14ac:dyDescent="0.2">
      <c r="A6" t="s">
        <v>79</v>
      </c>
      <c r="B6">
        <v>28.15713743964006</v>
      </c>
      <c r="C6">
        <v>28.815789473684209</v>
      </c>
      <c r="D6">
        <f>TableCRY[[#This Row],[ARIMAPP]]*$I$2+TableCRY[[#This Row],[LSTMPP]]*$I$3</f>
        <v>31.090442501386082</v>
      </c>
      <c r="E6">
        <v>37</v>
      </c>
      <c r="F6">
        <f>ABS(TableCRY[[#This Row],[PP]]-TableCRY[[#This Row],[AP]])</f>
        <v>5.9095574986139177</v>
      </c>
    </row>
    <row r="7" spans="1:9" x14ac:dyDescent="0.2">
      <c r="A7" t="s">
        <v>80</v>
      </c>
      <c r="B7">
        <v>36.749999999999979</v>
      </c>
      <c r="C7">
        <v>33.228381319224539</v>
      </c>
      <c r="D7">
        <f>TableCRY[[#This Row],[ARIMAPP]]*$I$2+TableCRY[[#This Row],[LSTMPP]]*$I$3</f>
        <v>38.16687191689369</v>
      </c>
      <c r="E7">
        <v>36</v>
      </c>
      <c r="F7">
        <f>ABS(TableCRY[[#This Row],[PP]]-TableCRY[[#This Row],[AP]])</f>
        <v>2.1668719168936903</v>
      </c>
      <c r="H7" t="s">
        <v>3</v>
      </c>
      <c r="I7">
        <f>AVERAGE(TableCRY[DIFF])/10</f>
        <v>0.34639568953789801</v>
      </c>
    </row>
    <row r="8" spans="1:9" x14ac:dyDescent="0.2">
      <c r="A8" t="s">
        <v>81</v>
      </c>
      <c r="B8">
        <v>35.600000000000023</v>
      </c>
      <c r="C8">
        <v>33.625</v>
      </c>
      <c r="D8">
        <f>TableCRY[[#This Row],[ARIMAPP]]*$I$2+TableCRY[[#This Row],[LSTMPP]]*$I$3</f>
        <v>37.763188795478683</v>
      </c>
      <c r="E8">
        <v>42</v>
      </c>
      <c r="F8">
        <f>ABS(TableCRY[[#This Row],[PP]]-TableCRY[[#This Row],[AP]])</f>
        <v>4.2368112045213167</v>
      </c>
    </row>
    <row r="9" spans="1:9" x14ac:dyDescent="0.2">
      <c r="A9" t="s">
        <v>82</v>
      </c>
      <c r="B9">
        <v>31.458333333333329</v>
      </c>
      <c r="C9">
        <v>32.090227104473598</v>
      </c>
      <c r="D9">
        <f>TableCRY[[#This Row],[ARIMAPP]]*$I$2+TableCRY[[#This Row],[LSTMPP]]*$I$3</f>
        <v>34.678310494637529</v>
      </c>
      <c r="E9">
        <v>40</v>
      </c>
      <c r="F9">
        <f>ABS(TableCRY[[#This Row],[PP]]-TableCRY[[#This Row],[AP]])</f>
        <v>5.3216895053624711</v>
      </c>
    </row>
    <row r="10" spans="1:9" x14ac:dyDescent="0.2">
      <c r="A10" t="s">
        <v>83</v>
      </c>
      <c r="B10">
        <v>29.58904109589043</v>
      </c>
      <c r="C10">
        <v>28.96551724137932</v>
      </c>
      <c r="D10">
        <f>TableCRY[[#This Row],[ARIMAPP]]*$I$2+TableCRY[[#This Row],[LSTMPP]]*$I$3</f>
        <v>31.94732568051905</v>
      </c>
      <c r="E10">
        <v>35</v>
      </c>
      <c r="F10">
        <f>ABS(TableCRY[[#This Row],[PP]]-TableCRY[[#This Row],[AP]])</f>
        <v>3.0526743194809498</v>
      </c>
    </row>
    <row r="11" spans="1:9" x14ac:dyDescent="0.2">
      <c r="A11" t="s">
        <v>84</v>
      </c>
      <c r="B11">
        <v>33.013138901991503</v>
      </c>
      <c r="C11">
        <v>28.36538461538461</v>
      </c>
      <c r="D11">
        <f>TableCRY[[#This Row],[ARIMAPP]]*$I$2+TableCRY[[#This Row],[LSTMPP]]*$I$3</f>
        <v>33.468969603394243</v>
      </c>
      <c r="E11">
        <v>34</v>
      </c>
      <c r="F11">
        <f>ABS(TableCRY[[#This Row],[PP]]-TableCRY[[#This Row],[AP]])</f>
        <v>0.53103039660575746</v>
      </c>
    </row>
    <row r="12" spans="1:9" x14ac:dyDescent="0.2">
      <c r="A12" t="s">
        <v>85</v>
      </c>
      <c r="B12">
        <v>27.83783783783786</v>
      </c>
      <c r="C12">
        <v>27.758620689655171</v>
      </c>
      <c r="D12">
        <f>TableCRY[[#This Row],[ARIMAPP]]*$I$2+TableCRY[[#This Row],[LSTMPP]]*$I$3</f>
        <v>30.335841965625356</v>
      </c>
      <c r="E12">
        <v>25</v>
      </c>
      <c r="F12">
        <f>ABS(TableCRY[[#This Row],[PP]]-TableCRY[[#This Row],[AP]])</f>
        <v>5.335841965625356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86</v>
      </c>
      <c r="B2">
        <v>31.233166364086429</v>
      </c>
      <c r="C2">
        <v>30.479336096269879</v>
      </c>
      <c r="D2">
        <f>TableEVE[[#This Row],[ARIMAPP]]*$I$2+TableEVE[[#This Row],[LSTMPP]]*$I$3</f>
        <v>41.177662130395369</v>
      </c>
      <c r="E2">
        <v>49</v>
      </c>
      <c r="F2">
        <f>ABS(TableEVE[[#This Row],[PP]]-TableEVE[[#This Row],[AP]])</f>
        <v>7.8223378696046311</v>
      </c>
      <c r="H2" t="s">
        <v>0</v>
      </c>
      <c r="I2">
        <v>0.6466611286154178</v>
      </c>
    </row>
    <row r="3" spans="1:9" x14ac:dyDescent="0.2">
      <c r="A3" t="s">
        <v>87</v>
      </c>
      <c r="B3">
        <v>19.801984837632801</v>
      </c>
      <c r="C3">
        <v>26.132075471698109</v>
      </c>
      <c r="D3">
        <f>TableEVE[[#This Row],[ARIMAPP]]*$I$2+TableEVE[[#This Row],[LSTMPP]]*$I$3</f>
        <v>30.793133586690672</v>
      </c>
      <c r="E3">
        <v>24</v>
      </c>
      <c r="F3">
        <f>ABS(TableEVE[[#This Row],[PP]]-TableEVE[[#This Row],[AP]])</f>
        <v>6.7931335866906721</v>
      </c>
      <c r="H3" t="s">
        <v>1</v>
      </c>
      <c r="I3">
        <v>0.68834791718871313</v>
      </c>
    </row>
    <row r="4" spans="1:9" x14ac:dyDescent="0.2">
      <c r="A4" t="s">
        <v>88</v>
      </c>
      <c r="B4">
        <v>29.935344673810771</v>
      </c>
      <c r="C4">
        <v>29.54545454545454</v>
      </c>
      <c r="D4">
        <f>TableEVE[[#This Row],[ARIMAPP]]*$I$2+TableEVE[[#This Row],[LSTMPP]]*$I$3</f>
        <v>39.695575871015436</v>
      </c>
      <c r="E4">
        <v>45</v>
      </c>
      <c r="F4">
        <f>ABS(TableEVE[[#This Row],[PP]]-TableEVE[[#This Row],[AP]])</f>
        <v>5.3044241289845644</v>
      </c>
    </row>
    <row r="5" spans="1:9" x14ac:dyDescent="0.2">
      <c r="A5" t="s">
        <v>89</v>
      </c>
      <c r="B5">
        <v>34.745762711864373</v>
      </c>
      <c r="C5">
        <v>32.446808510638299</v>
      </c>
      <c r="D5">
        <f>TableEVE[[#This Row],[ARIMAPP]]*$I$2+TableEVE[[#This Row],[LSTMPP]]*$I$3</f>
        <v>44.803427187576602</v>
      </c>
      <c r="E5">
        <v>38</v>
      </c>
      <c r="F5">
        <f>ABS(TableEVE[[#This Row],[PP]]-TableEVE[[#This Row],[AP]])</f>
        <v>6.8034271875766024</v>
      </c>
      <c r="H5" t="s">
        <v>2</v>
      </c>
      <c r="I5" cm="1">
        <f t="array" ref="I5">(SUM(TableEVE[PP]-TableEVE[AP]))^2</f>
        <v>0</v>
      </c>
    </row>
    <row r="6" spans="1:9" x14ac:dyDescent="0.2">
      <c r="A6" t="s">
        <v>90</v>
      </c>
      <c r="B6">
        <v>34.371413508821128</v>
      </c>
      <c r="C6">
        <v>33.13084112149533</v>
      </c>
      <c r="D6">
        <f>TableEVE[[#This Row],[ARIMAPP]]*$I$2+TableEVE[[#This Row],[LSTMPP]]*$I$3</f>
        <v>45.032202532412967</v>
      </c>
      <c r="E6">
        <v>32</v>
      </c>
      <c r="F6">
        <f>ABS(TableEVE[[#This Row],[PP]]-TableEVE[[#This Row],[AP]])</f>
        <v>13.032202532412967</v>
      </c>
    </row>
    <row r="7" spans="1:9" x14ac:dyDescent="0.2">
      <c r="A7" t="s">
        <v>91</v>
      </c>
      <c r="B7">
        <v>31.055900621117999</v>
      </c>
      <c r="C7">
        <v>29.375</v>
      </c>
      <c r="D7">
        <f>TableEVE[[#This Row],[ARIMAPP]]*$I$2+TableEVE[[#This Row],[LSTMPP]]*$I$3</f>
        <v>40.302863813238872</v>
      </c>
      <c r="E7">
        <v>42</v>
      </c>
      <c r="F7">
        <f>ABS(TableEVE[[#This Row],[PP]]-TableEVE[[#This Row],[AP]])</f>
        <v>1.6971361867611279</v>
      </c>
      <c r="H7" t="s">
        <v>3</v>
      </c>
      <c r="I7">
        <f>AVERAGE(TableEVE[DIFF])/10</f>
        <v>0.86772264732624238</v>
      </c>
    </row>
    <row r="8" spans="1:9" x14ac:dyDescent="0.2">
      <c r="A8" t="s">
        <v>92</v>
      </c>
      <c r="B8">
        <v>15.45454545454545</v>
      </c>
      <c r="C8">
        <v>21.47058823529412</v>
      </c>
      <c r="D8">
        <f>TableEVE[[#This Row],[ARIMAPP]]*$I$2+TableEVE[[#This Row],[LSTMPP]]*$I$3</f>
        <v>24.773088498455831</v>
      </c>
      <c r="E8">
        <v>31</v>
      </c>
      <c r="F8">
        <f>ABS(TableEVE[[#This Row],[PP]]-TableEVE[[#This Row],[AP]])</f>
        <v>6.2269115015441692</v>
      </c>
    </row>
    <row r="9" spans="1:9" x14ac:dyDescent="0.2">
      <c r="A9" t="s">
        <v>93</v>
      </c>
      <c r="B9">
        <v>16.15384615384616</v>
      </c>
      <c r="C9">
        <v>23</v>
      </c>
      <c r="D9">
        <f>TableEVE[[#This Row],[ARIMAPP]]*$I$2+TableEVE[[#This Row],[LSTMPP]]*$I$3</f>
        <v>26.278066480666386</v>
      </c>
      <c r="E9">
        <v>35</v>
      </c>
      <c r="F9">
        <f>ABS(TableEVE[[#This Row],[PP]]-TableEVE[[#This Row],[AP]])</f>
        <v>8.7219335193336143</v>
      </c>
    </row>
    <row r="10" spans="1:9" x14ac:dyDescent="0.2">
      <c r="A10" t="s">
        <v>94</v>
      </c>
      <c r="B10">
        <v>39.200000000000017</v>
      </c>
      <c r="C10">
        <v>38.737264776752959</v>
      </c>
      <c r="D10">
        <f>TableEVE[[#This Row],[ARIMAPP]]*$I$2+TableEVE[[#This Row],[LSTMPP]]*$I$3</f>
        <v>52.013831768389991</v>
      </c>
      <c r="E10">
        <v>45</v>
      </c>
      <c r="F10">
        <f>ABS(TableEVE[[#This Row],[PP]]-TableEVE[[#This Row],[AP]])</f>
        <v>7.0138317683899913</v>
      </c>
    </row>
    <row r="11" spans="1:9" x14ac:dyDescent="0.2">
      <c r="A11" t="s">
        <v>95</v>
      </c>
      <c r="B11">
        <v>24.54545454545454</v>
      </c>
      <c r="C11">
        <v>27.857142857142851</v>
      </c>
      <c r="D11">
        <f>TableEVE[[#This Row],[ARIMAPP]]*$I$2+TableEVE[[#This Row],[LSTMPP]]*$I$3</f>
        <v>35.047997603284784</v>
      </c>
      <c r="E11">
        <v>53</v>
      </c>
      <c r="F11">
        <f>ABS(TableEVE[[#This Row],[PP]]-TableEVE[[#This Row],[AP]])</f>
        <v>17.952002396715216</v>
      </c>
    </row>
    <row r="12" spans="1:9" x14ac:dyDescent="0.2">
      <c r="A12" t="s">
        <v>96</v>
      </c>
      <c r="B12">
        <v>23.636734493953359</v>
      </c>
      <c r="C12">
        <v>27.307692307692299</v>
      </c>
      <c r="D12">
        <f>TableEVE[[#This Row],[ARIMAPP]]*$I$2+TableEVE[[#This Row],[LSTMPP]]*$I$3</f>
        <v>34.08215052787309</v>
      </c>
      <c r="E12">
        <v>20</v>
      </c>
      <c r="F12">
        <f>ABS(TableEVE[[#This Row],[PP]]-TableEVE[[#This Row],[AP]])</f>
        <v>14.08215052787309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4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97</v>
      </c>
      <c r="B2">
        <v>19.579349155141671</v>
      </c>
      <c r="C2">
        <v>40.571196573136987</v>
      </c>
      <c r="D2">
        <f>TableFUL[[#This Row],[ARIMAPP]]*$I$2+TableFUL[[#This Row],[LSTMPP]]*$I$3</f>
        <v>30.874021089906158</v>
      </c>
      <c r="E2">
        <v>32</v>
      </c>
      <c r="F2">
        <f>ABS(TableFUL[[#This Row],[PP]]-TableFUL[[#This Row],[AP]])</f>
        <v>1.125978910093842</v>
      </c>
      <c r="H2" t="s">
        <v>0</v>
      </c>
      <c r="I2">
        <v>0.48517527280449135</v>
      </c>
    </row>
    <row r="3" spans="1:9" x14ac:dyDescent="0.2">
      <c r="A3" t="s">
        <v>98</v>
      </c>
      <c r="B3">
        <v>20.405405405405411</v>
      </c>
      <c r="C3">
        <v>24.66101694915254</v>
      </c>
      <c r="D3">
        <f>TableFUL[[#This Row],[ARIMAPP]]*$I$2+TableFUL[[#This Row],[LSTMPP]]*$I$3</f>
        <v>22.892654390364598</v>
      </c>
      <c r="E3">
        <v>27</v>
      </c>
      <c r="F3">
        <f>ABS(TableFUL[[#This Row],[PP]]-TableFUL[[#This Row],[AP]])</f>
        <v>4.1073456096354022</v>
      </c>
      <c r="H3" t="s">
        <v>1</v>
      </c>
      <c r="I3">
        <v>0.52684186880449246</v>
      </c>
    </row>
    <row r="4" spans="1:9" x14ac:dyDescent="0.2">
      <c r="A4" t="s">
        <v>99</v>
      </c>
      <c r="B4">
        <v>26.862745098039191</v>
      </c>
      <c r="C4">
        <v>27.622950819672131</v>
      </c>
      <c r="D4">
        <f>TableFUL[[#This Row],[ARIMAPP]]*$I$2+TableFUL[[#This Row],[LSTMPP]]*$I$3</f>
        <v>27.586066712949332</v>
      </c>
      <c r="E4">
        <v>35</v>
      </c>
      <c r="F4">
        <f>ABS(TableFUL[[#This Row],[PP]]-TableFUL[[#This Row],[AP]])</f>
        <v>7.4139332870506678</v>
      </c>
    </row>
    <row r="5" spans="1:9" x14ac:dyDescent="0.2">
      <c r="A5" t="s">
        <v>100</v>
      </c>
      <c r="B5">
        <v>26.63793103448274</v>
      </c>
      <c r="C5">
        <v>26.90217391304348</v>
      </c>
      <c r="D5">
        <f>TableFUL[[#This Row],[ARIMAPP]]*$I$2+TableFUL[[#This Row],[LSTMPP]]*$I$3</f>
        <v>27.097257035853684</v>
      </c>
      <c r="E5">
        <v>25</v>
      </c>
      <c r="F5">
        <f>ABS(TableFUL[[#This Row],[PP]]-TableFUL[[#This Row],[AP]])</f>
        <v>2.0972570358536835</v>
      </c>
      <c r="H5" t="s">
        <v>2</v>
      </c>
      <c r="I5" cm="1">
        <f t="array" ref="I5">(SUM(TableFUL[PP]-TableFUL[AP]))^2</f>
        <v>4.543838814073028E-28</v>
      </c>
    </row>
    <row r="6" spans="1:9" x14ac:dyDescent="0.2">
      <c r="A6" t="s">
        <v>101</v>
      </c>
      <c r="B6">
        <v>37.298285108480727</v>
      </c>
      <c r="C6">
        <v>32.844036697247702</v>
      </c>
      <c r="D6">
        <f>TableFUL[[#This Row],[ARIMAPP]]*$I$2+TableFUL[[#This Row],[LSTMPP]]*$I$3</f>
        <v>35.399819325308144</v>
      </c>
      <c r="E6">
        <v>32</v>
      </c>
      <c r="F6">
        <f>ABS(TableFUL[[#This Row],[PP]]-TableFUL[[#This Row],[AP]])</f>
        <v>3.3998193253081439</v>
      </c>
    </row>
    <row r="7" spans="1:9" x14ac:dyDescent="0.2">
      <c r="A7" t="s">
        <v>102</v>
      </c>
      <c r="B7">
        <v>23.67647058823529</v>
      </c>
      <c r="C7">
        <v>25.555555555555561</v>
      </c>
      <c r="D7">
        <f>TableFUL[[#This Row],[ARIMAPP]]*$I$2+TableFUL[[#This Row],[LSTMPP]]*$I$3</f>
        <v>24.950974723920496</v>
      </c>
      <c r="E7">
        <v>22</v>
      </c>
      <c r="F7">
        <f>ABS(TableFUL[[#This Row],[PP]]-TableFUL[[#This Row],[AP]])</f>
        <v>2.9509747239204955</v>
      </c>
      <c r="H7" t="s">
        <v>3</v>
      </c>
      <c r="I7">
        <f>AVERAGE(TableFUL[DIFF])/10</f>
        <v>0.37356706695068831</v>
      </c>
    </row>
    <row r="8" spans="1:9" x14ac:dyDescent="0.2">
      <c r="A8" t="s">
        <v>103</v>
      </c>
      <c r="B8">
        <v>26.190476190476168</v>
      </c>
      <c r="C8">
        <v>25.7</v>
      </c>
      <c r="D8">
        <f>TableFUL[[#This Row],[ARIMAPP]]*$I$2+TableFUL[[#This Row],[LSTMPP]]*$I$3</f>
        <v>26.246807458869267</v>
      </c>
      <c r="E8">
        <v>25</v>
      </c>
      <c r="F8">
        <f>ABS(TableFUL[[#This Row],[PP]]-TableFUL[[#This Row],[AP]])</f>
        <v>1.2468074588692666</v>
      </c>
    </row>
    <row r="9" spans="1:9" x14ac:dyDescent="0.2">
      <c r="A9" t="s">
        <v>104</v>
      </c>
      <c r="B9">
        <v>33.503804843662429</v>
      </c>
      <c r="C9">
        <v>31.159420289855071</v>
      </c>
      <c r="D9">
        <f>TableFUL[[#This Row],[ARIMAPP]]*$I$2+TableFUL[[#This Row],[LSTMPP]]*$I$3</f>
        <v>32.671304871384223</v>
      </c>
      <c r="E9">
        <v>22</v>
      </c>
      <c r="F9">
        <f>ABS(TableFUL[[#This Row],[PP]]-TableFUL[[#This Row],[AP]])</f>
        <v>10.671304871384223</v>
      </c>
    </row>
    <row r="10" spans="1:9" x14ac:dyDescent="0.2">
      <c r="A10" t="s">
        <v>105</v>
      </c>
      <c r="B10">
        <v>23.28125</v>
      </c>
      <c r="C10">
        <v>26.764705882352938</v>
      </c>
      <c r="D10">
        <f>TableFUL[[#This Row],[ARIMAPP]]*$I$2+TableFUL[[#This Row],[LSTMPP]]*$I$3</f>
        <v>25.396254485040977</v>
      </c>
      <c r="E10">
        <v>27</v>
      </c>
      <c r="F10">
        <f>ABS(TableFUL[[#This Row],[PP]]-TableFUL[[#This Row],[AP]])</f>
        <v>1.603745514959023</v>
      </c>
    </row>
    <row r="11" spans="1:9" x14ac:dyDescent="0.2">
      <c r="A11" t="s">
        <v>106</v>
      </c>
      <c r="B11">
        <v>25.428571428571431</v>
      </c>
      <c r="C11">
        <v>26.071428571428569</v>
      </c>
      <c r="D11">
        <f>TableFUL[[#This Row],[ARIMAPP]]*$I$2+TableFUL[[#This Row],[LSTMPP]]*$I$3</f>
        <v>26.072834230859904</v>
      </c>
      <c r="E11">
        <v>27</v>
      </c>
      <c r="F11">
        <f>ABS(TableFUL[[#This Row],[PP]]-TableFUL[[#This Row],[AP]])</f>
        <v>0.92716576914009607</v>
      </c>
    </row>
    <row r="12" spans="1:9" x14ac:dyDescent="0.2">
      <c r="A12" t="s">
        <v>107</v>
      </c>
      <c r="B12">
        <v>38.838978337411703</v>
      </c>
      <c r="C12">
        <v>38.098688078274279</v>
      </c>
      <c r="D12">
        <f>TableFUL[[#This Row],[ARIMAPP]]*$I$2+TableFUL[[#This Row],[LSTMPP]]*$I$3</f>
        <v>38.915695936458917</v>
      </c>
      <c r="E12">
        <v>35</v>
      </c>
      <c r="F12">
        <f>ABS(TableFUL[[#This Row],[PP]]-TableFUL[[#This Row],[AP]])</f>
        <v>3.915695936458917</v>
      </c>
    </row>
    <row r="13" spans="1:9" x14ac:dyDescent="0.2">
      <c r="A13" t="s">
        <v>108</v>
      </c>
      <c r="B13">
        <v>23.153632378739239</v>
      </c>
      <c r="C13">
        <v>27.58871565129558</v>
      </c>
      <c r="D13">
        <f>TableFUL[[#This Row],[ARIMAPP]]*$I$2+TableFUL[[#This Row],[LSTMPP]]*$I$3</f>
        <v>25.768460417414026</v>
      </c>
      <c r="E13">
        <v>29</v>
      </c>
      <c r="F13">
        <f>ABS(TableFUL[[#This Row],[PP]]-TableFUL[[#This Row],[AP]])</f>
        <v>3.2315395825859738</v>
      </c>
    </row>
    <row r="14" spans="1:9" x14ac:dyDescent="0.2">
      <c r="A14" t="s">
        <v>109</v>
      </c>
      <c r="B14">
        <v>38.345383140243278</v>
      </c>
      <c r="C14">
        <v>40.854037748843467</v>
      </c>
      <c r="D14">
        <f>TableFUL[[#This Row],[ARIMAPP]]*$I$2+TableFUL[[#This Row],[LSTMPP]]*$I$3</f>
        <v>40.127849321670254</v>
      </c>
      <c r="E14">
        <v>46</v>
      </c>
      <c r="F14">
        <f>ABS(TableFUL[[#This Row],[PP]]-TableFUL[[#This Row],[AP]])</f>
        <v>5.8721506783297457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110</v>
      </c>
      <c r="B2">
        <v>44.373605189766572</v>
      </c>
      <c r="C2">
        <v>40.093173341735508</v>
      </c>
      <c r="D2">
        <f>TableLIV[[#This Row],[ARIMAPP]]*$I$2+TableLIV[[#This Row],[LSTMPP]]*$I$3</f>
        <v>42.542734664193134</v>
      </c>
      <c r="E2">
        <v>49</v>
      </c>
      <c r="F2">
        <f>ABS(TableLIV[[#This Row],[PP]]-TableLIV[[#This Row],[AP]])</f>
        <v>6.4572653358068663</v>
      </c>
      <c r="H2" t="s">
        <v>0</v>
      </c>
      <c r="I2">
        <v>0.52029024331091889</v>
      </c>
    </row>
    <row r="3" spans="1:9" x14ac:dyDescent="0.2">
      <c r="A3" t="s">
        <v>111</v>
      </c>
      <c r="B3">
        <v>68.305084745762713</v>
      </c>
      <c r="C3">
        <v>69.9674722529804</v>
      </c>
      <c r="D3">
        <f>TableLIV[[#This Row],[ARIMAPP]]*$I$2+TableLIV[[#This Row],[LSTMPP]]*$I$3</f>
        <v>69.490828078961158</v>
      </c>
      <c r="E3">
        <v>81</v>
      </c>
      <c r="F3">
        <f>ABS(TableLIV[[#This Row],[PP]]-TableLIV[[#This Row],[AP]])</f>
        <v>11.509171921038842</v>
      </c>
      <c r="H3" t="s">
        <v>1</v>
      </c>
      <c r="I3">
        <v>0.4852591900769872</v>
      </c>
    </row>
    <row r="4" spans="1:9" x14ac:dyDescent="0.2">
      <c r="A4" t="s">
        <v>112</v>
      </c>
      <c r="B4">
        <v>51.963700587692458</v>
      </c>
      <c r="C4">
        <v>49.083344663905379</v>
      </c>
      <c r="D4">
        <f>TableLIV[[#This Row],[ARIMAPP]]*$I$2+TableLIV[[#This Row],[LSTMPP]]*$I$3</f>
        <v>50.854350499982587</v>
      </c>
      <c r="E4">
        <v>67</v>
      </c>
      <c r="F4">
        <f>ABS(TableLIV[[#This Row],[PP]]-TableLIV[[#This Row],[AP]])</f>
        <v>16.145649500017413</v>
      </c>
    </row>
    <row r="5" spans="1:9" x14ac:dyDescent="0.2">
      <c r="A5" t="s">
        <v>113</v>
      </c>
      <c r="B5">
        <v>48.530026306112333</v>
      </c>
      <c r="C5">
        <v>45.254648129657973</v>
      </c>
      <c r="D5">
        <f>TableLIV[[#This Row],[ARIMAPP]]*$I$2+TableLIV[[#This Row],[LSTMPP]]*$I$3</f>
        <v>47.209933093309346</v>
      </c>
      <c r="E5">
        <v>51</v>
      </c>
      <c r="F5">
        <f>ABS(TableLIV[[#This Row],[PP]]-TableLIV[[#This Row],[AP]])</f>
        <v>3.7900669066906545</v>
      </c>
      <c r="H5" t="s">
        <v>2</v>
      </c>
      <c r="I5" cm="1">
        <f t="array" ref="I5">(SUM(TableLIV[PP]-TableLIV[AP]))^2</f>
        <v>4.0894549326657252E-27</v>
      </c>
    </row>
    <row r="6" spans="1:9" x14ac:dyDescent="0.2">
      <c r="A6" t="s">
        <v>114</v>
      </c>
      <c r="B6">
        <v>28.707786528370772</v>
      </c>
      <c r="C6">
        <v>28.851351351351351</v>
      </c>
      <c r="D6">
        <f>TableLIV[[#This Row],[ARIMAPP]]*$I$2+TableLIV[[#This Row],[LSTMPP]]*$I$3</f>
        <v>28.936764627147294</v>
      </c>
      <c r="E6">
        <v>27</v>
      </c>
      <c r="F6">
        <f>ABS(TableLIV[[#This Row],[PP]]-TableLIV[[#This Row],[AP]])</f>
        <v>1.9367646271472942</v>
      </c>
    </row>
    <row r="7" spans="1:9" x14ac:dyDescent="0.2">
      <c r="A7" t="s">
        <v>115</v>
      </c>
      <c r="B7">
        <v>30.370370370370381</v>
      </c>
      <c r="C7">
        <v>30</v>
      </c>
      <c r="D7">
        <f>TableLIV[[#This Row],[ARIMAPP]]*$I$2+TableLIV[[#This Row],[LSTMPP]]*$I$3</f>
        <v>30.359183091752342</v>
      </c>
      <c r="E7">
        <v>26</v>
      </c>
      <c r="F7">
        <f>ABS(TableLIV[[#This Row],[PP]]-TableLIV[[#This Row],[AP]])</f>
        <v>4.3591830917523424</v>
      </c>
      <c r="H7" t="s">
        <v>3</v>
      </c>
      <c r="I7">
        <f>AVERAGE(TableLIV[DIFF])/10</f>
        <v>0.72875167317617828</v>
      </c>
    </row>
    <row r="8" spans="1:9" x14ac:dyDescent="0.2">
      <c r="A8" t="s">
        <v>116</v>
      </c>
      <c r="B8">
        <v>36.000000000000007</v>
      </c>
      <c r="C8">
        <v>35.438316638631122</v>
      </c>
      <c r="D8">
        <f>TableLIV[[#This Row],[ARIMAPP]]*$I$2+TableLIV[[#This Row],[LSTMPP]]*$I$3</f>
        <v>35.927217588947045</v>
      </c>
      <c r="E8">
        <v>26</v>
      </c>
      <c r="F8">
        <f>ABS(TableLIV[[#This Row],[PP]]-TableLIV[[#This Row],[AP]])</f>
        <v>9.9272175889470446</v>
      </c>
    </row>
    <row r="9" spans="1:9" x14ac:dyDescent="0.2">
      <c r="A9" t="s">
        <v>117</v>
      </c>
      <c r="B9">
        <v>38.387096774193552</v>
      </c>
      <c r="C9">
        <v>34.720372252086491</v>
      </c>
      <c r="D9">
        <f>TableLIV[[#This Row],[ARIMAPP]]*$I$2+TableLIV[[#This Row],[LSTMPP]]*$I$3</f>
        <v>36.820811638863944</v>
      </c>
      <c r="E9">
        <v>39</v>
      </c>
      <c r="F9">
        <f>ABS(TableLIV[[#This Row],[PP]]-TableLIV[[#This Row],[AP]])</f>
        <v>2.1791883611360561</v>
      </c>
    </row>
    <row r="10" spans="1:9" x14ac:dyDescent="0.2">
      <c r="A10" t="s">
        <v>118</v>
      </c>
      <c r="B10">
        <v>39.047619047619037</v>
      </c>
      <c r="C10">
        <v>31.875</v>
      </c>
      <c r="D10">
        <f>TableLIV[[#This Row],[ARIMAPP]]*$I$2+TableLIV[[#This Row],[LSTMPP]]*$I$3</f>
        <v>35.783731898701745</v>
      </c>
      <c r="E10">
        <v>31</v>
      </c>
      <c r="F10">
        <f>ABS(TableLIV[[#This Row],[PP]]-TableLIV[[#This Row],[AP]])</f>
        <v>4.7837318987017454</v>
      </c>
    </row>
    <row r="11" spans="1:9" x14ac:dyDescent="0.2">
      <c r="A11" t="s">
        <v>119</v>
      </c>
      <c r="B11">
        <v>41.964441282035807</v>
      </c>
      <c r="C11">
        <v>35.910065951666198</v>
      </c>
      <c r="D11">
        <f>TableLIV[[#This Row],[ARIMAPP]]*$I$2+TableLIV[[#This Row],[LSTMPP]]*$I$3</f>
        <v>39.259378884353914</v>
      </c>
      <c r="E11">
        <v>23</v>
      </c>
      <c r="F11">
        <f>ABS(TableLIV[[#This Row],[PP]]-TableLIV[[#This Row],[AP]])</f>
        <v>16.259378884353914</v>
      </c>
    </row>
    <row r="12" spans="1:9" x14ac:dyDescent="0.2">
      <c r="A12" t="s">
        <v>120</v>
      </c>
      <c r="B12">
        <v>47.230455348561193</v>
      </c>
      <c r="C12">
        <v>41.71280264797803</v>
      </c>
      <c r="D12">
        <f>TableLIV[[#This Row],[ARIMAPP]]*$I$2+TableLIV[[#This Row],[LSTMPP]]*$I$3</f>
        <v>44.815065933787423</v>
      </c>
      <c r="E12">
        <v>42</v>
      </c>
      <c r="F12">
        <f>ABS(TableLIV[[#This Row],[PP]]-TableLIV[[#This Row],[AP]])</f>
        <v>2.8150659337874231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121</v>
      </c>
      <c r="B2">
        <v>17.499999978638279</v>
      </c>
      <c r="C2">
        <v>21.666666666666671</v>
      </c>
      <c r="D2">
        <f>TableLUT[[#This Row],[ARIMAPP]]*$I$2+TableLUT[[#This Row],[LSTMPP]]*$I$3</f>
        <v>20.136168797609425</v>
      </c>
      <c r="E2">
        <v>22</v>
      </c>
      <c r="F2">
        <f>ABS(TableLUT[[#This Row],[PP]]-TableLUT[[#This Row],[AP]])</f>
        <v>1.8638312023905748</v>
      </c>
      <c r="H2" t="s">
        <v>0</v>
      </c>
      <c r="I2">
        <v>0.48527639505917164</v>
      </c>
    </row>
    <row r="3" spans="1:9" x14ac:dyDescent="0.2">
      <c r="A3" t="s">
        <v>122</v>
      </c>
      <c r="B3">
        <v>17.499999995754969</v>
      </c>
      <c r="C3">
        <v>21.666666666666671</v>
      </c>
      <c r="D3">
        <f>TableLUT[[#This Row],[ARIMAPP]]*$I$2+TableLUT[[#This Row],[LSTMPP]]*$I$3</f>
        <v>20.136168805915752</v>
      </c>
      <c r="E3">
        <v>25</v>
      </c>
      <c r="F3">
        <f>ABS(TableLUT[[#This Row],[PP]]-TableLUT[[#This Row],[AP]])</f>
        <v>4.8638311940842485</v>
      </c>
      <c r="H3" t="s">
        <v>1</v>
      </c>
      <c r="I3">
        <v>0.53740762589724267</v>
      </c>
    </row>
    <row r="4" spans="1:9" x14ac:dyDescent="0.2">
      <c r="A4" t="s">
        <v>123</v>
      </c>
      <c r="B4">
        <v>40.890314911805177</v>
      </c>
      <c r="C4">
        <v>36.666666666666657</v>
      </c>
      <c r="D4">
        <f>TableLUT[[#This Row],[ARIMAPP]]*$I$2+TableLUT[[#This Row],[LSTMPP]]*$I$3</f>
        <v>39.548050896134001</v>
      </c>
      <c r="E4">
        <v>28</v>
      </c>
      <c r="F4">
        <f>ABS(TableLUT[[#This Row],[PP]]-TableLUT[[#This Row],[AP]])</f>
        <v>11.548050896134001</v>
      </c>
    </row>
    <row r="5" spans="1:9" x14ac:dyDescent="0.2">
      <c r="A5" t="s">
        <v>124</v>
      </c>
      <c r="B5">
        <v>16.666666666666671</v>
      </c>
      <c r="C5">
        <v>22.5</v>
      </c>
      <c r="D5">
        <f>TableLUT[[#This Row],[ARIMAPP]]*$I$2+TableLUT[[#This Row],[LSTMPP]]*$I$3</f>
        <v>20.179611500340823</v>
      </c>
      <c r="E5">
        <v>25</v>
      </c>
      <c r="F5">
        <f>ABS(TableLUT[[#This Row],[PP]]-TableLUT[[#This Row],[AP]])</f>
        <v>4.8203884996591775</v>
      </c>
      <c r="H5" t="s">
        <v>2</v>
      </c>
      <c r="I5" cm="1">
        <f t="array" ref="I5">(SUM(TableLUT[PP]-TableLUT[AP]))^2</f>
        <v>0</v>
      </c>
    </row>
    <row r="7" spans="1:9" x14ac:dyDescent="0.2">
      <c r="H7" t="s">
        <v>3</v>
      </c>
      <c r="I7">
        <f>AVERAGE(TableLUT[DIFF])/10</f>
        <v>0.57740254480670006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125</v>
      </c>
      <c r="B2">
        <v>40.2298850574713</v>
      </c>
      <c r="C2">
        <v>34.961019170997758</v>
      </c>
      <c r="D2">
        <f>TableMCI[[#This Row],[ARIMAPP]]*$I$2+TableMCI[[#This Row],[LSTMPP]]*$I$3</f>
        <v>35.789229547282744</v>
      </c>
      <c r="E2">
        <v>27</v>
      </c>
      <c r="F2">
        <f>ABS(TableMCI[[#This Row],[PP]]-TableMCI[[#This Row],[AP]])</f>
        <v>8.7892295472827442</v>
      </c>
      <c r="H2" t="s">
        <v>0</v>
      </c>
      <c r="I2">
        <v>0.4902655058309407</v>
      </c>
    </row>
    <row r="3" spans="1:9" x14ac:dyDescent="0.2">
      <c r="A3" t="s">
        <v>126</v>
      </c>
      <c r="B3">
        <v>38.59375</v>
      </c>
      <c r="C3">
        <v>37.55617136676058</v>
      </c>
      <c r="D3">
        <f>TableMCI[[#This Row],[ARIMAPP]]*$I$2+TableMCI[[#This Row],[LSTMPP]]*$I$3</f>
        <v>36.179659107796567</v>
      </c>
      <c r="E3">
        <v>30</v>
      </c>
      <c r="F3">
        <f>ABS(TableMCI[[#This Row],[PP]]-TableMCI[[#This Row],[AP]])</f>
        <v>6.1796591077965672</v>
      </c>
      <c r="H3" t="s">
        <v>1</v>
      </c>
      <c r="I3">
        <v>0.45953765024643772</v>
      </c>
    </row>
    <row r="4" spans="1:9" x14ac:dyDescent="0.2">
      <c r="A4" t="s">
        <v>127</v>
      </c>
      <c r="B4">
        <v>32.672413793103424</v>
      </c>
      <c r="C4">
        <v>30.054347826086961</v>
      </c>
      <c r="D4">
        <f>TableMCI[[#This Row],[ARIMAPP]]*$I$2+TableMCI[[#This Row],[LSTMPP]]*$I$3</f>
        <v>29.829261854682791</v>
      </c>
      <c r="E4">
        <v>33</v>
      </c>
      <c r="F4">
        <f>ABS(TableMCI[[#This Row],[PP]]-TableMCI[[#This Row],[AP]])</f>
        <v>3.170738145317209</v>
      </c>
    </row>
    <row r="5" spans="1:9" x14ac:dyDescent="0.2">
      <c r="A5" t="s">
        <v>128</v>
      </c>
      <c r="B5">
        <v>46.393190730963298</v>
      </c>
      <c r="C5">
        <v>42.836879758143823</v>
      </c>
      <c r="D5">
        <f>TableMCI[[#This Row],[ARIMAPP]]*$I$2+TableMCI[[#This Row],[LSTMPP]]*$I$3</f>
        <v>42.430140188773635</v>
      </c>
      <c r="E5">
        <v>46</v>
      </c>
      <c r="F5">
        <f>ABS(TableMCI[[#This Row],[PP]]-TableMCI[[#This Row],[AP]])</f>
        <v>3.5698598112263653</v>
      </c>
      <c r="H5" t="s">
        <v>2</v>
      </c>
      <c r="I5" cm="1">
        <f t="array" ref="I5">(SUM(TableMCI[PP]-TableMCI[AP]))^2</f>
        <v>2.1330798877176159E-27</v>
      </c>
    </row>
    <row r="6" spans="1:9" x14ac:dyDescent="0.2">
      <c r="A6" t="s">
        <v>129</v>
      </c>
      <c r="B6">
        <v>30.378787878787861</v>
      </c>
      <c r="C6">
        <v>29.095238095238091</v>
      </c>
      <c r="D6">
        <f>TableMCI[[#This Row],[ARIMAPP]]*$I$2+TableMCI[[#This Row],[LSTMPP]]*$I$3</f>
        <v>28.264029153571133</v>
      </c>
      <c r="E6">
        <v>32</v>
      </c>
      <c r="F6">
        <f>ABS(TableMCI[[#This Row],[PP]]-TableMCI[[#This Row],[AP]])</f>
        <v>3.7359708464288666</v>
      </c>
    </row>
    <row r="7" spans="1:9" x14ac:dyDescent="0.2">
      <c r="A7" t="s">
        <v>130</v>
      </c>
      <c r="B7">
        <v>82.344849188075159</v>
      </c>
      <c r="C7">
        <v>78.360569991099268</v>
      </c>
      <c r="D7">
        <f>TableMCI[[#This Row],[ARIMAPP]]*$I$2+TableMCI[[#This Row],[LSTMPP]]*$I$3</f>
        <v>76.380471345445471</v>
      </c>
      <c r="E7">
        <v>67</v>
      </c>
      <c r="F7">
        <f>ABS(TableMCI[[#This Row],[PP]]-TableMCI[[#This Row],[AP]])</f>
        <v>9.3804713454454713</v>
      </c>
      <c r="H7" t="s">
        <v>3</v>
      </c>
      <c r="I7">
        <f>AVERAGE(TableMCI[DIFF])/10</f>
        <v>0.68918050299622968</v>
      </c>
    </row>
    <row r="8" spans="1:9" x14ac:dyDescent="0.2">
      <c r="A8" t="s">
        <v>131</v>
      </c>
      <c r="B8">
        <v>31.482590899162918</v>
      </c>
      <c r="C8">
        <v>36.148252819910617</v>
      </c>
      <c r="D8">
        <f>TableMCI[[#This Row],[ARIMAPP]]*$I$2+TableMCI[[#This Row],[LSTMPP]]*$I$3</f>
        <v>32.046311513422566</v>
      </c>
      <c r="E8">
        <v>49</v>
      </c>
      <c r="F8">
        <f>ABS(TableMCI[[#This Row],[PP]]-TableMCI[[#This Row],[AP]])</f>
        <v>16.953688486577434</v>
      </c>
    </row>
    <row r="9" spans="1:9" x14ac:dyDescent="0.2">
      <c r="A9" t="s">
        <v>132</v>
      </c>
      <c r="B9">
        <v>35.294117647058812</v>
      </c>
      <c r="C9">
        <v>29.742380610852461</v>
      </c>
      <c r="D9">
        <f>TableMCI[[#This Row],[ARIMAPP]]*$I$2+TableMCI[[#This Row],[LSTMPP]]*$I$3</f>
        <v>30.971232139738369</v>
      </c>
      <c r="E9">
        <v>38</v>
      </c>
      <c r="F9">
        <f>ABS(TableMCI[[#This Row],[PP]]-TableMCI[[#This Row],[AP]])</f>
        <v>7.028767860261631</v>
      </c>
    </row>
    <row r="10" spans="1:9" x14ac:dyDescent="0.2">
      <c r="A10" t="s">
        <v>133</v>
      </c>
      <c r="B10">
        <v>32.932915497863057</v>
      </c>
      <c r="C10">
        <v>29.047619047619051</v>
      </c>
      <c r="D10">
        <f>TableMCI[[#This Row],[ARIMAPP]]*$I$2+TableMCI[[#This Row],[LSTMPP]]*$I$3</f>
        <v>29.494347077443983</v>
      </c>
      <c r="E10">
        <v>21</v>
      </c>
      <c r="F10">
        <f>ABS(TableMCI[[#This Row],[PP]]-TableMCI[[#This Row],[AP]])</f>
        <v>8.4943470774439831</v>
      </c>
    </row>
    <row r="11" spans="1:9" x14ac:dyDescent="0.2">
      <c r="A11" t="s">
        <v>134</v>
      </c>
      <c r="B11">
        <v>32.5</v>
      </c>
      <c r="C11">
        <v>29.77272727272727</v>
      </c>
      <c r="D11">
        <f>TableMCI[[#This Row],[ARIMAPP]]*$I$2+TableMCI[[#This Row],[LSTMPP]]*$I$3</f>
        <v>29.615318071842694</v>
      </c>
      <c r="E11">
        <v>28</v>
      </c>
      <c r="F11">
        <f>ABS(TableMCI[[#This Row],[PP]]-TableMCI[[#This Row],[AP]])</f>
        <v>1.6153180718426938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135</v>
      </c>
      <c r="B2">
        <v>37.252747252747227</v>
      </c>
      <c r="C2">
        <v>37.612189783897442</v>
      </c>
      <c r="D2">
        <f>TableMUN[[#This Row],[ARIMAPP]]*$I$2+TableMUN[[#This Row],[LSTMPP]]*$I$3</f>
        <v>40.067547371537891</v>
      </c>
      <c r="E2">
        <v>28</v>
      </c>
      <c r="F2">
        <f>ABS(TableMUN[[#This Row],[PP]]-TableMUN[[#This Row],[AP]])</f>
        <v>12.067547371537891</v>
      </c>
      <c r="H2" t="s">
        <v>0</v>
      </c>
      <c r="I2">
        <v>0.52926170872431211</v>
      </c>
    </row>
    <row r="3" spans="1:9" x14ac:dyDescent="0.2">
      <c r="A3" t="s">
        <v>136</v>
      </c>
      <c r="B3">
        <v>30.202912165964499</v>
      </c>
      <c r="C3">
        <v>32.121076865759292</v>
      </c>
      <c r="D3">
        <f>TableMUN[[#This Row],[ARIMAPP]]*$I$2+TableMUN[[#This Row],[LSTMPP]]*$I$3</f>
        <v>33.36522413435371</v>
      </c>
      <c r="E3">
        <v>35</v>
      </c>
      <c r="F3">
        <f>ABS(TableMUN[[#This Row],[PP]]-TableMUN[[#This Row],[AP]])</f>
        <v>1.6347758656462901</v>
      </c>
      <c r="H3" t="s">
        <v>1</v>
      </c>
      <c r="I3">
        <v>0.54107710353484106</v>
      </c>
    </row>
    <row r="4" spans="1:9" x14ac:dyDescent="0.2">
      <c r="A4" t="s">
        <v>137</v>
      </c>
      <c r="B4">
        <v>47.265937694294891</v>
      </c>
      <c r="C4">
        <v>44.429439805704867</v>
      </c>
      <c r="D4">
        <f>TableMUN[[#This Row],[ARIMAPP]]*$I$2+TableMUN[[#This Row],[LSTMPP]]*$I$3</f>
        <v>49.055803550285745</v>
      </c>
      <c r="E4">
        <v>27</v>
      </c>
      <c r="F4">
        <f>ABS(TableMUN[[#This Row],[PP]]-TableMUN[[#This Row],[AP]])</f>
        <v>22.055803550285745</v>
      </c>
    </row>
    <row r="5" spans="1:9" x14ac:dyDescent="0.2">
      <c r="A5" t="s">
        <v>138</v>
      </c>
      <c r="B5">
        <v>23.902439024390251</v>
      </c>
      <c r="C5">
        <v>27.244897959183671</v>
      </c>
      <c r="D5">
        <f>TableMUN[[#This Row],[ARIMAPP]]*$I$2+TableMUN[[#This Row],[LSTMPP]]*$I$3</f>
        <v>27.392236194584868</v>
      </c>
      <c r="E5">
        <v>53</v>
      </c>
      <c r="F5">
        <f>ABS(TableMUN[[#This Row],[PP]]-TableMUN[[#This Row],[AP]])</f>
        <v>25.607763805415132</v>
      </c>
      <c r="H5" t="s">
        <v>2</v>
      </c>
      <c r="I5" cm="1">
        <f t="array" ref="I5">(SUM(TableMUN[PP]-TableMUN[AP]))^2</f>
        <v>1.0223637331664313E-27</v>
      </c>
    </row>
    <row r="6" spans="1:9" x14ac:dyDescent="0.2">
      <c r="A6" t="s">
        <v>139</v>
      </c>
      <c r="B6">
        <v>29.984571264041019</v>
      </c>
      <c r="C6">
        <v>31.748285440206239</v>
      </c>
      <c r="D6">
        <f>TableMUN[[#This Row],[ARIMAPP]]*$I$2+TableMUN[[#This Row],[LSTMPP]]*$I$3</f>
        <v>33.047955750756415</v>
      </c>
      <c r="E6">
        <v>40</v>
      </c>
      <c r="F6">
        <f>ABS(TableMUN[[#This Row],[PP]]-TableMUN[[#This Row],[AP]])</f>
        <v>6.9520442492435848</v>
      </c>
    </row>
    <row r="7" spans="1:9" x14ac:dyDescent="0.2">
      <c r="A7" t="s">
        <v>140</v>
      </c>
      <c r="B7">
        <v>43.679245283018908</v>
      </c>
      <c r="C7">
        <v>44.24249633163177</v>
      </c>
      <c r="D7">
        <f>TableMUN[[#This Row],[ARIMAPP]]*$I$2+TableMUN[[#This Row],[LSTMPP]]*$I$3</f>
        <v>47.056353762549087</v>
      </c>
      <c r="E7">
        <v>22</v>
      </c>
      <c r="F7">
        <f>ABS(TableMUN[[#This Row],[PP]]-TableMUN[[#This Row],[AP]])</f>
        <v>25.056353762549087</v>
      </c>
      <c r="H7" t="s">
        <v>3</v>
      </c>
      <c r="I7">
        <f>AVERAGE(TableMUN[DIFF])/10</f>
        <v>1.1214970610597661</v>
      </c>
    </row>
    <row r="8" spans="1:9" x14ac:dyDescent="0.2">
      <c r="A8" t="s">
        <v>141</v>
      </c>
      <c r="B8">
        <v>45.306278743234849</v>
      </c>
      <c r="C8">
        <v>41.627625754597432</v>
      </c>
      <c r="D8">
        <f>TableMUN[[#This Row],[ARIMAPP]]*$I$2+TableMUN[[#This Row],[LSTMPP]]*$I$3</f>
        <v>46.502633673914389</v>
      </c>
      <c r="E8">
        <v>44</v>
      </c>
      <c r="F8">
        <f>ABS(TableMUN[[#This Row],[PP]]-TableMUN[[#This Row],[AP]])</f>
        <v>2.5026336739143886</v>
      </c>
    </row>
    <row r="9" spans="1:9" x14ac:dyDescent="0.2">
      <c r="A9" t="s">
        <v>142</v>
      </c>
      <c r="B9">
        <v>34.285714285714299</v>
      </c>
      <c r="C9">
        <v>35</v>
      </c>
      <c r="D9">
        <f>TableMUN[[#This Row],[ARIMAPP]]*$I$2+TableMUN[[#This Row],[LSTMPP]]*$I$3</f>
        <v>37.083814351410147</v>
      </c>
      <c r="E9">
        <v>49</v>
      </c>
      <c r="F9">
        <f>ABS(TableMUN[[#This Row],[PP]]-TableMUN[[#This Row],[AP]])</f>
        <v>11.916185648589853</v>
      </c>
    </row>
    <row r="10" spans="1:9" x14ac:dyDescent="0.2">
      <c r="A10" t="s">
        <v>143</v>
      </c>
      <c r="B10">
        <v>21.8807759342209</v>
      </c>
      <c r="C10">
        <v>22.333333333333339</v>
      </c>
      <c r="D10">
        <f>TableMUN[[#This Row],[ARIMAPP]]*$I$2+TableMUN[[#This Row],[LSTMPP]]*$I$3</f>
        <v>23.664712171437682</v>
      </c>
      <c r="E10">
        <v>24</v>
      </c>
      <c r="F10">
        <f>ABS(TableMUN[[#This Row],[PP]]-TableMUN[[#This Row],[AP]])</f>
        <v>0.33528782856231842</v>
      </c>
    </row>
    <row r="11" spans="1:9" x14ac:dyDescent="0.2">
      <c r="A11" t="s">
        <v>144</v>
      </c>
      <c r="B11">
        <v>26.08695652173914</v>
      </c>
      <c r="C11">
        <v>28.905530467695449</v>
      </c>
      <c r="D11">
        <f>TableMUN[[#This Row],[ARIMAPP]]*$I$2+TableMUN[[#This Row],[LSTMPP]]*$I$3</f>
        <v>29.446947885711246</v>
      </c>
      <c r="E11">
        <v>30</v>
      </c>
      <c r="F11">
        <f>ABS(TableMUN[[#This Row],[PP]]-TableMUN[[#This Row],[AP]])</f>
        <v>0.55305211428875367</v>
      </c>
    </row>
    <row r="12" spans="1:9" x14ac:dyDescent="0.2">
      <c r="A12" t="s">
        <v>96</v>
      </c>
      <c r="B12">
        <v>25.999999999999989</v>
      </c>
      <c r="C12">
        <v>28.75</v>
      </c>
      <c r="D12">
        <f>TableMUN[[#This Row],[ARIMAPP]]*$I$2+TableMUN[[#This Row],[LSTMPP]]*$I$3</f>
        <v>29.316771153458788</v>
      </c>
      <c r="E12">
        <v>44</v>
      </c>
      <c r="F12">
        <f>ABS(TableMUN[[#This Row],[PP]]-TableMUN[[#This Row],[AP]])</f>
        <v>14.683228846541212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103</v>
      </c>
      <c r="B2">
        <v>45.985401459854018</v>
      </c>
      <c r="C2">
        <v>44.245545516286569</v>
      </c>
      <c r="D2">
        <f>TableNEW[[#This Row],[ARIMAPP]]*$I$2+TableNEW[[#This Row],[LSTMPP]]*$I$3</f>
        <v>56.404411359999251</v>
      </c>
      <c r="E2">
        <v>46</v>
      </c>
      <c r="F2">
        <f>ABS(TableNEW[[#This Row],[PP]]-TableNEW[[#This Row],[AP]])</f>
        <v>10.404411359999251</v>
      </c>
      <c r="H2" t="s">
        <v>0</v>
      </c>
      <c r="I2">
        <v>0.64092124160598307</v>
      </c>
    </row>
    <row r="3" spans="1:9" x14ac:dyDescent="0.2">
      <c r="A3" t="s">
        <v>145</v>
      </c>
      <c r="B3">
        <v>44.418527613541507</v>
      </c>
      <c r="C3">
        <v>39.568965517241381</v>
      </c>
      <c r="D3">
        <f>TableNEW[[#This Row],[ARIMAPP]]*$I$2+TableNEW[[#This Row],[LSTMPP]]*$I$3</f>
        <v>52.553626634575132</v>
      </c>
      <c r="E3">
        <v>70</v>
      </c>
      <c r="F3">
        <f>ABS(TableNEW[[#This Row],[PP]]-TableNEW[[#This Row],[AP]])</f>
        <v>17.446373365424868</v>
      </c>
      <c r="H3" t="s">
        <v>1</v>
      </c>
      <c r="I3">
        <v>0.60868027382975121</v>
      </c>
    </row>
    <row r="4" spans="1:9" x14ac:dyDescent="0.2">
      <c r="A4" t="s">
        <v>146</v>
      </c>
      <c r="B4">
        <v>29.81908150744712</v>
      </c>
      <c r="C4">
        <v>30.4</v>
      </c>
      <c r="D4">
        <f>TableNEW[[#This Row],[ARIMAPP]]*$I$2+TableNEW[[#This Row],[LSTMPP]]*$I$3</f>
        <v>37.61556306772745</v>
      </c>
      <c r="E4">
        <v>41</v>
      </c>
      <c r="F4">
        <f>ABS(TableNEW[[#This Row],[PP]]-TableNEW[[#This Row],[AP]])</f>
        <v>3.3844369322725498</v>
      </c>
    </row>
    <row r="5" spans="1:9" x14ac:dyDescent="0.2">
      <c r="A5" t="s">
        <v>147</v>
      </c>
      <c r="B5">
        <v>22.522522522522539</v>
      </c>
      <c r="C5">
        <v>25.51136363636364</v>
      </c>
      <c r="D5">
        <f>TableNEW[[#This Row],[ARIMAPP]]*$I$2+TableNEW[[#This Row],[LSTMPP]]*$I$3</f>
        <v>29.96342690318604</v>
      </c>
      <c r="E5">
        <v>35</v>
      </c>
      <c r="F5">
        <f>ABS(TableNEW[[#This Row],[PP]]-TableNEW[[#This Row],[AP]])</f>
        <v>5.0365730968139601</v>
      </c>
      <c r="H5" t="s">
        <v>2</v>
      </c>
      <c r="I5" cm="1">
        <f t="array" ref="I5">(SUM(TableNEW[PP]-TableNEW[AP]))^2</f>
        <v>8.5323195508704637E-27</v>
      </c>
    </row>
    <row r="6" spans="1:9" x14ac:dyDescent="0.2">
      <c r="A6" t="s">
        <v>148</v>
      </c>
      <c r="B6">
        <v>29.10569105691059</v>
      </c>
      <c r="C6">
        <v>29.030612244897959</v>
      </c>
      <c r="D6">
        <f>TableNEW[[#This Row],[ARIMAPP]]*$I$2+TableNEW[[#This Row],[LSTMPP]]*$I$3</f>
        <v>36.324816660665107</v>
      </c>
      <c r="E6">
        <v>35</v>
      </c>
      <c r="F6">
        <f>ABS(TableNEW[[#This Row],[PP]]-TableNEW[[#This Row],[AP]])</f>
        <v>1.3248166606651068</v>
      </c>
    </row>
    <row r="7" spans="1:9" x14ac:dyDescent="0.2">
      <c r="A7" t="s">
        <v>149</v>
      </c>
      <c r="B7">
        <v>33.22046884113859</v>
      </c>
      <c r="C7">
        <v>26.203703703703699</v>
      </c>
      <c r="D7">
        <f>TableNEW[[#This Row],[ARIMAPP]]*$I$2+TableNEW[[#This Row],[LSTMPP]]*$I$3</f>
        <v>37.241381682119453</v>
      </c>
      <c r="E7">
        <v>30</v>
      </c>
      <c r="F7">
        <f>ABS(TableNEW[[#This Row],[PP]]-TableNEW[[#This Row],[AP]])</f>
        <v>7.241381682119453</v>
      </c>
      <c r="H7" t="s">
        <v>3</v>
      </c>
      <c r="I7">
        <f>AVERAGE(TableNEW[DIFF])/10</f>
        <v>0.93170516034409856</v>
      </c>
    </row>
    <row r="8" spans="1:9" x14ac:dyDescent="0.2">
      <c r="A8" t="s">
        <v>150</v>
      </c>
      <c r="B8">
        <v>40.746675280074868</v>
      </c>
      <c r="C8">
        <v>35.648148148148159</v>
      </c>
      <c r="D8">
        <f>TableNEW[[#This Row],[ARIMAPP]]*$I$2+TableNEW[[#This Row],[LSTMPP]]*$I$3</f>
        <v>47.813734288159765</v>
      </c>
      <c r="E8">
        <v>47</v>
      </c>
      <c r="F8">
        <f>ABS(TableNEW[[#This Row],[PP]]-TableNEW[[#This Row],[AP]])</f>
        <v>0.81373428815976467</v>
      </c>
    </row>
    <row r="9" spans="1:9" x14ac:dyDescent="0.2">
      <c r="A9" t="s">
        <v>151</v>
      </c>
      <c r="B9">
        <v>43.934723185198983</v>
      </c>
      <c r="C9">
        <v>26.50793650793651</v>
      </c>
      <c r="D9">
        <f>TableNEW[[#This Row],[ARIMAPP]]*$I$2+TableNEW[[#This Row],[LSTMPP]]*$I$3</f>
        <v>44.293555385785353</v>
      </c>
      <c r="E9">
        <v>66</v>
      </c>
      <c r="F9">
        <f>ABS(TableNEW[[#This Row],[PP]]-TableNEW[[#This Row],[AP]])</f>
        <v>21.706444614214647</v>
      </c>
    </row>
    <row r="10" spans="1:9" x14ac:dyDescent="0.2">
      <c r="A10" t="s">
        <v>152</v>
      </c>
      <c r="B10">
        <v>10.95238094850794</v>
      </c>
      <c r="C10">
        <v>17.5</v>
      </c>
      <c r="D10">
        <f>TableNEW[[#This Row],[ARIMAPP]]*$I$2+TableNEW[[#This Row],[LSTMPP]]*$I$3</f>
        <v>17.67151838808007</v>
      </c>
      <c r="E10">
        <v>26</v>
      </c>
      <c r="F10">
        <f>ABS(TableNEW[[#This Row],[PP]]-TableNEW[[#This Row],[AP]])</f>
        <v>8.3284816119199299</v>
      </c>
    </row>
    <row r="11" spans="1:9" x14ac:dyDescent="0.2">
      <c r="A11" t="s">
        <v>153</v>
      </c>
      <c r="B11">
        <v>33.33333333333335</v>
      </c>
      <c r="C11">
        <v>31.578947368421058</v>
      </c>
      <c r="D11">
        <f>TableNEW[[#This Row],[ARIMAPP]]*$I$2+TableNEW[[#This Row],[LSTMPP]]*$I$3</f>
        <v>40.585523718331942</v>
      </c>
      <c r="E11">
        <v>33</v>
      </c>
      <c r="F11">
        <f>ABS(TableNEW[[#This Row],[PP]]-TableNEW[[#This Row],[AP]])</f>
        <v>7.5855237183319417</v>
      </c>
    </row>
    <row r="12" spans="1:9" x14ac:dyDescent="0.2">
      <c r="A12" t="s">
        <v>154</v>
      </c>
      <c r="B12">
        <v>33.046408045633292</v>
      </c>
      <c r="C12">
        <v>44.351123447314492</v>
      </c>
      <c r="D12">
        <f>TableNEW[[#This Row],[ARIMAPP]]*$I$2+TableNEW[[#This Row],[LSTMPP]]*$I$3</f>
        <v>48.175798839793721</v>
      </c>
      <c r="E12">
        <v>37</v>
      </c>
      <c r="F12">
        <f>ABS(TableNEW[[#This Row],[PP]]-TableNEW[[#This Row],[AP]])</f>
        <v>11.175798839793721</v>
      </c>
    </row>
    <row r="13" spans="1:9" x14ac:dyDescent="0.2">
      <c r="A13" t="s">
        <v>155</v>
      </c>
      <c r="B13">
        <v>50.476190476190453</v>
      </c>
      <c r="C13">
        <v>46.010001644754617</v>
      </c>
      <c r="D13">
        <f>TableNEW[[#This Row],[ARIMAPP]]*$I$2+TableNEW[[#This Row],[LSTMPP]]*$I$3</f>
        <v>60.356643071576627</v>
      </c>
      <c r="E13">
        <v>43</v>
      </c>
      <c r="F13">
        <f>ABS(TableNEW[[#This Row],[PP]]-TableNEW[[#This Row],[AP]])</f>
        <v>17.356643071576627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8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156</v>
      </c>
      <c r="B2">
        <v>33.669124523902973</v>
      </c>
      <c r="C2">
        <v>33.515625</v>
      </c>
      <c r="D2">
        <f>TableNFO[[#This Row],[ARIMAPP]]*$I$2+TableNFO[[#This Row],[LSTMPP]]*$I$3</f>
        <v>38.086297996189032</v>
      </c>
      <c r="E2">
        <v>25</v>
      </c>
      <c r="F2">
        <f>ABS(TableNFO[[#This Row],[PP]]-TableNFO[[#This Row],[AP]])</f>
        <v>13.086297996189032</v>
      </c>
      <c r="H2" t="s">
        <v>0</v>
      </c>
      <c r="I2">
        <v>0.58022367902301741</v>
      </c>
    </row>
    <row r="3" spans="1:9" x14ac:dyDescent="0.2">
      <c r="A3" t="s">
        <v>157</v>
      </c>
      <c r="B3">
        <v>40.761760307327528</v>
      </c>
      <c r="C3">
        <v>25.882352941176471</v>
      </c>
      <c r="D3">
        <f>TableNFO[[#This Row],[ARIMAPP]]*$I$2+TableNFO[[#This Row],[LSTMPP]]*$I$3</f>
        <v>37.976648097702487</v>
      </c>
      <c r="E3">
        <v>31</v>
      </c>
      <c r="F3">
        <f>ABS(TableNFO[[#This Row],[PP]]-TableNFO[[#This Row],[AP]])</f>
        <v>6.976648097702487</v>
      </c>
      <c r="H3" t="s">
        <v>1</v>
      </c>
      <c r="I3">
        <v>0.55349332424640596</v>
      </c>
    </row>
    <row r="4" spans="1:9" x14ac:dyDescent="0.2">
      <c r="A4" t="s">
        <v>158</v>
      </c>
      <c r="B4">
        <v>33.877551020408163</v>
      </c>
      <c r="C4">
        <v>33.137865155700673</v>
      </c>
      <c r="D4">
        <f>TableNFO[[#This Row],[ARIMAPP]]*$I$2+TableNFO[[#This Row],[LSTMPP]]*$I$3</f>
        <v>37.998144432809113</v>
      </c>
      <c r="E4">
        <v>35</v>
      </c>
      <c r="F4">
        <f>ABS(TableNFO[[#This Row],[PP]]-TableNFO[[#This Row],[AP]])</f>
        <v>2.9981444328091129</v>
      </c>
    </row>
    <row r="5" spans="1:9" x14ac:dyDescent="0.2">
      <c r="A5" t="s">
        <v>159</v>
      </c>
      <c r="B5">
        <v>23.28994128873757</v>
      </c>
      <c r="C5">
        <v>24.84375</v>
      </c>
      <c r="D5">
        <f>TableNFO[[#This Row],[ARIMAPP]]*$I$2+TableNFO[[#This Row],[LSTMPP]]*$I$3</f>
        <v>27.264225193028036</v>
      </c>
      <c r="E5">
        <v>35</v>
      </c>
      <c r="F5">
        <f>ABS(TableNFO[[#This Row],[PP]]-TableNFO[[#This Row],[AP]])</f>
        <v>7.7357748069719641</v>
      </c>
      <c r="H5" t="s">
        <v>2</v>
      </c>
      <c r="I5" cm="1">
        <f t="array" ref="I5">(SUM(TableNFO[PP]-TableNFO[AP]))^2</f>
        <v>2.0194839173657902E-28</v>
      </c>
    </row>
    <row r="6" spans="1:9" x14ac:dyDescent="0.2">
      <c r="A6" t="s">
        <v>160</v>
      </c>
      <c r="B6">
        <v>18.333333333333329</v>
      </c>
      <c r="C6">
        <v>23.541666666666671</v>
      </c>
      <c r="D6">
        <f>TableNFO[[#This Row],[ARIMAPP]]*$I$2+TableNFO[[#This Row],[LSTMPP]]*$I$3</f>
        <v>23.667589457056128</v>
      </c>
      <c r="E6">
        <v>25</v>
      </c>
      <c r="F6">
        <f>ABS(TableNFO[[#This Row],[PP]]-TableNFO[[#This Row],[AP]])</f>
        <v>1.3324105429438724</v>
      </c>
    </row>
    <row r="7" spans="1:9" x14ac:dyDescent="0.2">
      <c r="A7" t="s">
        <v>161</v>
      </c>
      <c r="B7">
        <v>38.076923076923073</v>
      </c>
      <c r="C7">
        <v>29.585561062858929</v>
      </c>
      <c r="D7">
        <f>TableNFO[[#This Row],[ARIMAPP]]*$I$2+TableNFO[[#This Row],[LSTMPP]]*$I$3</f>
        <v>38.468542935945557</v>
      </c>
      <c r="E7">
        <v>42</v>
      </c>
      <c r="F7">
        <f>ABS(TableNFO[[#This Row],[PP]]-TableNFO[[#This Row],[AP]])</f>
        <v>3.5314570640544432</v>
      </c>
      <c r="H7" t="s">
        <v>3</v>
      </c>
      <c r="I7">
        <f>AVERAGE(TableNFO[DIFF])/10</f>
        <v>0.65888830076287497</v>
      </c>
    </row>
    <row r="8" spans="1:9" x14ac:dyDescent="0.2">
      <c r="A8" t="s">
        <v>162</v>
      </c>
      <c r="B8">
        <v>14.117647058823531</v>
      </c>
      <c r="C8">
        <v>22.307692307692299</v>
      </c>
      <c r="D8">
        <f>TableNFO[[#This Row],[ARIMAPP]]*$I$2+TableNFO[[#This Row],[LSTMPP]]*$I$3</f>
        <v>20.538551887269662</v>
      </c>
      <c r="E8">
        <v>31</v>
      </c>
      <c r="F8">
        <f>ABS(TableNFO[[#This Row],[PP]]-TableNFO[[#This Row],[AP]])</f>
        <v>10.461448112730338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163</v>
      </c>
      <c r="B2">
        <v>18.424978946776911</v>
      </c>
      <c r="C2">
        <v>26.05263157894737</v>
      </c>
      <c r="D2">
        <f>TableSHU[[#This Row],[ARIMAPP]]*$I$2+TableSHU[[#This Row],[LSTMPP]]*$I$3</f>
        <v>27.537150456290931</v>
      </c>
      <c r="E2">
        <v>22</v>
      </c>
      <c r="F2">
        <f>ABS(TableSHU[[#This Row],[PP]]-TableSHU[[#This Row],[AP]])</f>
        <v>5.5371504562909308</v>
      </c>
      <c r="H2" t="s">
        <v>0</v>
      </c>
      <c r="I2">
        <v>0.56340519790869392</v>
      </c>
    </row>
    <row r="3" spans="1:9" x14ac:dyDescent="0.2">
      <c r="A3" t="s">
        <v>164</v>
      </c>
      <c r="B3">
        <v>18.333333333333339</v>
      </c>
      <c r="C3">
        <v>17.777777777777779</v>
      </c>
      <c r="D3">
        <f>TableSHU[[#This Row],[ARIMAPP]]*$I$2+TableSHU[[#This Row],[LSTMPP]]*$I$3</f>
        <v>22.036283061728628</v>
      </c>
      <c r="E3">
        <v>25</v>
      </c>
      <c r="F3">
        <f>ABS(TableSHU[[#This Row],[PP]]-TableSHU[[#This Row],[AP]])</f>
        <v>2.9637169382713715</v>
      </c>
      <c r="H3" t="s">
        <v>1</v>
      </c>
      <c r="I3">
        <v>0.65852931187889452</v>
      </c>
    </row>
    <row r="4" spans="1:9" x14ac:dyDescent="0.2">
      <c r="A4" t="s">
        <v>165</v>
      </c>
      <c r="B4">
        <v>14.999999968113761</v>
      </c>
      <c r="C4">
        <v>16.666666666666661</v>
      </c>
      <c r="D4">
        <f>TableSHU[[#This Row],[ARIMAPP]]*$I$2+TableSHU[[#This Row],[LSTMPP]]*$I$3</f>
        <v>19.426566481980441</v>
      </c>
      <c r="E4">
        <v>22</v>
      </c>
      <c r="F4">
        <f>ABS(TableSHU[[#This Row],[PP]]-TableSHU[[#This Row],[AP]])</f>
        <v>2.5734335180195593</v>
      </c>
    </row>
    <row r="5" spans="1:9" x14ac:dyDescent="0.2">
      <c r="H5" t="s">
        <v>2</v>
      </c>
      <c r="I5" cm="1">
        <f t="array" ref="I5">(SUM(TableSHU[PP]-TableSHU[AP]))^2</f>
        <v>0</v>
      </c>
    </row>
    <row r="7" spans="1:9" x14ac:dyDescent="0.2">
      <c r="H7" t="s">
        <v>3</v>
      </c>
      <c r="I7">
        <f>AVERAGE(TableSHU[DIFF])/10</f>
        <v>0.36914336375272871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0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166</v>
      </c>
      <c r="B2">
        <v>43.451991934040016</v>
      </c>
      <c r="C2">
        <v>41.906133703281867</v>
      </c>
      <c r="D2">
        <f>TableTOT[[#This Row],[ARIMAPP]]*$I$2+TableTOT[[#This Row],[LSTMPP]]*$I$3</f>
        <v>43.145417252473678</v>
      </c>
      <c r="E2">
        <v>54</v>
      </c>
      <c r="F2">
        <f>ABS(TableTOT[[#This Row],[PP]]-TableTOT[[#This Row],[AP]])</f>
        <v>10.854582747526322</v>
      </c>
      <c r="H2" t="s">
        <v>0</v>
      </c>
      <c r="I2">
        <v>0.54063987148976533</v>
      </c>
    </row>
    <row r="3" spans="1:9" x14ac:dyDescent="0.2">
      <c r="A3" t="s">
        <v>167</v>
      </c>
      <c r="B3">
        <v>24.950647466566071</v>
      </c>
      <c r="C3">
        <v>40.788926381900062</v>
      </c>
      <c r="D3">
        <f>TableTOT[[#This Row],[ARIMAPP]]*$I$2+TableTOT[[#This Row],[LSTMPP]]*$I$3</f>
        <v>32.618894221485434</v>
      </c>
      <c r="E3">
        <v>27</v>
      </c>
      <c r="F3">
        <f>ABS(TableTOT[[#This Row],[PP]]-TableTOT[[#This Row],[AP]])</f>
        <v>5.6188942214854336</v>
      </c>
      <c r="H3" t="s">
        <v>1</v>
      </c>
      <c r="I3">
        <v>0.46898952922829062</v>
      </c>
    </row>
    <row r="4" spans="1:9" x14ac:dyDescent="0.2">
      <c r="A4" t="s">
        <v>168</v>
      </c>
      <c r="B4">
        <v>29.375000000000011</v>
      </c>
      <c r="C4">
        <v>28.20087055371253</v>
      </c>
      <c r="D4">
        <f>TableTOT[[#This Row],[ARIMAPP]]*$I$2+TableTOT[[#This Row],[LSTMPP]]*$I$3</f>
        <v>29.107209229825465</v>
      </c>
      <c r="E4">
        <v>40</v>
      </c>
      <c r="F4">
        <f>ABS(TableTOT[[#This Row],[PP]]-TableTOT[[#This Row],[AP]])</f>
        <v>10.892790770174535</v>
      </c>
    </row>
    <row r="5" spans="1:9" x14ac:dyDescent="0.2">
      <c r="A5" t="s">
        <v>169</v>
      </c>
      <c r="B5">
        <v>40.612244897959187</v>
      </c>
      <c r="C5">
        <v>34.102564102564102</v>
      </c>
      <c r="D5">
        <f>TableTOT[[#This Row],[ARIMAPP]]*$I$2+TableTOT[[#This Row],[LSTMPP]]*$I$3</f>
        <v>37.950344346482673</v>
      </c>
      <c r="E5">
        <v>37</v>
      </c>
      <c r="F5">
        <f>ABS(TableTOT[[#This Row],[PP]]-TableTOT[[#This Row],[AP]])</f>
        <v>0.95034434648267307</v>
      </c>
      <c r="H5" t="s">
        <v>2</v>
      </c>
      <c r="I5" cm="1">
        <f t="array" ref="I5">(SUM(TableTOT[PP]-TableTOT[AP]))^2</f>
        <v>2.0194839173657902E-28</v>
      </c>
    </row>
    <row r="6" spans="1:9" x14ac:dyDescent="0.2">
      <c r="A6" t="s">
        <v>170</v>
      </c>
      <c r="B6">
        <v>30.512820512820511</v>
      </c>
      <c r="C6">
        <v>30.483870967741929</v>
      </c>
      <c r="D6">
        <f>TableTOT[[#This Row],[ARIMAPP]]*$I$2+TableTOT[[#This Row],[LSTMPP]]*$I$3</f>
        <v>30.793063655058802</v>
      </c>
      <c r="E6">
        <v>28</v>
      </c>
      <c r="F6">
        <f>ABS(TableTOT[[#This Row],[PP]]-TableTOT[[#This Row],[AP]])</f>
        <v>2.7930636550588019</v>
      </c>
    </row>
    <row r="7" spans="1:9" x14ac:dyDescent="0.2">
      <c r="A7" t="s">
        <v>171</v>
      </c>
      <c r="B7">
        <v>46.329283724877641</v>
      </c>
      <c r="C7">
        <v>43.091147716113781</v>
      </c>
      <c r="D7">
        <f>TableTOT[[#This Row],[ARIMAPP]]*$I$2+TableTOT[[#This Row],[LSTMPP]]*$I$3</f>
        <v>45.256755080517657</v>
      </c>
      <c r="E7">
        <v>66</v>
      </c>
      <c r="F7">
        <f>ABS(TableTOT[[#This Row],[PP]]-TableTOT[[#This Row],[AP]])</f>
        <v>20.743244919482343</v>
      </c>
      <c r="H7" t="s">
        <v>3</v>
      </c>
      <c r="I7">
        <f>AVERAGE(TableTOT[DIFF])/10</f>
        <v>0.94423596527073794</v>
      </c>
    </row>
    <row r="8" spans="1:9" x14ac:dyDescent="0.2">
      <c r="A8" t="s">
        <v>172</v>
      </c>
      <c r="B8">
        <v>54.26408337941573</v>
      </c>
      <c r="C8">
        <v>20.45454545454546</v>
      </c>
      <c r="D8">
        <f>TableTOT[[#This Row],[ARIMAPP]]*$I$2+TableTOT[[#This Row],[LSTMPP]]*$I$3</f>
        <v>38.93029470806318</v>
      </c>
      <c r="E8">
        <v>22</v>
      </c>
      <c r="F8">
        <f>ABS(TableTOT[[#This Row],[PP]]-TableTOT[[#This Row],[AP]])</f>
        <v>16.93029470806318</v>
      </c>
    </row>
    <row r="9" spans="1:9" x14ac:dyDescent="0.2">
      <c r="A9" t="s">
        <v>173</v>
      </c>
      <c r="B9">
        <v>40.2971015631135</v>
      </c>
      <c r="C9">
        <v>33.847196000627129</v>
      </c>
      <c r="D9">
        <f>TableTOT[[#This Row],[ARIMAPP]]*$I$2+TableTOT[[#This Row],[LSTMPP]]*$I$3</f>
        <v>37.660200328523501</v>
      </c>
      <c r="E9">
        <v>37</v>
      </c>
      <c r="F9">
        <f>ABS(TableTOT[[#This Row],[PP]]-TableTOT[[#This Row],[AP]])</f>
        <v>0.66020032852350141</v>
      </c>
    </row>
    <row r="10" spans="1:9" x14ac:dyDescent="0.2">
      <c r="A10" t="s">
        <v>174</v>
      </c>
      <c r="B10">
        <v>47.999999999999979</v>
      </c>
      <c r="C10">
        <v>37.5</v>
      </c>
      <c r="D10">
        <f>TableTOT[[#This Row],[ARIMAPP]]*$I$2+TableTOT[[#This Row],[LSTMPP]]*$I$3</f>
        <v>43.537821177569626</v>
      </c>
      <c r="E10">
        <v>28</v>
      </c>
      <c r="F10">
        <f>ABS(TableTOT[[#This Row],[PP]]-TableTOT[[#This Row],[AP]])</f>
        <v>15.537821177569626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9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175</v>
      </c>
      <c r="B2">
        <v>37.133333333333383</v>
      </c>
      <c r="C2">
        <v>34.541666666666657</v>
      </c>
      <c r="D2">
        <f>TableWHU[[#This Row],[ARIMAPP]]*$I$2+TableWHU[[#This Row],[LSTMPP]]*$I$3</f>
        <v>34.153170855879075</v>
      </c>
      <c r="E2">
        <v>28</v>
      </c>
      <c r="F2">
        <f>ABS(TableWHU[[#This Row],[PP]]-TableWHU[[#This Row],[AP]])</f>
        <v>6.1531708558790754</v>
      </c>
      <c r="H2" t="s">
        <v>0</v>
      </c>
      <c r="I2">
        <v>0.45946873742423772</v>
      </c>
    </row>
    <row r="3" spans="1:9" x14ac:dyDescent="0.2">
      <c r="A3" t="s">
        <v>176</v>
      </c>
      <c r="B3">
        <v>39.333839135600151</v>
      </c>
      <c r="C3">
        <v>37.944941123272322</v>
      </c>
      <c r="D3">
        <f>TableWHU[[#This Row],[ARIMAPP]]*$I$2+TableWHU[[#This Row],[LSTMPP]]*$I$3</f>
        <v>36.848209006962279</v>
      </c>
      <c r="E3">
        <v>36</v>
      </c>
      <c r="F3">
        <f>ABS(TableWHU[[#This Row],[PP]]-TableWHU[[#This Row],[AP]])</f>
        <v>0.84820900696227852</v>
      </c>
      <c r="H3" t="s">
        <v>1</v>
      </c>
      <c r="I3">
        <v>0.49481008654839176</v>
      </c>
    </row>
    <row r="4" spans="1:9" x14ac:dyDescent="0.2">
      <c r="A4" t="s">
        <v>177</v>
      </c>
      <c r="B4">
        <v>32.706766917293287</v>
      </c>
      <c r="C4">
        <v>31.320754716981131</v>
      </c>
      <c r="D4">
        <f>TableWHU[[#This Row],[ARIMAPP]]*$I$2+TableWHU[[#This Row],[LSTMPP]]*$I$3</f>
        <v>30.525562252987957</v>
      </c>
      <c r="E4">
        <v>27</v>
      </c>
      <c r="F4">
        <f>ABS(TableWHU[[#This Row],[PP]]-TableWHU[[#This Row],[AP]])</f>
        <v>3.5255622529879567</v>
      </c>
    </row>
    <row r="5" spans="1:9" x14ac:dyDescent="0.2">
      <c r="A5" t="s">
        <v>178</v>
      </c>
      <c r="B5">
        <v>42.309875246749257</v>
      </c>
      <c r="C5">
        <v>42.197014255601673</v>
      </c>
      <c r="D5">
        <f>TableWHU[[#This Row],[ARIMAPP]]*$I$2+TableWHU[[#This Row],[LSTMPP]]*$I$3</f>
        <v>40.319573236098876</v>
      </c>
      <c r="E5">
        <v>54</v>
      </c>
      <c r="F5">
        <f>ABS(TableWHU[[#This Row],[PP]]-TableWHU[[#This Row],[AP]])</f>
        <v>13.680426763901124</v>
      </c>
      <c r="H5" t="s">
        <v>2</v>
      </c>
      <c r="I5" cm="1">
        <f t="array" ref="I5">(SUM(TableWHU[PP]-TableWHU[AP]))^2</f>
        <v>1.2621774483536189E-29</v>
      </c>
    </row>
    <row r="6" spans="1:9" x14ac:dyDescent="0.2">
      <c r="A6" t="s">
        <v>179</v>
      </c>
      <c r="B6">
        <v>32.093023255813968</v>
      </c>
      <c r="C6">
        <v>32.058823529411768</v>
      </c>
      <c r="D6">
        <f>TableWHU[[#This Row],[ARIMAPP]]*$I$2+TableWHU[[#This Row],[LSTMPP]]*$I$3</f>
        <v>30.608770120703397</v>
      </c>
      <c r="E6">
        <v>25</v>
      </c>
      <c r="F6">
        <f>ABS(TableWHU[[#This Row],[PP]]-TableWHU[[#This Row],[AP]])</f>
        <v>5.6087701207033973</v>
      </c>
    </row>
    <row r="7" spans="1:9" x14ac:dyDescent="0.2">
      <c r="A7" t="s">
        <v>180</v>
      </c>
      <c r="B7">
        <v>36.000000000000007</v>
      </c>
      <c r="C7">
        <v>37.901762129109059</v>
      </c>
      <c r="D7">
        <f>TableWHU[[#This Row],[ARIMAPP]]*$I$2+TableWHU[[#This Row],[LSTMPP]]*$I$3</f>
        <v>35.295048746713576</v>
      </c>
      <c r="E7">
        <v>26</v>
      </c>
      <c r="F7">
        <f>ABS(TableWHU[[#This Row],[PP]]-TableWHU[[#This Row],[AP]])</f>
        <v>9.2950487467135758</v>
      </c>
      <c r="H7" t="s">
        <v>3</v>
      </c>
      <c r="I7">
        <f>AVERAGE(TableWHU[DIFF])/10</f>
        <v>0.63576902458115714</v>
      </c>
    </row>
    <row r="8" spans="1:9" x14ac:dyDescent="0.2">
      <c r="A8" t="s">
        <v>181</v>
      </c>
      <c r="B8">
        <v>23.999999973114029</v>
      </c>
      <c r="C8">
        <v>40.962529539065692</v>
      </c>
      <c r="D8">
        <f>TableWHU[[#This Row],[ARIMAPP]]*$I$2+TableWHU[[#This Row],[LSTMPP]]*$I$3</f>
        <v>31.295922472294592</v>
      </c>
      <c r="E8">
        <v>32</v>
      </c>
      <c r="F8">
        <f>ABS(TableWHU[[#This Row],[PP]]-TableWHU[[#This Row],[AP]])</f>
        <v>0.7040775277054081</v>
      </c>
    </row>
    <row r="9" spans="1:9" x14ac:dyDescent="0.2">
      <c r="A9" t="s">
        <v>182</v>
      </c>
      <c r="B9">
        <v>27.5</v>
      </c>
      <c r="C9">
        <v>35</v>
      </c>
      <c r="D9">
        <f>TableWHU[[#This Row],[ARIMAPP]]*$I$2+TableWHU[[#This Row],[LSTMPP]]*$I$3</f>
        <v>29.953743308360252</v>
      </c>
      <c r="E9">
        <v>41</v>
      </c>
      <c r="F9">
        <f>ABS(TableWHU[[#This Row],[PP]]-TableWHU[[#This Row],[AP]])</f>
        <v>11.046256691639748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tabSelected="1"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183</v>
      </c>
      <c r="B2">
        <v>19.120738864724061</v>
      </c>
      <c r="C2">
        <v>25.092592592592592</v>
      </c>
      <c r="D2">
        <f>TableWOL[[#This Row],[ARIMAPP]]*$I$2+TableWOL[[#This Row],[LSTMPP]]*$I$3</f>
        <v>30.013780619303375</v>
      </c>
      <c r="E2">
        <v>29</v>
      </c>
      <c r="F2">
        <f>ABS(TableWOL[[#This Row],[PP]]-TableWOL[[#This Row],[AP]])</f>
        <v>1.0137806193033754</v>
      </c>
      <c r="H2" t="s">
        <v>0</v>
      </c>
      <c r="I2">
        <v>0.68653005067272788</v>
      </c>
    </row>
    <row r="3" spans="1:9" x14ac:dyDescent="0.2">
      <c r="A3" t="s">
        <v>41</v>
      </c>
      <c r="B3">
        <v>25.758689774265239</v>
      </c>
      <c r="C3">
        <v>28.91304347826086</v>
      </c>
      <c r="D3">
        <f>TableWOL[[#This Row],[ARIMAPP]]*$I$2+TableWOL[[#This Row],[LSTMPP]]*$I$3</f>
        <v>37.142021318979047</v>
      </c>
      <c r="E3">
        <v>52</v>
      </c>
      <c r="F3">
        <f>ABS(TableWOL[[#This Row],[PP]]-TableWOL[[#This Row],[AP]])</f>
        <v>14.857978681020953</v>
      </c>
      <c r="H3" t="s">
        <v>1</v>
      </c>
      <c r="I3">
        <v>0.6729802325244546</v>
      </c>
    </row>
    <row r="4" spans="1:9" x14ac:dyDescent="0.2">
      <c r="A4" t="s">
        <v>184</v>
      </c>
      <c r="B4">
        <v>40.20620536647494</v>
      </c>
      <c r="C4">
        <v>34.224137931034477</v>
      </c>
      <c r="D4">
        <f>TableWOL[[#This Row],[ARIMAPP]]*$I$2+TableWOL[[#This Row],[LSTMPP]]*$I$3</f>
        <v>50.634936510380733</v>
      </c>
      <c r="E4">
        <v>21</v>
      </c>
      <c r="F4">
        <f>ABS(TableWOL[[#This Row],[PP]]-TableWOL[[#This Row],[AP]])</f>
        <v>29.634936510380733</v>
      </c>
    </row>
    <row r="5" spans="1:9" x14ac:dyDescent="0.2">
      <c r="A5" t="s">
        <v>185</v>
      </c>
      <c r="B5">
        <v>22.173913043478269</v>
      </c>
      <c r="C5">
        <v>26.111111111111111</v>
      </c>
      <c r="D5">
        <f>TableWOL[[#This Row],[ARIMAPP]]*$I$2+TableWOL[[#This Row],[LSTMPP]]*$I$3</f>
        <v>32.795319272379224</v>
      </c>
      <c r="E5">
        <v>26</v>
      </c>
      <c r="F5">
        <f>ABS(TableWOL[[#This Row],[PP]]-TableWOL[[#This Row],[AP]])</f>
        <v>6.7953192723792242</v>
      </c>
      <c r="H5" t="s">
        <v>2</v>
      </c>
      <c r="I5" cm="1">
        <f t="array" ref="I5">(SUM(TableWOL[PP]-TableWOL[AP]))^2</f>
        <v>8.0779356694631609E-28</v>
      </c>
    </row>
    <row r="6" spans="1:9" x14ac:dyDescent="0.2">
      <c r="A6" t="s">
        <v>186</v>
      </c>
      <c r="B6">
        <v>35.969098260300349</v>
      </c>
      <c r="C6">
        <v>24.2</v>
      </c>
      <c r="D6">
        <f>TableWOL[[#This Row],[ARIMAPP]]*$I$2+TableWOL[[#This Row],[LSTMPP]]*$I$3</f>
        <v>40.97998847838813</v>
      </c>
      <c r="E6">
        <v>55</v>
      </c>
      <c r="F6">
        <f>ABS(TableWOL[[#This Row],[PP]]-TableWOL[[#This Row],[AP]])</f>
        <v>14.02001152161187</v>
      </c>
    </row>
    <row r="7" spans="1:9" x14ac:dyDescent="0.2">
      <c r="A7" t="s">
        <v>187</v>
      </c>
      <c r="B7">
        <v>23.905017134893559</v>
      </c>
      <c r="C7">
        <v>25.29411764705883</v>
      </c>
      <c r="D7">
        <f>TableWOL[[#This Row],[ARIMAPP]]*$I$2+TableWOL[[#This Row],[LSTMPP]]*$I$3</f>
        <v>33.433953800569462</v>
      </c>
      <c r="E7">
        <v>42</v>
      </c>
      <c r="F7">
        <f>ABS(TableWOL[[#This Row],[PP]]-TableWOL[[#This Row],[AP]])</f>
        <v>8.5660461994305379</v>
      </c>
      <c r="H7" t="s">
        <v>3</v>
      </c>
      <c r="I7">
        <f>AVERAGE(TableWOL[DIFF])/10</f>
        <v>1.248134546735445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BOU</vt:lpstr>
      <vt:lpstr>BRE</vt:lpstr>
      <vt:lpstr>BHA</vt:lpstr>
      <vt:lpstr>BUR</vt:lpstr>
      <vt:lpstr>CHE</vt:lpstr>
      <vt:lpstr>CRY</vt:lpstr>
      <vt:lpstr>EVE</vt:lpstr>
      <vt:lpstr>FUL</vt:lpstr>
      <vt:lpstr>LIV</vt:lpstr>
      <vt:lpstr>LUT</vt:lpstr>
      <vt:lpstr>MCI</vt:lpstr>
      <vt:lpstr>MUN</vt:lpstr>
      <vt:lpstr>NEW</vt:lpstr>
      <vt:lpstr>NFO</vt:lpstr>
      <vt:lpstr>SHU</vt:lpstr>
      <vt:lpstr>TOT</vt:lpstr>
      <vt:lpstr>WHU</vt:lpstr>
      <vt:lpstr>WOL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Corridore, Gabe</cp:lastModifiedBy>
  <dcterms:created xsi:type="dcterms:W3CDTF">2023-12-08T18:13:20Z</dcterms:created>
  <dcterms:modified xsi:type="dcterms:W3CDTF">2023-12-08T18:34:29Z</dcterms:modified>
</cp:coreProperties>
</file>