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5D72C805-CD4B-3941-95F7-8E460F154330}" xr6:coauthVersionLast="47" xr6:coauthVersionMax="47" xr10:uidLastSave="{00000000-0000-0000-0000-000000000000}"/>
  <bookViews>
    <workbookView xWindow="4340" yWindow="94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0" l="1"/>
  <c r="F9" i="20" s="1"/>
  <c r="F8" i="20"/>
  <c r="D8" i="20"/>
  <c r="D7" i="20"/>
  <c r="F7" i="20" s="1"/>
  <c r="F6" i="20"/>
  <c r="D6" i="20"/>
  <c r="D5" i="20"/>
  <c r="F5" i="20" s="1"/>
  <c r="F4" i="20"/>
  <c r="D4" i="20"/>
  <c r="F3" i="20"/>
  <c r="D3" i="20"/>
  <c r="D2" i="20"/>
  <c r="F2" i="20" s="1"/>
  <c r="F11" i="19"/>
  <c r="D11" i="19"/>
  <c r="D10" i="19"/>
  <c r="F10" i="19" s="1"/>
  <c r="F9" i="19"/>
  <c r="D9" i="19"/>
  <c r="F8" i="19"/>
  <c r="D8" i="19"/>
  <c r="F7" i="19"/>
  <c r="D7" i="19"/>
  <c r="F6" i="19"/>
  <c r="D6" i="19"/>
  <c r="F5" i="19"/>
  <c r="D5" i="19"/>
  <c r="I5" i="19" s="1"/>
  <c r="F4" i="19"/>
  <c r="D4" i="19"/>
  <c r="F3" i="19"/>
  <c r="I7" i="19" s="1"/>
  <c r="D3" i="19"/>
  <c r="F2" i="19"/>
  <c r="D2" i="19"/>
  <c r="D11" i="18"/>
  <c r="F11" i="18" s="1"/>
  <c r="D10" i="18"/>
  <c r="F10" i="18" s="1"/>
  <c r="D9" i="18"/>
  <c r="F9" i="18" s="1"/>
  <c r="D8" i="18"/>
  <c r="F8" i="18" s="1"/>
  <c r="F7" i="18"/>
  <c r="D7" i="18"/>
  <c r="D6" i="18"/>
  <c r="F6" i="18" s="1"/>
  <c r="D5" i="18"/>
  <c r="I5" i="18" s="1"/>
  <c r="D4" i="18"/>
  <c r="F4" i="18" s="1"/>
  <c r="F3" i="18"/>
  <c r="D3" i="18"/>
  <c r="F2" i="18"/>
  <c r="D2" i="18"/>
  <c r="D6" i="17"/>
  <c r="F6" i="17" s="1"/>
  <c r="I5" i="17"/>
  <c r="D5" i="17"/>
  <c r="F5" i="17" s="1"/>
  <c r="F4" i="17"/>
  <c r="D4" i="17"/>
  <c r="F3" i="17"/>
  <c r="D3" i="17"/>
  <c r="D2" i="17"/>
  <c r="F2" i="17" s="1"/>
  <c r="F7" i="16"/>
  <c r="D7" i="16"/>
  <c r="F6" i="16"/>
  <c r="D6" i="16"/>
  <c r="I5" i="16"/>
  <c r="F5" i="16"/>
  <c r="D5" i="16"/>
  <c r="D4" i="16"/>
  <c r="F4" i="16" s="1"/>
  <c r="D3" i="16"/>
  <c r="F3" i="16" s="1"/>
  <c r="D2" i="16"/>
  <c r="F2" i="16" s="1"/>
  <c r="D8" i="15"/>
  <c r="F8" i="15" s="1"/>
  <c r="D7" i="15"/>
  <c r="F7" i="15" s="1"/>
  <c r="F6" i="15"/>
  <c r="D6" i="15"/>
  <c r="I5" i="15"/>
  <c r="D5" i="15"/>
  <c r="F5" i="15" s="1"/>
  <c r="D4" i="15"/>
  <c r="F4" i="15" s="1"/>
  <c r="F3" i="15"/>
  <c r="D3" i="15"/>
  <c r="D2" i="15"/>
  <c r="F2" i="15" s="1"/>
  <c r="D8" i="14"/>
  <c r="F8" i="14" s="1"/>
  <c r="F7" i="14"/>
  <c r="D7" i="14"/>
  <c r="F6" i="14"/>
  <c r="D6" i="14"/>
  <c r="D5" i="14"/>
  <c r="I5" i="14" s="1"/>
  <c r="D4" i="14"/>
  <c r="F4" i="14" s="1"/>
  <c r="D3" i="14"/>
  <c r="F3" i="14" s="1"/>
  <c r="D2" i="14"/>
  <c r="F2" i="14" s="1"/>
  <c r="F12" i="13"/>
  <c r="D12" i="13"/>
  <c r="D11" i="13"/>
  <c r="F11" i="13" s="1"/>
  <c r="D10" i="13"/>
  <c r="F10" i="13" s="1"/>
  <c r="D9" i="13"/>
  <c r="F9" i="13" s="1"/>
  <c r="D8" i="13"/>
  <c r="F8" i="13" s="1"/>
  <c r="D7" i="13"/>
  <c r="F7" i="13" s="1"/>
  <c r="F6" i="13"/>
  <c r="D6" i="13"/>
  <c r="D5" i="13"/>
  <c r="I5" i="13" s="1"/>
  <c r="D4" i="13"/>
  <c r="F4" i="13" s="1"/>
  <c r="F3" i="13"/>
  <c r="D3" i="13"/>
  <c r="D2" i="13"/>
  <c r="F2" i="13" s="1"/>
  <c r="I5" i="12"/>
  <c r="D5" i="12"/>
  <c r="F5" i="12" s="1"/>
  <c r="D4" i="12"/>
  <c r="F4" i="12" s="1"/>
  <c r="F3" i="12"/>
  <c r="D3" i="12"/>
  <c r="D2" i="12"/>
  <c r="F2" i="12" s="1"/>
  <c r="I7" i="12" s="1"/>
  <c r="D15" i="11"/>
  <c r="F15" i="11" s="1"/>
  <c r="D14" i="11"/>
  <c r="F14" i="11" s="1"/>
  <c r="D13" i="11"/>
  <c r="F13" i="11" s="1"/>
  <c r="F12" i="11"/>
  <c r="D12" i="11"/>
  <c r="D11" i="11"/>
  <c r="F11" i="11" s="1"/>
  <c r="D10" i="11"/>
  <c r="F10" i="11" s="1"/>
  <c r="D9" i="11"/>
  <c r="F9" i="11" s="1"/>
  <c r="D8" i="11"/>
  <c r="F8" i="11" s="1"/>
  <c r="D7" i="11"/>
  <c r="F7" i="11" s="1"/>
  <c r="F6" i="11"/>
  <c r="D6" i="11"/>
  <c r="I5" i="11"/>
  <c r="D5" i="11"/>
  <c r="F5" i="11" s="1"/>
  <c r="D4" i="11"/>
  <c r="F4" i="11" s="1"/>
  <c r="F3" i="11"/>
  <c r="D3" i="11"/>
  <c r="D2" i="11"/>
  <c r="F2" i="11" s="1"/>
  <c r="D12" i="10"/>
  <c r="F12" i="10" s="1"/>
  <c r="D11" i="10"/>
  <c r="F11" i="10" s="1"/>
  <c r="D10" i="10"/>
  <c r="F10" i="10" s="1"/>
  <c r="F9" i="10"/>
  <c r="D9" i="10"/>
  <c r="D8" i="10"/>
  <c r="F8" i="10" s="1"/>
  <c r="F7" i="10"/>
  <c r="D7" i="10"/>
  <c r="F6" i="10"/>
  <c r="D6" i="10"/>
  <c r="I5" i="10"/>
  <c r="F5" i="10"/>
  <c r="D5" i="10"/>
  <c r="D4" i="10"/>
  <c r="F4" i="10" s="1"/>
  <c r="D3" i="10"/>
  <c r="F3" i="10" s="1"/>
  <c r="D2" i="10"/>
  <c r="F2" i="10" s="1"/>
  <c r="D9" i="9"/>
  <c r="F9" i="9" s="1"/>
  <c r="F8" i="9"/>
  <c r="D8" i="9"/>
  <c r="F7" i="9"/>
  <c r="D7" i="9"/>
  <c r="F6" i="9"/>
  <c r="D6" i="9"/>
  <c r="D5" i="9"/>
  <c r="I5" i="9" s="1"/>
  <c r="F4" i="9"/>
  <c r="D4" i="9"/>
  <c r="D3" i="9"/>
  <c r="F3" i="9" s="1"/>
  <c r="D2" i="9"/>
  <c r="F2" i="9" s="1"/>
  <c r="D8" i="8"/>
  <c r="F8" i="8" s="1"/>
  <c r="F7" i="8"/>
  <c r="D7" i="8"/>
  <c r="D6" i="8"/>
  <c r="F6" i="8" s="1"/>
  <c r="D5" i="8"/>
  <c r="I5" i="8" s="1"/>
  <c r="D4" i="8"/>
  <c r="F4" i="8" s="1"/>
  <c r="F3" i="8"/>
  <c r="D3" i="8"/>
  <c r="F2" i="8"/>
  <c r="D2" i="8"/>
  <c r="D8" i="7"/>
  <c r="F8" i="7" s="1"/>
  <c r="F7" i="7"/>
  <c r="D7" i="7"/>
  <c r="D6" i="7"/>
  <c r="F6" i="7" s="1"/>
  <c r="I5" i="7"/>
  <c r="F5" i="7"/>
  <c r="D5" i="7"/>
  <c r="D4" i="7"/>
  <c r="F4" i="7" s="1"/>
  <c r="D3" i="7"/>
  <c r="F3" i="7" s="1"/>
  <c r="D2" i="7"/>
  <c r="F2" i="7" s="1"/>
  <c r="I5" i="6"/>
  <c r="F5" i="6"/>
  <c r="D5" i="6"/>
  <c r="D4" i="6"/>
  <c r="F4" i="6" s="1"/>
  <c r="D3" i="6"/>
  <c r="F3" i="6" s="1"/>
  <c r="D2" i="6"/>
  <c r="F2" i="6" s="1"/>
  <c r="F8" i="5"/>
  <c r="D8" i="5"/>
  <c r="D7" i="5"/>
  <c r="F7" i="5" s="1"/>
  <c r="F6" i="5"/>
  <c r="D6" i="5"/>
  <c r="I5" i="5"/>
  <c r="D5" i="5"/>
  <c r="F5" i="5" s="1"/>
  <c r="F4" i="5"/>
  <c r="D4" i="5"/>
  <c r="F3" i="5"/>
  <c r="D3" i="5"/>
  <c r="D2" i="5"/>
  <c r="F2" i="5" s="1"/>
  <c r="D12" i="4"/>
  <c r="F12" i="4" s="1"/>
  <c r="D11" i="4"/>
  <c r="F11" i="4" s="1"/>
  <c r="F10" i="4"/>
  <c r="D10" i="4"/>
  <c r="F9" i="4"/>
  <c r="D9" i="4"/>
  <c r="D8" i="4"/>
  <c r="F8" i="4" s="1"/>
  <c r="F7" i="4"/>
  <c r="D7" i="4"/>
  <c r="D6" i="4"/>
  <c r="F6" i="4" s="1"/>
  <c r="I5" i="4"/>
  <c r="F5" i="4"/>
  <c r="D5" i="4"/>
  <c r="D4" i="4"/>
  <c r="F4" i="4" s="1"/>
  <c r="D3" i="4"/>
  <c r="F3" i="4" s="1"/>
  <c r="D2" i="4"/>
  <c r="F2" i="4" s="1"/>
  <c r="F12" i="3"/>
  <c r="D12" i="3"/>
  <c r="F11" i="3"/>
  <c r="D11" i="3"/>
  <c r="D10" i="3"/>
  <c r="F10" i="3" s="1"/>
  <c r="D9" i="3"/>
  <c r="F9" i="3" s="1"/>
  <c r="D8" i="3"/>
  <c r="F8" i="3" s="1"/>
  <c r="F7" i="3"/>
  <c r="D7" i="3"/>
  <c r="D6" i="3"/>
  <c r="F6" i="3" s="1"/>
  <c r="D5" i="3"/>
  <c r="I5" i="3" s="1"/>
  <c r="D4" i="3"/>
  <c r="F4" i="3" s="1"/>
  <c r="F3" i="3"/>
  <c r="D3" i="3"/>
  <c r="F2" i="3"/>
  <c r="D2" i="3"/>
  <c r="D11" i="2"/>
  <c r="F11" i="2" s="1"/>
  <c r="D10" i="2"/>
  <c r="F10" i="2" s="1"/>
  <c r="D9" i="2"/>
  <c r="F9" i="2" s="1"/>
  <c r="F8" i="2"/>
  <c r="D8" i="2"/>
  <c r="D7" i="2"/>
  <c r="F7" i="2" s="1"/>
  <c r="F6" i="2"/>
  <c r="D6" i="2"/>
  <c r="I5" i="2"/>
  <c r="D5" i="2"/>
  <c r="F5" i="2" s="1"/>
  <c r="F4" i="2"/>
  <c r="D4" i="2"/>
  <c r="F3" i="2"/>
  <c r="D3" i="2"/>
  <c r="D2" i="2"/>
  <c r="F2" i="2" s="1"/>
  <c r="D13" i="1"/>
  <c r="F13" i="1" s="1"/>
  <c r="D12" i="1"/>
  <c r="F12" i="1" s="1"/>
  <c r="F11" i="1"/>
  <c r="D11" i="1"/>
  <c r="F10" i="1"/>
  <c r="D10" i="1"/>
  <c r="D9" i="1"/>
  <c r="F9" i="1" s="1"/>
  <c r="D8" i="1"/>
  <c r="F8" i="1" s="1"/>
  <c r="D7" i="1"/>
  <c r="F7" i="1" s="1"/>
  <c r="F6" i="1"/>
  <c r="D6" i="1"/>
  <c r="D5" i="1"/>
  <c r="I5" i="1" s="1"/>
  <c r="D4" i="1"/>
  <c r="F4" i="1" s="1"/>
  <c r="D3" i="1"/>
  <c r="F3" i="1" s="1"/>
  <c r="F2" i="1"/>
  <c r="D2" i="1"/>
  <c r="I7" i="11" l="1"/>
  <c r="I7" i="7"/>
  <c r="I7" i="13"/>
  <c r="I7" i="4"/>
  <c r="I7" i="5"/>
  <c r="I7" i="3"/>
  <c r="I7" i="6"/>
  <c r="I7" i="10"/>
  <c r="I7" i="2"/>
  <c r="I7" i="15"/>
  <c r="I7" i="16"/>
  <c r="I7" i="17"/>
  <c r="I7" i="20"/>
  <c r="I7" i="14"/>
  <c r="I7" i="18"/>
  <c r="I5" i="20"/>
  <c r="F5" i="9"/>
  <c r="I7" i="9" s="1"/>
  <c r="F5" i="13"/>
  <c r="F5" i="3"/>
  <c r="F5" i="8"/>
  <c r="I7" i="8" s="1"/>
  <c r="F5" i="18"/>
  <c r="F5" i="14"/>
  <c r="F5" i="1"/>
  <c r="I7" i="1" s="1"/>
</calcChain>
</file>

<file path=xl/sharedStrings.xml><?xml version="1.0" encoding="utf-8"?>
<sst xmlns="http://schemas.openxmlformats.org/spreadsheetml/2006/main" count="370" uniqueCount="179">
  <si>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</si>
  <si>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</si>
  <si>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</si>
  <si>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</si>
  <si>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</si>
  <si>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</si>
  <si>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</si>
  <si>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</si>
  <si>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</si>
  <si>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</si>
  <si>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</si>
  <si>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</si>
  <si>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</si>
  <si>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</si>
  <si>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</si>
  <si>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</si>
  <si>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</si>
  <si>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</si>
  <si>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</si>
  <si>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</si>
  <si>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</si>
  <si>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</si>
  <si>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</si>
  <si>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</si>
  <si>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</si>
  <si>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</si>
  <si>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</si>
  <si>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</si>
  <si>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</si>
  <si>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</si>
  <si>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</si>
  <si>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Pau</t>
  </si>
  <si>
    <t>Smith</t>
  </si>
  <si>
    <t>L.Cook</t>
  </si>
  <si>
    <t>Solanke</t>
  </si>
  <si>
    <t>Christie</t>
  </si>
  <si>
    <t>Tavernier</t>
  </si>
  <si>
    <t>Senesi</t>
  </si>
  <si>
    <t>Neto</t>
  </si>
  <si>
    <t>Semenyo</t>
  </si>
  <si>
    <t>Zabarnyi</t>
  </si>
  <si>
    <t>Kluivert</t>
  </si>
  <si>
    <t>Kerkez</t>
  </si>
  <si>
    <t>Nørgaard</t>
  </si>
  <si>
    <t>Pinnock</t>
  </si>
  <si>
    <t>Janelt</t>
  </si>
  <si>
    <t>Mbeumo</t>
  </si>
  <si>
    <t>Ajer</t>
  </si>
  <si>
    <t>Wissa</t>
  </si>
  <si>
    <t>Jensen</t>
  </si>
  <si>
    <t>Roerslev</t>
  </si>
  <si>
    <t>Collins</t>
  </si>
  <si>
    <t>Lewis-Potter</t>
  </si>
  <si>
    <t>Flekken</t>
  </si>
  <si>
    <t>Dunk</t>
  </si>
  <si>
    <t>Gross</t>
  </si>
  <si>
    <t>Welbeck</t>
  </si>
  <si>
    <t>João Pedro</t>
  </si>
  <si>
    <t>Van Hecke</t>
  </si>
  <si>
    <t>Buonanotte</t>
  </si>
  <si>
    <t>Adingra</t>
  </si>
  <si>
    <t>Brownhill</t>
  </si>
  <si>
    <t>O'Shea</t>
  </si>
  <si>
    <t>Bruun Larsen</t>
  </si>
  <si>
    <t>Odobert</t>
  </si>
  <si>
    <t>Sterling</t>
  </si>
  <si>
    <t>Gallagher</t>
  </si>
  <si>
    <t>T.Silva</t>
  </si>
  <si>
    <t>Colwill</t>
  </si>
  <si>
    <t>Mudryk</t>
  </si>
  <si>
    <t>Enzo</t>
  </si>
  <si>
    <t>N.Jackson</t>
  </si>
  <si>
    <t>Hughes</t>
  </si>
  <si>
    <t>J.Ayew</t>
  </si>
  <si>
    <t>Mitchell</t>
  </si>
  <si>
    <t>Eze</t>
  </si>
  <si>
    <t>Andersen</t>
  </si>
  <si>
    <t>Mateta</t>
  </si>
  <si>
    <t>Lerma</t>
  </si>
  <si>
    <t>A.Doucoure</t>
  </si>
  <si>
    <t>Pickford</t>
  </si>
  <si>
    <t>Calvert-Lewin</t>
  </si>
  <si>
    <t>McNeil</t>
  </si>
  <si>
    <t>Garner</t>
  </si>
  <si>
    <t>Branthwaite</t>
  </si>
  <si>
    <t>Harrison</t>
  </si>
  <si>
    <t>Onana</t>
  </si>
  <si>
    <t>Raúl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</si>
  <si>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</si>
  <si>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</si>
  <si>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</si>
  <si>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</si>
  <si>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</si>
  <si>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</si>
  <si>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</si>
  <si>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</si>
  <si>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</si>
  <si>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Bassey</t>
  </si>
  <si>
    <t>A.Becker</t>
  </si>
  <si>
    <t>Salah</t>
  </si>
  <si>
    <t>Alexander-Arnold</t>
  </si>
  <si>
    <t>Virgil</t>
  </si>
  <si>
    <t>Elliott</t>
  </si>
  <si>
    <t>Jones</t>
  </si>
  <si>
    <t>Mac Allister</t>
  </si>
  <si>
    <t>Konaté</t>
  </si>
  <si>
    <t>Luis Díaz</t>
  </si>
  <si>
    <t>Darwin</t>
  </si>
  <si>
    <t>Diogo J.</t>
  </si>
  <si>
    <t>Gakpo</t>
  </si>
  <si>
    <t>Szoboszlai</t>
  </si>
  <si>
    <t>Gomez</t>
  </si>
  <si>
    <t>Barkley</t>
  </si>
  <si>
    <t>Chong</t>
  </si>
  <si>
    <t>Ogbene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</si>
  <si>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</si>
  <si>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</si>
  <si>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</si>
  <si>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</si>
  <si>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</si>
  <si>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</si>
  <si>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</si>
  <si>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</si>
  <si>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</si>
  <si>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</si>
  <si>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</si>
  <si>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Kovačić</t>
  </si>
  <si>
    <t>Rashford</t>
  </si>
  <si>
    <t>McTominay</t>
  </si>
  <si>
    <t>B.Fernandes</t>
  </si>
  <si>
    <t>Dalot</t>
  </si>
  <si>
    <t>Garnacho</t>
  </si>
  <si>
    <t>Højlund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</si>
  <si>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</si>
  <si>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</si>
  <si>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</si>
  <si>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</si>
  <si>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</si>
  <si>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</si>
  <si>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</si>
  <si>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</si>
  <si>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</si>
  <si>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Hudson-Odoi</t>
  </si>
  <si>
    <t>Elanga</t>
  </si>
  <si>
    <t>Danilo</t>
  </si>
  <si>
    <t>Dominguez</t>
  </si>
  <si>
    <t>Bogle</t>
  </si>
  <si>
    <t>Archer</t>
  </si>
  <si>
    <t>Vini Souza</t>
  </si>
  <si>
    <t>Foderingham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</si>
  <si>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</si>
  <si>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</si>
  <si>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</si>
  <si>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</si>
  <si>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</si>
  <si>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</si>
  <si>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</si>
  <si>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</si>
  <si>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</si>
  <si>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</si>
  <si>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</si>
  <si>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</si>
  <si>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Zouma</t>
  </si>
  <si>
    <t>Emerson</t>
  </si>
  <si>
    <t>Bowen</t>
  </si>
  <si>
    <t>Areola</t>
  </si>
  <si>
    <t>L.Paquetá</t>
  </si>
  <si>
    <t>Coufal</t>
  </si>
  <si>
    <t>Souček</t>
  </si>
  <si>
    <t>Álvarez</t>
  </si>
  <si>
    <t>Kudus</t>
  </si>
  <si>
    <t>Dawson</t>
  </si>
  <si>
    <t>José Sá</t>
  </si>
  <si>
    <t>Toti</t>
  </si>
  <si>
    <t>Hee Chan</t>
  </si>
  <si>
    <t>Aït-Nouri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</si>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</sst>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5" totalsRowShown="0">
  <autoFilter ref="A1:F15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5" totalsRowShown="0">
  <autoFilter ref="A1:F5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2" totalsRowShown="0">
  <autoFilter ref="A1:F12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8" totalsRowShown="0">
  <autoFilter ref="A1:F8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8" totalsRowShown="0">
  <autoFilter ref="A1:F8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7" totalsRowShown="0">
  <autoFilter ref="A1:F7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1" totalsRowShown="0">
  <autoFilter ref="A1:F11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1" totalsRowShown="0">
  <autoFilter ref="A1:F11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1" totalsRowShown="0">
  <autoFilter ref="A1:F11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9" totalsRowShown="0">
  <autoFilter ref="A1:F9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2" totalsRowShown="0">
  <autoFilter ref="A1:F12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12" totalsRowShown="0">
  <autoFilter ref="A1:F12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5" totalsRowShown="0">
  <autoFilter ref="A1:F5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8" totalsRowShown="0">
  <autoFilter ref="A1:F8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8" totalsRowShown="0">
  <autoFilter ref="A1:F8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9" totalsRowShown="0">
  <autoFilter ref="A1:F9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29.035005595131569</v>
      </c>
      <c r="C2">
        <v>26.322373286942732</v>
      </c>
      <c r="D2">
        <f>TableARS[[#This Row],[ARIMAPP]]*$I$2+TableARS[[#This Row],[LSTMPP]]*$I$3</f>
        <v>38.860985948065299</v>
      </c>
      <c r="E2">
        <v>61</v>
      </c>
      <c r="F2">
        <f>ABS(TableARS[[#This Row],[PP]]-TableARS[[#This Row],[AP]])</f>
        <v>22.139014051934701</v>
      </c>
      <c r="H2" t="s">
        <v>0</v>
      </c>
      <c r="I2">
        <v>0.37663608055999998</v>
      </c>
    </row>
    <row r="3" spans="1:9" x14ac:dyDescent="0.2">
      <c r="A3" t="s">
        <v>11</v>
      </c>
      <c r="B3">
        <v>40.653594771241821</v>
      </c>
      <c r="C3">
        <v>41.911262861613622</v>
      </c>
      <c r="D3">
        <f>TableARS[[#This Row],[ARIMAPP]]*$I$2+TableARS[[#This Row],[LSTMPP]]*$I$3</f>
        <v>59.775188832709333</v>
      </c>
      <c r="E3">
        <v>28</v>
      </c>
      <c r="F3">
        <f>ABS(TableARS[[#This Row],[PP]]-TableARS[[#This Row],[AP]])</f>
        <v>31.775188832709333</v>
      </c>
      <c r="H3" t="s">
        <v>1</v>
      </c>
      <c r="I3">
        <v>1.0608980785</v>
      </c>
    </row>
    <row r="4" spans="1:9" x14ac:dyDescent="0.2">
      <c r="A4" t="s">
        <v>12</v>
      </c>
      <c r="B4">
        <v>34.134615384615373</v>
      </c>
      <c r="C4">
        <v>32.377313609779698</v>
      </c>
      <c r="D4">
        <f>TableARS[[#This Row],[ARIMAPP]]*$I$2+TableARS[[#This Row],[LSTMPP]]*$I$3</f>
        <v>47.205357545491793</v>
      </c>
      <c r="E4">
        <v>35</v>
      </c>
      <c r="F4">
        <f>ABS(TableARS[[#This Row],[PP]]-TableARS[[#This Row],[AP]])</f>
        <v>12.205357545491793</v>
      </c>
    </row>
    <row r="5" spans="1:9" x14ac:dyDescent="0.2">
      <c r="A5" t="s">
        <v>13</v>
      </c>
      <c r="B5">
        <v>52.855466857105398</v>
      </c>
      <c r="C5">
        <v>40.735432935355533</v>
      </c>
      <c r="D5">
        <f>TableARS[[#This Row],[ARIMAPP]]*$I$2+TableARS[[#This Row],[LSTMPP]]*$I$3</f>
        <v>63.123418401213456</v>
      </c>
      <c r="E5">
        <v>79</v>
      </c>
      <c r="F5">
        <f>ABS(TableARS[[#This Row],[PP]]-TableARS[[#This Row],[AP]])</f>
        <v>15.876581598786544</v>
      </c>
      <c r="H5" t="s">
        <v>2</v>
      </c>
      <c r="I5">
        <f>SUM(ABS(TableARS[[#This Row],[PP]]-TableARS[[#This Row],[AP]]))</f>
        <v>15.876581598786544</v>
      </c>
    </row>
    <row r="6" spans="1:9" x14ac:dyDescent="0.2">
      <c r="A6" t="s">
        <v>14</v>
      </c>
      <c r="B6">
        <v>39.078341842425367</v>
      </c>
      <c r="C6">
        <v>39.701344763971292</v>
      </c>
      <c r="D6">
        <f>TableARS[[#This Row],[ARIMAPP]]*$I$2+TableARS[[#This Row],[LSTMPP]]*$I$3</f>
        <v>56.837393880278114</v>
      </c>
      <c r="E6">
        <v>43</v>
      </c>
      <c r="F6">
        <f>ABS(TableARS[[#This Row],[PP]]-TableARS[[#This Row],[AP]])</f>
        <v>13.837393880278114</v>
      </c>
    </row>
    <row r="7" spans="1:9" x14ac:dyDescent="0.2">
      <c r="A7" t="s">
        <v>15</v>
      </c>
      <c r="B7">
        <v>31.75925925925927</v>
      </c>
      <c r="C7">
        <v>33.160539110731349</v>
      </c>
      <c r="D7">
        <f>TableARS[[#This Row],[ARIMAPP]]*$I$2+TableARS[[#This Row],[LSTMPP]]*$I$3</f>
        <v>47.141635153495287</v>
      </c>
      <c r="E7">
        <v>87</v>
      </c>
      <c r="F7">
        <f>ABS(TableARS[[#This Row],[PP]]-TableARS[[#This Row],[AP]])</f>
        <v>39.858364846504713</v>
      </c>
      <c r="H7" t="s">
        <v>3</v>
      </c>
      <c r="I7">
        <f>AVERAGE(TableARS[DIFF])/10</f>
        <v>1.6951409362446799</v>
      </c>
    </row>
    <row r="8" spans="1:9" x14ac:dyDescent="0.2">
      <c r="A8" t="s">
        <v>16</v>
      </c>
      <c r="B8">
        <v>45.445544554455473</v>
      </c>
      <c r="C8">
        <v>46.966338895683322</v>
      </c>
      <c r="D8">
        <f>TableARS[[#This Row],[ARIMAPP]]*$I$2+TableARS[[#This Row],[LSTMPP]]*$I$3</f>
        <v>66.9429304685152</v>
      </c>
      <c r="E8">
        <v>69</v>
      </c>
      <c r="F8">
        <f>ABS(TableARS[[#This Row],[PP]]-TableARS[[#This Row],[AP]])</f>
        <v>2.0570695314847995</v>
      </c>
    </row>
    <row r="9" spans="1:9" x14ac:dyDescent="0.2">
      <c r="A9" t="s">
        <v>17</v>
      </c>
      <c r="B9">
        <v>41.168831168831161</v>
      </c>
      <c r="C9">
        <v>39.989629953952651</v>
      </c>
      <c r="D9">
        <f>TableARS[[#This Row],[ARIMAPP]]*$I$2+TableARS[[#This Row],[LSTMPP]]*$I$3</f>
        <v>57.930588790739343</v>
      </c>
      <c r="E9">
        <v>46</v>
      </c>
      <c r="F9">
        <f>ABS(TableARS[[#This Row],[PP]]-TableARS[[#This Row],[AP]])</f>
        <v>11.930588790739343</v>
      </c>
    </row>
    <row r="10" spans="1:9" x14ac:dyDescent="0.2">
      <c r="A10" t="s">
        <v>18</v>
      </c>
      <c r="B10">
        <v>41.316921611814948</v>
      </c>
      <c r="C10">
        <v>41.807233519212197</v>
      </c>
      <c r="D10">
        <f>TableARS[[#This Row],[ARIMAPP]]*$I$2+TableARS[[#This Row],[LSTMPP]]*$I$3</f>
        <v>59.91465712461175</v>
      </c>
      <c r="E10">
        <v>54</v>
      </c>
      <c r="F10">
        <f>ABS(TableARS[[#This Row],[PP]]-TableARS[[#This Row],[AP]])</f>
        <v>5.9146571246117503</v>
      </c>
    </row>
    <row r="11" spans="1:9" x14ac:dyDescent="0.2">
      <c r="A11" t="s">
        <v>19</v>
      </c>
      <c r="B11">
        <v>38.793103448275858</v>
      </c>
      <c r="C11">
        <v>39.058087940931003</v>
      </c>
      <c r="D11">
        <f>TableARS[[#This Row],[ARIMAPP]]*$I$2+TableARS[[#This Row],[LSTMPP]]*$I$3</f>
        <v>56.047532881934963</v>
      </c>
      <c r="E11">
        <v>83</v>
      </c>
      <c r="F11">
        <f>ABS(TableARS[[#This Row],[PP]]-TableARS[[#This Row],[AP]])</f>
        <v>26.952467118065037</v>
      </c>
    </row>
    <row r="12" spans="1:9" x14ac:dyDescent="0.2">
      <c r="A12" t="s">
        <v>20</v>
      </c>
      <c r="B12">
        <v>47.962962962962969</v>
      </c>
      <c r="C12">
        <v>37.389666881204349</v>
      </c>
      <c r="D12">
        <f>TableARS[[#This Row],[ARIMAPP]]*$I$2+TableARS[[#This Row],[LSTMPP]]*$I$3</f>
        <v>57.73120813243959</v>
      </c>
      <c r="E12">
        <v>38</v>
      </c>
      <c r="F12">
        <f>ABS(TableARS[[#This Row],[PP]]-TableARS[[#This Row],[AP]])</f>
        <v>19.73120813243959</v>
      </c>
    </row>
    <row r="13" spans="1:9" x14ac:dyDescent="0.2">
      <c r="A13" t="s">
        <v>21</v>
      </c>
      <c r="B13">
        <v>38.767601383673451</v>
      </c>
      <c r="C13">
        <v>33.235710743937283</v>
      </c>
      <c r="D13">
        <f>TableARS[[#This Row],[ARIMAPP]]*$I$2+TableARS[[#This Row],[LSTMPP]]*$I$3</f>
        <v>49.860979103684073</v>
      </c>
      <c r="E13">
        <v>51</v>
      </c>
      <c r="F13">
        <f>ABS(TableARS[[#This Row],[PP]]-TableARS[[#This Row],[AP]])</f>
        <v>1.1390208963159267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87</v>
      </c>
      <c r="B2">
        <v>18.776429406442251</v>
      </c>
      <c r="C2">
        <v>44.256528431865007</v>
      </c>
      <c r="D2">
        <f>TableFUL[[#This Row],[ARIMAPP]]*$I$2+TableFUL[[#This Row],[LSTMPP]]*$I$3</f>
        <v>34.62776598851945</v>
      </c>
      <c r="E2">
        <v>35</v>
      </c>
      <c r="F2">
        <f>ABS(TableFUL[[#This Row],[PP]]-TableFUL[[#This Row],[AP]])</f>
        <v>0.37223401148055046</v>
      </c>
      <c r="H2" t="s">
        <v>0</v>
      </c>
      <c r="I2">
        <v>0.56647494339000004</v>
      </c>
    </row>
    <row r="3" spans="1:9" x14ac:dyDescent="0.2">
      <c r="A3" t="s">
        <v>88</v>
      </c>
      <c r="B3">
        <v>27.380952380952369</v>
      </c>
      <c r="C3">
        <v>26.596351001731129</v>
      </c>
      <c r="D3">
        <f>TableFUL[[#This Row],[ARIMAPP]]*$I$2+TableFUL[[#This Row],[LSTMPP]]*$I$3</f>
        <v>29.928460340540965</v>
      </c>
      <c r="E3">
        <v>40</v>
      </c>
      <c r="F3">
        <f>ABS(TableFUL[[#This Row],[PP]]-TableFUL[[#This Row],[AP]])</f>
        <v>10.071539659459035</v>
      </c>
      <c r="H3" t="s">
        <v>1</v>
      </c>
      <c r="I3">
        <v>0.54209830850999996</v>
      </c>
    </row>
    <row r="4" spans="1:9" x14ac:dyDescent="0.2">
      <c r="A4" t="s">
        <v>89</v>
      </c>
      <c r="B4">
        <v>36.364944208000168</v>
      </c>
      <c r="C4">
        <v>32.349129016159019</v>
      </c>
      <c r="D4">
        <f>TableFUL[[#This Row],[ARIMAPP]]*$I$2+TableFUL[[#This Row],[LSTMPP]]*$I$3</f>
        <v>38.136237833038969</v>
      </c>
      <c r="E4">
        <v>36</v>
      </c>
      <c r="F4">
        <f>ABS(TableFUL[[#This Row],[PP]]-TableFUL[[#This Row],[AP]])</f>
        <v>2.1362378330389689</v>
      </c>
    </row>
    <row r="5" spans="1:9" x14ac:dyDescent="0.2">
      <c r="A5" t="s">
        <v>90</v>
      </c>
      <c r="B5">
        <v>26.075949367088601</v>
      </c>
      <c r="C5">
        <v>22.14138504973398</v>
      </c>
      <c r="D5">
        <f>TableFUL[[#This Row],[ARIMAPP]]*$I$2+TableFUL[[#This Row],[LSTMPP]]*$I$3</f>
        <v>26.774179325091417</v>
      </c>
      <c r="E5">
        <v>23</v>
      </c>
      <c r="F5">
        <f>ABS(TableFUL[[#This Row],[PP]]-TableFUL[[#This Row],[AP]])</f>
        <v>3.7741793250914171</v>
      </c>
      <c r="H5" t="s">
        <v>2</v>
      </c>
      <c r="I5">
        <f>SUM(ABS(TableFUL[[#This Row],[PP]]-TableFUL[[#This Row],[AP]]))</f>
        <v>3.7741793250914171</v>
      </c>
    </row>
    <row r="6" spans="1:9" x14ac:dyDescent="0.2">
      <c r="A6" t="s">
        <v>91</v>
      </c>
      <c r="B6">
        <v>29.671963761330151</v>
      </c>
      <c r="C6">
        <v>32.819456987653417</v>
      </c>
      <c r="D6">
        <f>TableFUL[[#This Row],[ARIMAPP]]*$I$2+TableFUL[[#This Row],[LSTMPP]]*$I$3</f>
        <v>34.599796111193243</v>
      </c>
      <c r="E6">
        <v>41</v>
      </c>
      <c r="F6">
        <f>ABS(TableFUL[[#This Row],[PP]]-TableFUL[[#This Row],[AP]])</f>
        <v>6.4002038888067574</v>
      </c>
    </row>
    <row r="7" spans="1:9" x14ac:dyDescent="0.2">
      <c r="A7" t="s">
        <v>92</v>
      </c>
      <c r="B7">
        <v>24.337349397590351</v>
      </c>
      <c r="C7">
        <v>23.617535305924921</v>
      </c>
      <c r="D7">
        <f>TableFUL[[#This Row],[ARIMAPP]]*$I$2+TableFUL[[#This Row],[LSTMPP]]*$I$3</f>
        <v>26.589524562779751</v>
      </c>
      <c r="E7">
        <v>36</v>
      </c>
      <c r="F7">
        <f>ABS(TableFUL[[#This Row],[PP]]-TableFUL[[#This Row],[AP]])</f>
        <v>9.4104754372202493</v>
      </c>
      <c r="H7" t="s">
        <v>3</v>
      </c>
      <c r="I7">
        <f>AVERAGE(TableFUL[DIFF])/10</f>
        <v>0.72791638085201604</v>
      </c>
    </row>
    <row r="8" spans="1:9" x14ac:dyDescent="0.2">
      <c r="A8" t="s">
        <v>93</v>
      </c>
      <c r="B8">
        <v>25.192307692307701</v>
      </c>
      <c r="C8">
        <v>28.171677564874301</v>
      </c>
      <c r="D8">
        <f>TableFUL[[#This Row],[ARIMAPP]]*$I$2+TableFUL[[#This Row],[LSTMPP]]*$I$3</f>
        <v>29.54262982967094</v>
      </c>
      <c r="E8">
        <v>29</v>
      </c>
      <c r="F8">
        <f>ABS(TableFUL[[#This Row],[PP]]-TableFUL[[#This Row],[AP]])</f>
        <v>0.54262982967093976</v>
      </c>
    </row>
    <row r="9" spans="1:9" x14ac:dyDescent="0.2">
      <c r="A9" t="s">
        <v>94</v>
      </c>
      <c r="B9">
        <v>35.357142857142883</v>
      </c>
      <c r="C9">
        <v>36.971651489508737</v>
      </c>
      <c r="D9">
        <f>TableFUL[[#This Row],[ARIMAPP]]*$I$2+TableFUL[[#This Row],[LSTMPP]]*$I$3</f>
        <v>40.071205233716064</v>
      </c>
      <c r="E9">
        <v>43</v>
      </c>
      <c r="F9">
        <f>ABS(TableFUL[[#This Row],[PP]]-TableFUL[[#This Row],[AP]])</f>
        <v>2.9287947662839358</v>
      </c>
    </row>
    <row r="10" spans="1:9" x14ac:dyDescent="0.2">
      <c r="A10" t="s">
        <v>95</v>
      </c>
      <c r="B10">
        <v>25.484908059166781</v>
      </c>
      <c r="C10">
        <v>32.669010425323243</v>
      </c>
      <c r="D10">
        <f>TableFUL[[#This Row],[ARIMAPP]]*$I$2+TableFUL[[#This Row],[LSTMPP]]*$I$3</f>
        <v>32.146377142379144</v>
      </c>
      <c r="E10">
        <v>32</v>
      </c>
      <c r="F10">
        <f>ABS(TableFUL[[#This Row],[PP]]-TableFUL[[#This Row],[AP]])</f>
        <v>0.14637714237914423</v>
      </c>
    </row>
    <row r="11" spans="1:9" x14ac:dyDescent="0.2">
      <c r="A11" t="s">
        <v>96</v>
      </c>
      <c r="B11">
        <v>41.039352168124474</v>
      </c>
      <c r="C11">
        <v>39.46585262989781</v>
      </c>
      <c r="D11">
        <f>TableFUL[[#This Row],[ARIMAPP]]*$I$2+TableFUL[[#This Row],[LSTMPP]]*$I$3</f>
        <v>44.642136650773125</v>
      </c>
      <c r="E11">
        <v>22</v>
      </c>
      <c r="F11">
        <f>ABS(TableFUL[[#This Row],[PP]]-TableFUL[[#This Row],[AP]])</f>
        <v>22.642136650773125</v>
      </c>
    </row>
    <row r="12" spans="1:9" x14ac:dyDescent="0.2">
      <c r="A12" t="s">
        <v>97</v>
      </c>
      <c r="B12">
        <v>14.66666666666667</v>
      </c>
      <c r="C12">
        <v>11.15241900934808</v>
      </c>
      <c r="D12">
        <f>TableFUL[[#This Row],[ARIMAPP]]*$I$2+TableFUL[[#This Row],[LSTMPP]]*$I$3</f>
        <v>14.354006650482365</v>
      </c>
      <c r="E12">
        <v>36</v>
      </c>
      <c r="F12">
        <f>ABS(TableFUL[[#This Row],[PP]]-TableFUL[[#This Row],[AP]])</f>
        <v>21.645993349517635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98</v>
      </c>
      <c r="B2">
        <v>44.30620118552622</v>
      </c>
      <c r="C2">
        <v>39.641642513169423</v>
      </c>
      <c r="D2">
        <f>TableLIV[[#This Row],[ARIMAPP]]*$I$2+TableLIV[[#This Row],[LSTMPP]]*$I$3</f>
        <v>37.684251087031839</v>
      </c>
      <c r="E2">
        <v>33</v>
      </c>
      <c r="F2">
        <f>ABS(TableLIV[[#This Row],[PP]]-TableLIV[[#This Row],[AP]])</f>
        <v>4.6842510870318392</v>
      </c>
      <c r="H2" t="s">
        <v>0</v>
      </c>
      <c r="I2">
        <v>0</v>
      </c>
    </row>
    <row r="3" spans="1:9" x14ac:dyDescent="0.2">
      <c r="A3" t="s">
        <v>99</v>
      </c>
      <c r="B3">
        <v>69.10052910052913</v>
      </c>
      <c r="C3">
        <v>68.870814750991585</v>
      </c>
      <c r="D3">
        <f>TableLIV[[#This Row],[ARIMAPP]]*$I$2+TableLIV[[#This Row],[LSTMPP]]*$I$3</f>
        <v>65.470170030987461</v>
      </c>
      <c r="E3">
        <v>58</v>
      </c>
      <c r="F3">
        <f>ABS(TableLIV[[#This Row],[PP]]-TableLIV[[#This Row],[AP]])</f>
        <v>7.470170030987461</v>
      </c>
      <c r="H3" t="s">
        <v>1</v>
      </c>
      <c r="I3">
        <v>0.95062284754000004</v>
      </c>
    </row>
    <row r="4" spans="1:9" x14ac:dyDescent="0.2">
      <c r="A4" t="s">
        <v>100</v>
      </c>
      <c r="B4">
        <v>54.272971810137349</v>
      </c>
      <c r="C4">
        <v>50.452563583411262</v>
      </c>
      <c r="D4">
        <f>TableLIV[[#This Row],[ARIMAPP]]*$I$2+TableLIV[[#This Row],[LSTMPP]]*$I$3</f>
        <v>47.961359659355324</v>
      </c>
      <c r="E4">
        <v>34</v>
      </c>
      <c r="F4">
        <f>ABS(TableLIV[[#This Row],[PP]]-TableLIV[[#This Row],[AP]])</f>
        <v>13.961359659355324</v>
      </c>
    </row>
    <row r="5" spans="1:9" x14ac:dyDescent="0.2">
      <c r="A5" t="s">
        <v>101</v>
      </c>
      <c r="B5">
        <v>47.701863354037222</v>
      </c>
      <c r="C5">
        <v>47.484409912364967</v>
      </c>
      <c r="D5">
        <f>TableLIV[[#This Row],[ARIMAPP]]*$I$2+TableLIV[[#This Row],[LSTMPP]]*$I$3</f>
        <v>45.13976496464899</v>
      </c>
      <c r="E5">
        <v>25</v>
      </c>
      <c r="F5">
        <f>ABS(TableLIV[[#This Row],[PP]]-TableLIV[[#This Row],[AP]])</f>
        <v>20.13976496464899</v>
      </c>
      <c r="H5" t="s">
        <v>2</v>
      </c>
      <c r="I5">
        <f>SUM(ABS(TableLIV[[#This Row],[PP]]-TableLIV[[#This Row],[AP]]))</f>
        <v>20.13976496464899</v>
      </c>
    </row>
    <row r="6" spans="1:9" x14ac:dyDescent="0.2">
      <c r="A6" t="s">
        <v>102</v>
      </c>
      <c r="B6">
        <v>18.448275862068972</v>
      </c>
      <c r="C6">
        <v>16.309633112176169</v>
      </c>
      <c r="D6">
        <f>TableLIV[[#This Row],[ARIMAPP]]*$I$2+TableLIV[[#This Row],[LSTMPP]]*$I$3</f>
        <v>15.504309871429582</v>
      </c>
      <c r="E6">
        <v>34</v>
      </c>
      <c r="F6">
        <f>ABS(TableLIV[[#This Row],[PP]]-TableLIV[[#This Row],[AP]])</f>
        <v>18.495690128570416</v>
      </c>
    </row>
    <row r="7" spans="1:9" x14ac:dyDescent="0.2">
      <c r="A7" t="s">
        <v>103</v>
      </c>
      <c r="B7">
        <v>21.549295774647881</v>
      </c>
      <c r="C7">
        <v>19.296971744210239</v>
      </c>
      <c r="D7">
        <f>TableLIV[[#This Row],[ARIMAPP]]*$I$2+TableLIV[[#This Row],[LSTMPP]]*$I$3</f>
        <v>18.344142228380058</v>
      </c>
      <c r="E7">
        <v>23</v>
      </c>
      <c r="F7">
        <f>ABS(TableLIV[[#This Row],[PP]]-TableLIV[[#This Row],[AP]])</f>
        <v>4.6558577716199423</v>
      </c>
      <c r="H7" t="s">
        <v>3</v>
      </c>
      <c r="I7">
        <f>AVERAGE(TableLIV[DIFF])/10</f>
        <v>1.0396529108026986</v>
      </c>
    </row>
    <row r="8" spans="1:9" x14ac:dyDescent="0.2">
      <c r="A8" t="s">
        <v>104</v>
      </c>
      <c r="B8">
        <v>28.301886792452851</v>
      </c>
      <c r="C8">
        <v>30.524197110560859</v>
      </c>
      <c r="D8">
        <f>TableLIV[[#This Row],[ARIMAPP]]*$I$2+TableLIV[[#This Row],[LSTMPP]]*$I$3</f>
        <v>29.016999176113604</v>
      </c>
      <c r="E8">
        <v>49</v>
      </c>
      <c r="F8">
        <f>ABS(TableLIV[[#This Row],[PP]]-TableLIV[[#This Row],[AP]])</f>
        <v>19.983000823886396</v>
      </c>
    </row>
    <row r="9" spans="1:9" x14ac:dyDescent="0.2">
      <c r="A9" t="s">
        <v>105</v>
      </c>
      <c r="B9">
        <v>29.487179487179489</v>
      </c>
      <c r="C9">
        <v>25.361419099697329</v>
      </c>
      <c r="D9">
        <f>TableLIV[[#This Row],[ARIMAPP]]*$I$2+TableLIV[[#This Row],[LSTMPP]]*$I$3</f>
        <v>24.109144442209619</v>
      </c>
      <c r="E9">
        <v>23</v>
      </c>
      <c r="F9">
        <f>ABS(TableLIV[[#This Row],[PP]]-TableLIV[[#This Row],[AP]])</f>
        <v>1.1091444422096188</v>
      </c>
    </row>
    <row r="10" spans="1:9" x14ac:dyDescent="0.2">
      <c r="A10" t="s">
        <v>106</v>
      </c>
      <c r="B10">
        <v>34.042553191489347</v>
      </c>
      <c r="C10">
        <v>41.184585503438342</v>
      </c>
      <c r="D10">
        <f>TableLIV[[#This Row],[ARIMAPP]]*$I$2+TableLIV[[#This Row],[LSTMPP]]*$I$3</f>
        <v>39.151007946033161</v>
      </c>
      <c r="E10">
        <v>52</v>
      </c>
      <c r="F10">
        <f>ABS(TableLIV[[#This Row],[PP]]-TableLIV[[#This Row],[AP]])</f>
        <v>12.848992053966839</v>
      </c>
    </row>
    <row r="11" spans="1:9" x14ac:dyDescent="0.2">
      <c r="A11" t="s">
        <v>107</v>
      </c>
      <c r="B11">
        <v>39.166666666666693</v>
      </c>
      <c r="C11">
        <v>39.151221965961867</v>
      </c>
      <c r="D11">
        <f>TableLIV[[#This Row],[ARIMAPP]]*$I$2+TableLIV[[#This Row],[LSTMPP]]*$I$3</f>
        <v>37.218046109953271</v>
      </c>
      <c r="E11">
        <v>37</v>
      </c>
      <c r="F11">
        <f>ABS(TableLIV[[#This Row],[PP]]-TableLIV[[#This Row],[AP]])</f>
        <v>0.21804610995327067</v>
      </c>
    </row>
    <row r="12" spans="1:9" x14ac:dyDescent="0.2">
      <c r="A12" t="s">
        <v>108</v>
      </c>
      <c r="B12">
        <v>37.333333333333343</v>
      </c>
      <c r="C12">
        <v>47.556891654394093</v>
      </c>
      <c r="D12">
        <f>TableLIV[[#This Row],[ARIMAPP]]*$I$2+TableLIV[[#This Row],[LSTMPP]]*$I$3</f>
        <v>45.208667764651373</v>
      </c>
      <c r="E12">
        <v>67</v>
      </c>
      <c r="F12">
        <f>ABS(TableLIV[[#This Row],[PP]]-TableLIV[[#This Row],[AP]])</f>
        <v>21.791332235348627</v>
      </c>
    </row>
    <row r="13" spans="1:9" x14ac:dyDescent="0.2">
      <c r="A13" t="s">
        <v>109</v>
      </c>
      <c r="B13">
        <v>32.631578947368432</v>
      </c>
      <c r="C13">
        <v>30.64417550926018</v>
      </c>
      <c r="D13">
        <f>TableLIV[[#This Row],[ARIMAPP]]*$I$2+TableLIV[[#This Row],[LSTMPP]]*$I$3</f>
        <v>29.131053383128442</v>
      </c>
      <c r="E13">
        <v>26</v>
      </c>
      <c r="F13">
        <f>ABS(TableLIV[[#This Row],[PP]]-TableLIV[[#This Row],[AP]])</f>
        <v>3.1310533831284424</v>
      </c>
    </row>
    <row r="14" spans="1:9" x14ac:dyDescent="0.2">
      <c r="A14" t="s">
        <v>110</v>
      </c>
      <c r="B14">
        <v>38.888888888888879</v>
      </c>
      <c r="C14">
        <v>33.734988307387177</v>
      </c>
      <c r="D14">
        <f>TableLIV[[#This Row],[ARIMAPP]]*$I$2+TableLIV[[#This Row],[LSTMPP]]*$I$3</f>
        <v>32.069250646497004</v>
      </c>
      <c r="E14">
        <v>24</v>
      </c>
      <c r="F14">
        <f>ABS(TableLIV[[#This Row],[PP]]-TableLIV[[#This Row],[AP]])</f>
        <v>8.0692506464970037</v>
      </c>
    </row>
    <row r="15" spans="1:9" x14ac:dyDescent="0.2">
      <c r="A15" t="s">
        <v>111</v>
      </c>
      <c r="B15">
        <v>22.941176470588228</v>
      </c>
      <c r="C15">
        <v>22.097623551954928</v>
      </c>
      <c r="D15">
        <f>TableLIV[[#This Row],[ARIMAPP]]*$I$2+TableLIV[[#This Row],[LSTMPP]]*$I$3</f>
        <v>21.006505824826363</v>
      </c>
      <c r="E15">
        <v>30</v>
      </c>
      <c r="F15">
        <f>ABS(TableLIV[[#This Row],[PP]]-TableLIV[[#This Row],[AP]])</f>
        <v>8.9934941751736375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112</v>
      </c>
      <c r="B2">
        <v>34.555680169101358</v>
      </c>
      <c r="C2">
        <v>26.590231647271949</v>
      </c>
      <c r="D2">
        <f>TableLUT[[#This Row],[ARIMAPP]]*$I$2+TableLUT[[#This Row],[LSTMPP]]*$I$3</f>
        <v>37.215761937598081</v>
      </c>
      <c r="E2">
        <v>31</v>
      </c>
      <c r="F2">
        <f>ABS(TableLUT[[#This Row],[PP]]-TableLUT[[#This Row],[AP]])</f>
        <v>6.2157619375980815</v>
      </c>
      <c r="H2" t="s">
        <v>0</v>
      </c>
      <c r="I2">
        <v>0</v>
      </c>
    </row>
    <row r="3" spans="1:9" x14ac:dyDescent="0.2">
      <c r="A3" t="s">
        <v>113</v>
      </c>
      <c r="B3">
        <v>13.63636363636363</v>
      </c>
      <c r="C3">
        <v>15.86306862149516</v>
      </c>
      <c r="D3">
        <f>TableLUT[[#This Row],[ARIMAPP]]*$I$2+TableLUT[[#This Row],[LSTMPP]]*$I$3</f>
        <v>22.201994824588684</v>
      </c>
      <c r="E3">
        <v>39</v>
      </c>
      <c r="F3">
        <f>ABS(TableLUT[[#This Row],[PP]]-TableLUT[[#This Row],[AP]])</f>
        <v>16.798005175411316</v>
      </c>
      <c r="H3" t="s">
        <v>1</v>
      </c>
      <c r="I3">
        <v>1.3996027726</v>
      </c>
    </row>
    <row r="4" spans="1:9" x14ac:dyDescent="0.2">
      <c r="A4" t="s">
        <v>114</v>
      </c>
      <c r="B4">
        <v>21.333333333333329</v>
      </c>
      <c r="C4">
        <v>12.837978298476379</v>
      </c>
      <c r="D4">
        <f>TableLUT[[#This Row],[ARIMAPP]]*$I$2+TableLUT[[#This Row],[LSTMPP]]*$I$3</f>
        <v>17.96807002112617</v>
      </c>
      <c r="E4">
        <v>37</v>
      </c>
      <c r="F4">
        <f>ABS(TableLUT[[#This Row],[PP]]-TableLUT[[#This Row],[AP]])</f>
        <v>19.03192997887383</v>
      </c>
    </row>
    <row r="5" spans="1:9" x14ac:dyDescent="0.2">
      <c r="A5" t="s">
        <v>115</v>
      </c>
      <c r="B5">
        <v>46.59147630000848</v>
      </c>
      <c r="C5">
        <v>32.583621549082913</v>
      </c>
      <c r="D5">
        <f>TableLUT[[#This Row],[ARIMAPP]]*$I$2+TableLUT[[#This Row],[LSTMPP]]*$I$3</f>
        <v>45.604127061445553</v>
      </c>
      <c r="E5">
        <v>35</v>
      </c>
      <c r="F5">
        <f>ABS(TableLUT[[#This Row],[PP]]-TableLUT[[#This Row],[AP]])</f>
        <v>10.604127061445553</v>
      </c>
      <c r="H5" t="s">
        <v>2</v>
      </c>
      <c r="I5">
        <f>SUM(ABS(TableLUT[[#This Row],[PP]]-TableLUT[[#This Row],[AP]]))</f>
        <v>10.604127061445553</v>
      </c>
    </row>
    <row r="7" spans="1:9" x14ac:dyDescent="0.2">
      <c r="H7" t="s">
        <v>3</v>
      </c>
      <c r="I7">
        <f>AVERAGE(TableLUT[DIFF])/10</f>
        <v>1.3162456038332195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116</v>
      </c>
      <c r="B2">
        <v>39.202127659574451</v>
      </c>
      <c r="C2">
        <v>39.268420034659989</v>
      </c>
      <c r="D2">
        <f>TableMCI[[#This Row],[ARIMAPP]]*$I$2+TableMCI[[#This Row],[LSTMPP]]*$I$3</f>
        <v>41.299612912425516</v>
      </c>
      <c r="E2">
        <v>37</v>
      </c>
      <c r="F2">
        <f>ABS(TableMCI[[#This Row],[PP]]-TableMCI[[#This Row],[AP]])</f>
        <v>4.2996129124255162</v>
      </c>
      <c r="H2" t="s">
        <v>0</v>
      </c>
      <c r="I2">
        <v>1.0535043728</v>
      </c>
    </row>
    <row r="3" spans="1:9" x14ac:dyDescent="0.2">
      <c r="A3" t="s">
        <v>117</v>
      </c>
      <c r="B3">
        <v>37.841726618705003</v>
      </c>
      <c r="C3">
        <v>41.490653766804229</v>
      </c>
      <c r="D3">
        <f>TableMCI[[#This Row],[ARIMAPP]]*$I$2+TableMCI[[#This Row],[LSTMPP]]*$I$3</f>
        <v>39.866424467107876</v>
      </c>
      <c r="E3">
        <v>41</v>
      </c>
      <c r="F3">
        <f>ABS(TableMCI[[#This Row],[PP]]-TableMCI[[#This Row],[AP]])</f>
        <v>1.1335755328921238</v>
      </c>
      <c r="H3" t="s">
        <v>1</v>
      </c>
      <c r="I3">
        <v>0</v>
      </c>
    </row>
    <row r="4" spans="1:9" x14ac:dyDescent="0.2">
      <c r="A4" t="s">
        <v>118</v>
      </c>
      <c r="B4">
        <v>32.769230769230752</v>
      </c>
      <c r="C4">
        <v>28.226035132603769</v>
      </c>
      <c r="D4">
        <f>TableMCI[[#This Row],[ARIMAPP]]*$I$2+TableMCI[[#This Row],[LSTMPP]]*$I$3</f>
        <v>34.522527908676906</v>
      </c>
      <c r="E4">
        <v>35</v>
      </c>
      <c r="F4">
        <f>ABS(TableMCI[[#This Row],[PP]]-TableMCI[[#This Row],[AP]])</f>
        <v>0.47747209132309365</v>
      </c>
    </row>
    <row r="5" spans="1:9" x14ac:dyDescent="0.2">
      <c r="A5" t="s">
        <v>119</v>
      </c>
      <c r="B5">
        <v>48.925065884443057</v>
      </c>
      <c r="C5">
        <v>40.852482671297842</v>
      </c>
      <c r="D5">
        <f>TableMCI[[#This Row],[ARIMAPP]]*$I$2+TableMCI[[#This Row],[LSTMPP]]*$I$3</f>
        <v>51.542770848788862</v>
      </c>
      <c r="E5">
        <v>99</v>
      </c>
      <c r="F5">
        <f>ABS(TableMCI[[#This Row],[PP]]-TableMCI[[#This Row],[AP]])</f>
        <v>47.457229151211138</v>
      </c>
      <c r="H5" t="s">
        <v>2</v>
      </c>
      <c r="I5">
        <f>SUM(ABS(TableMCI[[#This Row],[PP]]-TableMCI[[#This Row],[AP]]))</f>
        <v>47.457229151211138</v>
      </c>
    </row>
    <row r="6" spans="1:9" x14ac:dyDescent="0.2">
      <c r="A6" t="s">
        <v>120</v>
      </c>
      <c r="B6">
        <v>31.907608323869479</v>
      </c>
      <c r="C6">
        <v>28.582423526455681</v>
      </c>
      <c r="D6">
        <f>TableMCI[[#This Row],[ARIMAPP]]*$I$2+TableMCI[[#This Row],[LSTMPP]]*$I$3</f>
        <v>33.614804894786175</v>
      </c>
      <c r="E6">
        <v>45</v>
      </c>
      <c r="F6">
        <f>ABS(TableMCI[[#This Row],[PP]]-TableMCI[[#This Row],[AP]])</f>
        <v>11.385195105213825</v>
      </c>
    </row>
    <row r="7" spans="1:9" x14ac:dyDescent="0.2">
      <c r="A7" t="s">
        <v>121</v>
      </c>
      <c r="B7">
        <v>80.217391304347828</v>
      </c>
      <c r="C7">
        <v>77.448163807120082</v>
      </c>
      <c r="D7">
        <f>TableMCI[[#This Row],[ARIMAPP]]*$I$2+TableMCI[[#This Row],[LSTMPP]]*$I$3</f>
        <v>84.509372513739137</v>
      </c>
      <c r="E7">
        <v>60</v>
      </c>
      <c r="F7">
        <f>ABS(TableMCI[[#This Row],[PP]]-TableMCI[[#This Row],[AP]])</f>
        <v>24.509372513739137</v>
      </c>
      <c r="H7" t="s">
        <v>3</v>
      </c>
      <c r="I7">
        <f>AVERAGE(TableMCI[DIFF])/10</f>
        <v>1.2174826560721226</v>
      </c>
    </row>
    <row r="8" spans="1:9" x14ac:dyDescent="0.2">
      <c r="A8" t="s">
        <v>122</v>
      </c>
      <c r="B8">
        <v>39.583333333333357</v>
      </c>
      <c r="C8">
        <v>39.777827129021389</v>
      </c>
      <c r="D8">
        <f>TableMCI[[#This Row],[ARIMAPP]]*$I$2+TableMCI[[#This Row],[LSTMPP]]*$I$3</f>
        <v>41.701214756666694</v>
      </c>
      <c r="E8">
        <v>24</v>
      </c>
      <c r="F8">
        <f>ABS(TableMCI[[#This Row],[PP]]-TableMCI[[#This Row],[AP]])</f>
        <v>17.701214756666694</v>
      </c>
    </row>
    <row r="9" spans="1:9" x14ac:dyDescent="0.2">
      <c r="A9" t="s">
        <v>123</v>
      </c>
      <c r="B9">
        <v>38.999999999999993</v>
      </c>
      <c r="C9">
        <v>37.100478159114608</v>
      </c>
      <c r="D9">
        <f>TableMCI[[#This Row],[ARIMAPP]]*$I$2+TableMCI[[#This Row],[LSTMPP]]*$I$3</f>
        <v>41.086670539199993</v>
      </c>
      <c r="E9">
        <v>31</v>
      </c>
      <c r="F9">
        <f>ABS(TableMCI[[#This Row],[PP]]-TableMCI[[#This Row],[AP]])</f>
        <v>10.086670539199993</v>
      </c>
    </row>
    <row r="10" spans="1:9" x14ac:dyDescent="0.2">
      <c r="A10" t="s">
        <v>124</v>
      </c>
      <c r="B10">
        <v>28.500000000000011</v>
      </c>
      <c r="C10">
        <v>10.63132525702069</v>
      </c>
      <c r="D10">
        <f>TableMCI[[#This Row],[ARIMAPP]]*$I$2+TableMCI[[#This Row],[LSTMPP]]*$I$3</f>
        <v>30.02487462480001</v>
      </c>
      <c r="E10">
        <v>34</v>
      </c>
      <c r="F10">
        <f>ABS(TableMCI[[#This Row],[PP]]-TableMCI[[#This Row],[AP]])</f>
        <v>3.9751253751999904</v>
      </c>
    </row>
    <row r="11" spans="1:9" x14ac:dyDescent="0.2">
      <c r="A11" t="s">
        <v>125</v>
      </c>
      <c r="B11">
        <v>31.226588962936511</v>
      </c>
      <c r="C11">
        <v>29.009170451568352</v>
      </c>
      <c r="D11">
        <f>TableMCI[[#This Row],[ARIMAPP]]*$I$2+TableMCI[[#This Row],[LSTMPP]]*$I$3</f>
        <v>32.897348020081829</v>
      </c>
      <c r="E11">
        <v>43</v>
      </c>
      <c r="F11">
        <f>ABS(TableMCI[[#This Row],[PP]]-TableMCI[[#This Row],[AP]])</f>
        <v>10.102651979918171</v>
      </c>
    </row>
    <row r="12" spans="1:9" x14ac:dyDescent="0.2">
      <c r="A12" t="s">
        <v>126</v>
      </c>
      <c r="B12">
        <v>20.128087113200639</v>
      </c>
      <c r="C12">
        <v>18.513783104652621</v>
      </c>
      <c r="D12">
        <f>TableMCI[[#This Row],[ARIMAPP]]*$I$2+TableMCI[[#This Row],[LSTMPP]]*$I$3</f>
        <v>21.205027789856203</v>
      </c>
      <c r="E12">
        <v>24</v>
      </c>
      <c r="F12">
        <f>ABS(TableMCI[[#This Row],[PP]]-TableMCI[[#This Row],[AP]])</f>
        <v>2.794972210143797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127</v>
      </c>
      <c r="B2">
        <v>46.029057244439883</v>
      </c>
      <c r="C2">
        <v>43.544069694791823</v>
      </c>
      <c r="D2">
        <f>TableMUN[[#This Row],[ARIMAPP]]*$I$2+TableMUN[[#This Row],[LSTMPP]]*$I$3</f>
        <v>53.499667940491939</v>
      </c>
      <c r="E2">
        <v>32</v>
      </c>
      <c r="F2">
        <f>ABS(TableMUN[[#This Row],[PP]]-TableMUN[[#This Row],[AP]])</f>
        <v>21.499667940491939</v>
      </c>
      <c r="H2" t="s">
        <v>0</v>
      </c>
      <c r="I2">
        <v>0.34558227920000001</v>
      </c>
    </row>
    <row r="3" spans="1:9" x14ac:dyDescent="0.2">
      <c r="A3" t="s">
        <v>128</v>
      </c>
      <c r="B3">
        <v>25.68345323741006</v>
      </c>
      <c r="C3">
        <v>21.80288563341783</v>
      </c>
      <c r="D3">
        <f>TableMUN[[#This Row],[ARIMAPP]]*$I$2+TableMUN[[#This Row],[LSTMPP]]*$I$3</f>
        <v>27.698801388177944</v>
      </c>
      <c r="E3">
        <v>25</v>
      </c>
      <c r="F3">
        <f>ABS(TableMUN[[#This Row],[PP]]-TableMUN[[#This Row],[AP]])</f>
        <v>2.6988013881779445</v>
      </c>
      <c r="H3" t="s">
        <v>1</v>
      </c>
      <c r="I3">
        <v>0.86332861609</v>
      </c>
    </row>
    <row r="4" spans="1:9" x14ac:dyDescent="0.2">
      <c r="A4" t="s">
        <v>129</v>
      </c>
      <c r="B4">
        <v>41.111111111111107</v>
      </c>
      <c r="C4">
        <v>52.459758498435853</v>
      </c>
      <c r="D4">
        <f>TableMUN[[#This Row],[ARIMAPP]]*$I$2+TableMUN[[#This Row],[LSTMPP]]*$I$3</f>
        <v>59.497282183092466</v>
      </c>
      <c r="E4">
        <v>76</v>
      </c>
      <c r="F4">
        <f>ABS(TableMUN[[#This Row],[PP]]-TableMUN[[#This Row],[AP]])</f>
        <v>16.502717816907534</v>
      </c>
    </row>
    <row r="5" spans="1:9" x14ac:dyDescent="0.2">
      <c r="A5" t="s">
        <v>130</v>
      </c>
      <c r="B5">
        <v>35.1111111111111</v>
      </c>
      <c r="C5">
        <v>31.778882207778299</v>
      </c>
      <c r="D5">
        <f>TableMUN[[#This Row],[ARIMAPP]]*$I$2+TableMUN[[#This Row],[LSTMPP]]*$I$3</f>
        <v>39.569396200350582</v>
      </c>
      <c r="E5">
        <v>25</v>
      </c>
      <c r="F5">
        <f>ABS(TableMUN[[#This Row],[PP]]-TableMUN[[#This Row],[AP]])</f>
        <v>14.569396200350582</v>
      </c>
      <c r="H5" t="s">
        <v>2</v>
      </c>
      <c r="I5">
        <f>SUM(ABS(TableMUN[[#This Row],[PP]]-TableMUN[[#This Row],[AP]]))</f>
        <v>14.569396200350582</v>
      </c>
    </row>
    <row r="6" spans="1:9" x14ac:dyDescent="0.2">
      <c r="A6" t="s">
        <v>131</v>
      </c>
      <c r="B6">
        <v>57.649447382238193</v>
      </c>
      <c r="C6">
        <v>22.910362492191709</v>
      </c>
      <c r="D6">
        <f>TableMUN[[#This Row],[ARIMAPP]]*$I$2+TableMUN[[#This Row],[LSTMPP]]*$I$3</f>
        <v>39.70179896547846</v>
      </c>
      <c r="E6">
        <v>46</v>
      </c>
      <c r="F6">
        <f>ABS(TableMUN[[#This Row],[PP]]-TableMUN[[#This Row],[AP]])</f>
        <v>6.29820103452154</v>
      </c>
    </row>
    <row r="7" spans="1:9" x14ac:dyDescent="0.2">
      <c r="A7" t="s">
        <v>86</v>
      </c>
      <c r="B7">
        <v>36.086956521739133</v>
      </c>
      <c r="C7">
        <v>32.092710903008403</v>
      </c>
      <c r="D7">
        <f>TableMUN[[#This Row],[ARIMAPP]]*$I$2+TableMUN[[#This Row],[LSTMPP]]*$I$3</f>
        <v>40.177568374644608</v>
      </c>
      <c r="E7">
        <v>32</v>
      </c>
      <c r="F7">
        <f>ABS(TableMUN[[#This Row],[PP]]-TableMUN[[#This Row],[AP]])</f>
        <v>8.1775683746446077</v>
      </c>
      <c r="H7" t="s">
        <v>3</v>
      </c>
      <c r="I7">
        <f>AVERAGE(TableMUN[DIFF])/10</f>
        <v>1.5849781492219026</v>
      </c>
    </row>
    <row r="8" spans="1:9" x14ac:dyDescent="0.2">
      <c r="A8" t="s">
        <v>132</v>
      </c>
      <c r="B8">
        <v>20</v>
      </c>
      <c r="C8">
        <v>17.242839456637569</v>
      </c>
      <c r="D8">
        <f>TableMUN[[#This Row],[ARIMAPP]]*$I$2+TableMUN[[#This Row],[LSTMPP]]*$I$3</f>
        <v>21.797882309560961</v>
      </c>
      <c r="E8">
        <v>63</v>
      </c>
      <c r="F8">
        <f>ABS(TableMUN[[#This Row],[PP]]-TableMUN[[#This Row],[AP]])</f>
        <v>41.202117690439039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133</v>
      </c>
      <c r="B2">
        <v>47.763086683688101</v>
      </c>
      <c r="C2">
        <v>40.368310923186499</v>
      </c>
      <c r="D2">
        <f>TableNEW[[#This Row],[ARIMAPP]]*$I$2+TableNEW[[#This Row],[LSTMPP]]*$I$3</f>
        <v>51.214213642796039</v>
      </c>
      <c r="E2">
        <v>25</v>
      </c>
      <c r="F2">
        <f>ABS(TableNEW[[#This Row],[PP]]-TableNEW[[#This Row],[AP]])</f>
        <v>26.214213642796039</v>
      </c>
      <c r="H2" t="s">
        <v>0</v>
      </c>
      <c r="I2">
        <v>0.56547651609000005</v>
      </c>
    </row>
    <row r="3" spans="1:9" x14ac:dyDescent="0.2">
      <c r="A3" t="s">
        <v>134</v>
      </c>
      <c r="B3">
        <v>33.773419298258737</v>
      </c>
      <c r="C3">
        <v>34.921232348439098</v>
      </c>
      <c r="D3">
        <f>TableNEW[[#This Row],[ARIMAPP]]*$I$2+TableNEW[[#This Row],[LSTMPP]]*$I$3</f>
        <v>40.037253460536419</v>
      </c>
      <c r="E3">
        <v>47</v>
      </c>
      <c r="F3">
        <f>ABS(TableNEW[[#This Row],[PP]]-TableNEW[[#This Row],[AP]])</f>
        <v>6.9627465394635806</v>
      </c>
      <c r="H3" t="s">
        <v>1</v>
      </c>
      <c r="I3">
        <v>0.59961165661000004</v>
      </c>
    </row>
    <row r="4" spans="1:9" x14ac:dyDescent="0.2">
      <c r="A4" t="s">
        <v>135</v>
      </c>
      <c r="B4">
        <v>31.825645691604361</v>
      </c>
      <c r="C4">
        <v>20.81780248163302</v>
      </c>
      <c r="D4">
        <f>TableNEW[[#This Row],[ARIMAPP]]*$I$2+TableNEW[[#This Row],[LSTMPP]]*$I$3</f>
        <v>30.479252280994899</v>
      </c>
      <c r="E4">
        <v>21</v>
      </c>
      <c r="F4">
        <f>ABS(TableNEW[[#This Row],[PP]]-TableNEW[[#This Row],[AP]])</f>
        <v>9.4792522809948991</v>
      </c>
    </row>
    <row r="5" spans="1:9" x14ac:dyDescent="0.2">
      <c r="A5" t="s">
        <v>136</v>
      </c>
      <c r="B5">
        <v>31.272401585302781</v>
      </c>
      <c r="C5">
        <v>30.038834234868592</v>
      </c>
      <c r="D5">
        <f>TableNEW[[#This Row],[ARIMAPP]]*$I$2+TableNEW[[#This Row],[LSTMPP]]*$I$3</f>
        <v>35.695443856427147</v>
      </c>
      <c r="E5">
        <v>31</v>
      </c>
      <c r="F5">
        <f>ABS(TableNEW[[#This Row],[PP]]-TableNEW[[#This Row],[AP]])</f>
        <v>4.695443856427147</v>
      </c>
      <c r="H5" t="s">
        <v>2</v>
      </c>
      <c r="I5">
        <f>SUM(ABS(TableNEW[[#This Row],[PP]]-TableNEW[[#This Row],[AP]]))</f>
        <v>4.695443856427147</v>
      </c>
    </row>
    <row r="6" spans="1:9" x14ac:dyDescent="0.2">
      <c r="A6" t="s">
        <v>137</v>
      </c>
      <c r="B6">
        <v>42.195919374102218</v>
      </c>
      <c r="C6">
        <v>21.035345229342759</v>
      </c>
      <c r="D6">
        <f>TableNEW[[#This Row],[ARIMAPP]]*$I$2+TableNEW[[#This Row],[LSTMPP]]*$I$3</f>
        <v>36.473839681211331</v>
      </c>
      <c r="E6">
        <v>54</v>
      </c>
      <c r="F6">
        <f>ABS(TableNEW[[#This Row],[PP]]-TableNEW[[#This Row],[AP]])</f>
        <v>17.526160318788669</v>
      </c>
    </row>
    <row r="7" spans="1:9" x14ac:dyDescent="0.2">
      <c r="A7" t="s">
        <v>138</v>
      </c>
      <c r="B7">
        <v>32.878787878787882</v>
      </c>
      <c r="C7">
        <v>38.763191411869443</v>
      </c>
      <c r="D7">
        <f>TableNEW[[#This Row],[ARIMAPP]]*$I$2+TableNEW[[#This Row],[LSTMPP]]*$I$3</f>
        <v>41.835043840920662</v>
      </c>
      <c r="E7">
        <v>53</v>
      </c>
      <c r="F7">
        <f>ABS(TableNEW[[#This Row],[PP]]-TableNEW[[#This Row],[AP]])</f>
        <v>11.164956159079338</v>
      </c>
      <c r="H7" t="s">
        <v>3</v>
      </c>
      <c r="I7">
        <f>AVERAGE(TableNEW[DIFF])/10</f>
        <v>1.195056979516526</v>
      </c>
    </row>
    <row r="8" spans="1:9" x14ac:dyDescent="0.2">
      <c r="A8" t="s">
        <v>139</v>
      </c>
      <c r="B8">
        <v>47.142857142857153</v>
      </c>
      <c r="C8">
        <v>46.247609281815542</v>
      </c>
      <c r="D8">
        <f>TableNEW[[#This Row],[ARIMAPP]]*$I$2+TableNEW[[#This Row],[LSTMPP]]*$I$3</f>
        <v>54.388784231392862</v>
      </c>
      <c r="E8">
        <v>62</v>
      </c>
      <c r="F8">
        <f>ABS(TableNEW[[#This Row],[PP]]-TableNEW[[#This Row],[AP]])</f>
        <v>7.6112157686071384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140</v>
      </c>
      <c r="B2">
        <v>38.788397858957602</v>
      </c>
      <c r="C2">
        <v>36.61073998900693</v>
      </c>
      <c r="D2">
        <f>TableNFO[[#This Row],[ARIMAPP]]*$I$2+TableNFO[[#This Row],[LSTMPP]]*$I$3</f>
        <v>43.655150478314503</v>
      </c>
      <c r="E2">
        <v>48</v>
      </c>
      <c r="F2">
        <f>ABS(TableNFO[[#This Row],[PP]]-TableNFO[[#This Row],[AP]])</f>
        <v>4.3448495216854965</v>
      </c>
      <c r="H2" t="s">
        <v>0</v>
      </c>
      <c r="I2">
        <v>1.1254692869</v>
      </c>
    </row>
    <row r="3" spans="1:9" x14ac:dyDescent="0.2">
      <c r="A3" t="s">
        <v>141</v>
      </c>
      <c r="B3">
        <v>34.656873336387477</v>
      </c>
      <c r="C3">
        <v>24.099205818905101</v>
      </c>
      <c r="D3">
        <f>TableNFO[[#This Row],[ARIMAPP]]*$I$2+TableNFO[[#This Row],[LSTMPP]]*$I$3</f>
        <v>39.005246520087638</v>
      </c>
      <c r="E3">
        <v>48</v>
      </c>
      <c r="F3">
        <f>ABS(TableNFO[[#This Row],[PP]]-TableNFO[[#This Row],[AP]])</f>
        <v>8.9947534799123616</v>
      </c>
      <c r="H3" t="s">
        <v>1</v>
      </c>
      <c r="I3">
        <v>0</v>
      </c>
    </row>
    <row r="4" spans="1:9" x14ac:dyDescent="0.2">
      <c r="A4" t="s">
        <v>142</v>
      </c>
      <c r="B4">
        <v>29.925195237530371</v>
      </c>
      <c r="C4">
        <v>20.9563741556669</v>
      </c>
      <c r="D4">
        <f>TableNFO[[#This Row],[ARIMAPP]]*$I$2+TableNFO[[#This Row],[LSTMPP]]*$I$3</f>
        <v>33.679888144326583</v>
      </c>
      <c r="E4">
        <v>32</v>
      </c>
      <c r="F4">
        <f>ABS(TableNFO[[#This Row],[PP]]-TableNFO[[#This Row],[AP]])</f>
        <v>1.6798881443265827</v>
      </c>
    </row>
    <row r="5" spans="1:9" x14ac:dyDescent="0.2">
      <c r="A5" t="s">
        <v>143</v>
      </c>
      <c r="B5">
        <v>27.543859649122819</v>
      </c>
      <c r="C5">
        <v>22.913123550130621</v>
      </c>
      <c r="D5">
        <f>TableNFO[[#This Row],[ARIMAPP]]*$I$2+TableNFO[[#This Row],[LSTMPP]]*$I$3</f>
        <v>30.999768077771943</v>
      </c>
      <c r="E5">
        <v>30</v>
      </c>
      <c r="F5">
        <f>ABS(TableNFO[[#This Row],[PP]]-TableNFO[[#This Row],[AP]])</f>
        <v>0.9997680777719431</v>
      </c>
      <c r="H5" t="s">
        <v>2</v>
      </c>
      <c r="I5">
        <f>SUM(ABS(TableNFO[[#This Row],[PP]]-TableNFO[[#This Row],[AP]]))</f>
        <v>0.9997680777719431</v>
      </c>
    </row>
    <row r="6" spans="1:9" x14ac:dyDescent="0.2">
      <c r="A6" t="s">
        <v>144</v>
      </c>
      <c r="B6">
        <v>24.79128909198581</v>
      </c>
      <c r="C6">
        <v>34.195452909875179</v>
      </c>
      <c r="D6">
        <f>TableNFO[[#This Row],[ARIMAPP]]*$I$2+TableNFO[[#This Row],[LSTMPP]]*$I$3</f>
        <v>27.90183445568902</v>
      </c>
      <c r="E6">
        <v>26</v>
      </c>
      <c r="F6">
        <f>ABS(TableNFO[[#This Row],[PP]]-TableNFO[[#This Row],[AP]])</f>
        <v>1.9018344556890199</v>
      </c>
    </row>
    <row r="7" spans="1:9" x14ac:dyDescent="0.2">
      <c r="A7" t="s">
        <v>145</v>
      </c>
      <c r="B7">
        <v>30.714285714285719</v>
      </c>
      <c r="C7">
        <v>38.803129527223447</v>
      </c>
      <c r="D7">
        <f>TableNFO[[#This Row],[ARIMAPP]]*$I$2+TableNFO[[#This Row],[LSTMPP]]*$I$3</f>
        <v>34.567985240500008</v>
      </c>
      <c r="E7">
        <v>23</v>
      </c>
      <c r="F7">
        <f>ABS(TableNFO[[#This Row],[PP]]-TableNFO[[#This Row],[AP]])</f>
        <v>11.567985240500008</v>
      </c>
      <c r="H7" t="s">
        <v>3</v>
      </c>
      <c r="I7">
        <f>AVERAGE(TableNFO[DIFF])/10</f>
        <v>0.49148464866475683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146</v>
      </c>
      <c r="B2">
        <v>20.571428571428569</v>
      </c>
      <c r="C2">
        <v>8.7895525454428167</v>
      </c>
      <c r="D2">
        <f>TableSHU[[#This Row],[ARIMAPP]]*$I$2+TableSHU[[#This Row],[LSTMPP]]*$I$3</f>
        <v>21.871956279887385</v>
      </c>
      <c r="E2">
        <v>26</v>
      </c>
      <c r="F2">
        <f>ABS(TableSHU[[#This Row],[PP]]-TableSHU[[#This Row],[AP]])</f>
        <v>4.1280437201126148</v>
      </c>
      <c r="H2" t="s">
        <v>0</v>
      </c>
      <c r="I2">
        <v>0.96290135597000004</v>
      </c>
    </row>
    <row r="3" spans="1:9" x14ac:dyDescent="0.2">
      <c r="A3" t="s">
        <v>147</v>
      </c>
      <c r="B3">
        <v>21.25</v>
      </c>
      <c r="C3">
        <v>24.207776530359052</v>
      </c>
      <c r="D3">
        <f>TableSHU[[#This Row],[ARIMAPP]]*$I$2+TableSHU[[#This Row],[LSTMPP]]*$I$3</f>
        <v>26.14539979233659</v>
      </c>
      <c r="E3">
        <v>31</v>
      </c>
      <c r="F3">
        <f>ABS(TableSHU[[#This Row],[PP]]-TableSHU[[#This Row],[AP]])</f>
        <v>4.8546002076634096</v>
      </c>
      <c r="H3" t="s">
        <v>1</v>
      </c>
      <c r="I3">
        <v>0.23479008783999999</v>
      </c>
    </row>
    <row r="4" spans="1:9" x14ac:dyDescent="0.2">
      <c r="A4" t="s">
        <v>148</v>
      </c>
      <c r="B4">
        <v>18.095238075373938</v>
      </c>
      <c r="C4">
        <v>16.901944949141338</v>
      </c>
      <c r="D4">
        <f>TableSHU[[#This Row],[ARIMAPP]]*$I$2+TableSHU[[#This Row],[LSTMPP]]*$I$3</f>
        <v>21.392338418653278</v>
      </c>
      <c r="E4">
        <v>28</v>
      </c>
      <c r="F4">
        <f>ABS(TableSHU[[#This Row],[PP]]-TableSHU[[#This Row],[AP]])</f>
        <v>6.6076615813467221</v>
      </c>
    </row>
    <row r="5" spans="1:9" x14ac:dyDescent="0.2">
      <c r="A5" t="s">
        <v>149</v>
      </c>
      <c r="B5">
        <v>25.625</v>
      </c>
      <c r="C5">
        <v>21.13384863679676</v>
      </c>
      <c r="D5">
        <f>TableSHU[[#This Row],[ARIMAPP]]*$I$2+TableSHU[[#This Row],[LSTMPP]]*$I$3</f>
        <v>29.636365424562026</v>
      </c>
      <c r="E5">
        <v>20</v>
      </c>
      <c r="F5">
        <f>ABS(TableSHU[[#This Row],[PP]]-TableSHU[[#This Row],[AP]])</f>
        <v>9.636365424562026</v>
      </c>
      <c r="H5" t="s">
        <v>2</v>
      </c>
      <c r="I5">
        <f>SUM(ABS(TableSHU[[#This Row],[PP]]-TableSHU[[#This Row],[AP]]))</f>
        <v>9.636365424562026</v>
      </c>
    </row>
    <row r="6" spans="1:9" x14ac:dyDescent="0.2">
      <c r="A6" t="s">
        <v>150</v>
      </c>
      <c r="B6">
        <v>27.61904761904761</v>
      </c>
      <c r="C6">
        <v>28.12681014371644</v>
      </c>
      <c r="D6">
        <f>TableSHU[[#This Row],[ARIMAPP]]*$I$2+TableSHU[[#This Row],[LSTMPP]]*$I$3</f>
        <v>33.198314627283132</v>
      </c>
      <c r="E6">
        <v>31</v>
      </c>
      <c r="F6">
        <f>ABS(TableSHU[[#This Row],[PP]]-TableSHU[[#This Row],[AP]])</f>
        <v>2.198314627283132</v>
      </c>
    </row>
    <row r="7" spans="1:9" x14ac:dyDescent="0.2">
      <c r="H7" t="s">
        <v>3</v>
      </c>
      <c r="I7">
        <f>AVERAGE(TableSHU[DIFF])/10</f>
        <v>0.54849971121935803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151</v>
      </c>
      <c r="B2">
        <v>44.703236117231398</v>
      </c>
      <c r="C2">
        <v>41.804773770134901</v>
      </c>
      <c r="D2">
        <f>TableTOT[[#This Row],[ARIMAPP]]*$I$2+TableTOT[[#This Row],[LSTMPP]]*$I$3</f>
        <v>44.982168758347079</v>
      </c>
      <c r="E2">
        <v>31</v>
      </c>
      <c r="F2">
        <f>ABS(TableTOT[[#This Row],[PP]]-TableTOT[[#This Row],[AP]])</f>
        <v>13.982168758347079</v>
      </c>
      <c r="H2" t="s">
        <v>0</v>
      </c>
      <c r="I2">
        <v>1.0062396521000001</v>
      </c>
    </row>
    <row r="3" spans="1:9" x14ac:dyDescent="0.2">
      <c r="A3" t="s">
        <v>152</v>
      </c>
      <c r="B3">
        <v>31.86681593031344</v>
      </c>
      <c r="C3">
        <v>34.547766917615853</v>
      </c>
      <c r="D3">
        <f>TableTOT[[#This Row],[ARIMAPP]]*$I$2+TableTOT[[#This Row],[LSTMPP]]*$I$3</f>
        <v>32.065653775253338</v>
      </c>
      <c r="E3">
        <v>46</v>
      </c>
      <c r="F3">
        <f>ABS(TableTOT[[#This Row],[PP]]-TableTOT[[#This Row],[AP]])</f>
        <v>13.934346224746662</v>
      </c>
      <c r="H3" t="s">
        <v>1</v>
      </c>
      <c r="I3">
        <v>0</v>
      </c>
    </row>
    <row r="4" spans="1:9" x14ac:dyDescent="0.2">
      <c r="A4" t="s">
        <v>153</v>
      </c>
      <c r="B4">
        <v>30.476190476190471</v>
      </c>
      <c r="C4">
        <v>29.275562279081502</v>
      </c>
      <c r="D4">
        <f>TableTOT[[#This Row],[ARIMAPP]]*$I$2+TableTOT[[#This Row],[LSTMPP]]*$I$3</f>
        <v>30.666351302095237</v>
      </c>
      <c r="E4">
        <v>27</v>
      </c>
      <c r="F4">
        <f>ABS(TableTOT[[#This Row],[PP]]-TableTOT[[#This Row],[AP]])</f>
        <v>3.6663513020952365</v>
      </c>
    </row>
    <row r="5" spans="1:9" x14ac:dyDescent="0.2">
      <c r="A5" t="s">
        <v>154</v>
      </c>
      <c r="B5">
        <v>37.533260795898101</v>
      </c>
      <c r="C5">
        <v>49.094542932996298</v>
      </c>
      <c r="D5">
        <f>TableTOT[[#This Row],[ARIMAPP]]*$I$2+TableTOT[[#This Row],[LSTMPP]]*$I$3</f>
        <v>37.767455285443077</v>
      </c>
      <c r="E5">
        <v>26</v>
      </c>
      <c r="F5">
        <f>ABS(TableTOT[[#This Row],[PP]]-TableTOT[[#This Row],[AP]])</f>
        <v>11.767455285443077</v>
      </c>
      <c r="H5" t="s">
        <v>2</v>
      </c>
      <c r="I5">
        <f>SUM(ABS(TableTOT[[#This Row],[PP]]-TableTOT[[#This Row],[AP]]))</f>
        <v>11.767455285443077</v>
      </c>
    </row>
    <row r="6" spans="1:9" x14ac:dyDescent="0.2">
      <c r="A6" t="s">
        <v>155</v>
      </c>
      <c r="B6">
        <v>31.607142857142861</v>
      </c>
      <c r="C6">
        <v>30.103276105598098</v>
      </c>
      <c r="D6">
        <f>TableTOT[[#This Row],[ARIMAPP]]*$I$2+TableTOT[[#This Row],[LSTMPP]]*$I$3</f>
        <v>31.804360432446437</v>
      </c>
      <c r="E6">
        <v>48</v>
      </c>
      <c r="F6">
        <f>ABS(TableTOT[[#This Row],[PP]]-TableTOT[[#This Row],[AP]])</f>
        <v>16.195639567553563</v>
      </c>
    </row>
    <row r="7" spans="1:9" x14ac:dyDescent="0.2">
      <c r="A7" t="s">
        <v>156</v>
      </c>
      <c r="B7">
        <v>51.296296296296269</v>
      </c>
      <c r="C7">
        <v>44.054949094746647</v>
      </c>
      <c r="D7">
        <f>TableTOT[[#This Row],[ARIMAPP]]*$I$2+TableTOT[[#This Row],[LSTMPP]]*$I$3</f>
        <v>51.616367339203684</v>
      </c>
      <c r="E7">
        <v>59</v>
      </c>
      <c r="F7">
        <f>ABS(TableTOT[[#This Row],[PP]]-TableTOT[[#This Row],[AP]])</f>
        <v>7.3836326607963159</v>
      </c>
      <c r="H7" t="s">
        <v>3</v>
      </c>
      <c r="I7">
        <f>AVERAGE(TableTOT[DIFF])/10</f>
        <v>0.82377515281458158</v>
      </c>
    </row>
    <row r="8" spans="1:9" x14ac:dyDescent="0.2">
      <c r="A8" t="s">
        <v>157</v>
      </c>
      <c r="B8">
        <v>23.103448275862061</v>
      </c>
      <c r="C8">
        <v>24.72597470156429</v>
      </c>
      <c r="D8">
        <f>TableTOT[[#This Row],[ARIMAPP]]*$I$2+TableTOT[[#This Row],[LSTMPP]]*$I$3</f>
        <v>23.247605755413787</v>
      </c>
      <c r="E8">
        <v>24</v>
      </c>
      <c r="F8">
        <f>ABS(TableTOT[[#This Row],[PP]]-TableTOT[[#This Row],[AP]])</f>
        <v>0.75239424458621329</v>
      </c>
    </row>
    <row r="9" spans="1:9" x14ac:dyDescent="0.2">
      <c r="A9" t="s">
        <v>158</v>
      </c>
      <c r="B9">
        <v>39.999999999999993</v>
      </c>
      <c r="C9">
        <v>38.70442342890663</v>
      </c>
      <c r="D9">
        <f>TableTOT[[#This Row],[ARIMAPP]]*$I$2+TableTOT[[#This Row],[LSTMPP]]*$I$3</f>
        <v>40.249586083999993</v>
      </c>
      <c r="E9">
        <v>33</v>
      </c>
      <c r="F9">
        <f>ABS(TableTOT[[#This Row],[PP]]-TableTOT[[#This Row],[AP]])</f>
        <v>7.2495860839999935</v>
      </c>
    </row>
    <row r="10" spans="1:9" x14ac:dyDescent="0.2">
      <c r="A10" t="s">
        <v>159</v>
      </c>
      <c r="B10">
        <v>24.731519734482362</v>
      </c>
      <c r="C10">
        <v>38.555854189217129</v>
      </c>
      <c r="D10">
        <f>TableTOT[[#This Row],[ARIMAPP]]*$I$2+TableTOT[[#This Row],[LSTMPP]]*$I$3</f>
        <v>24.88583581352982</v>
      </c>
      <c r="E10">
        <v>31</v>
      </c>
      <c r="F10">
        <f>ABS(TableTOT[[#This Row],[PP]]-TableTOT[[#This Row],[AP]])</f>
        <v>6.1141641864701803</v>
      </c>
    </row>
    <row r="11" spans="1:9" x14ac:dyDescent="0.2">
      <c r="A11" t="s">
        <v>160</v>
      </c>
      <c r="B11">
        <v>26.168494664731231</v>
      </c>
      <c r="C11">
        <v>22.94595176686127</v>
      </c>
      <c r="D11">
        <f>TableTOT[[#This Row],[ARIMAPP]]*$I$2+TableTOT[[#This Row],[LSTMPP]]*$I$3</f>
        <v>26.331776967419863</v>
      </c>
      <c r="E11">
        <v>25</v>
      </c>
      <c r="F11">
        <f>ABS(TableTOT[[#This Row],[PP]]-TableTOT[[#This Row],[AP]])</f>
        <v>1.331776967419863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161</v>
      </c>
      <c r="B2">
        <v>38.772043412968877</v>
      </c>
      <c r="C2">
        <v>36.507241725705043</v>
      </c>
      <c r="D2">
        <f>TableWHU[[#This Row],[ARIMAPP]]*$I$2+TableWHU[[#This Row],[LSTMPP]]*$I$3</f>
        <v>33.501377507394622</v>
      </c>
      <c r="E2">
        <v>29</v>
      </c>
      <c r="F2">
        <f>ABS(TableWHU[[#This Row],[PP]]-TableWHU[[#This Row],[AP]])</f>
        <v>4.5013775073946221</v>
      </c>
      <c r="H2" t="s">
        <v>0</v>
      </c>
      <c r="I2">
        <v>0.82807673557999995</v>
      </c>
    </row>
    <row r="3" spans="1:9" x14ac:dyDescent="0.2">
      <c r="A3" t="s">
        <v>162</v>
      </c>
      <c r="B3">
        <v>31.05330470920482</v>
      </c>
      <c r="C3">
        <v>35.847631110036659</v>
      </c>
      <c r="D3">
        <f>TableWHU[[#This Row],[ARIMAPP]]*$I$2+TableWHU[[#This Row],[LSTMPP]]*$I$3</f>
        <v>27.084462067108049</v>
      </c>
      <c r="E3">
        <v>24</v>
      </c>
      <c r="F3">
        <f>ABS(TableWHU[[#This Row],[PP]]-TableWHU[[#This Row],[AP]])</f>
        <v>3.0844620671080492</v>
      </c>
      <c r="H3" t="s">
        <v>1</v>
      </c>
      <c r="I3">
        <v>3.8215715575000003E-2</v>
      </c>
    </row>
    <row r="4" spans="1:9" x14ac:dyDescent="0.2">
      <c r="A4" t="s">
        <v>163</v>
      </c>
      <c r="B4">
        <v>19.556642944032649</v>
      </c>
      <c r="C4">
        <v>18.090133876033502</v>
      </c>
      <c r="D4">
        <f>TableWHU[[#This Row],[ARIMAPP]]*$I$2+TableWHU[[#This Row],[LSTMPP]]*$I$3</f>
        <v>16.885728458918365</v>
      </c>
      <c r="E4">
        <v>22</v>
      </c>
      <c r="F4">
        <f>ABS(TableWHU[[#This Row],[PP]]-TableWHU[[#This Row],[AP]])</f>
        <v>5.1142715410816351</v>
      </c>
    </row>
    <row r="5" spans="1:9" x14ac:dyDescent="0.2">
      <c r="A5" t="s">
        <v>164</v>
      </c>
      <c r="B5">
        <v>44.859154929577457</v>
      </c>
      <c r="C5">
        <v>43.074447596244887</v>
      </c>
      <c r="D5">
        <f>TableWHU[[#This Row],[ARIMAPP]]*$I$2+TableWHU[[#This Row],[LSTMPP]]*$I$3</f>
        <v>38.792943412850306</v>
      </c>
      <c r="E5">
        <v>51</v>
      </c>
      <c r="F5">
        <f>ABS(TableWHU[[#This Row],[PP]]-TableWHU[[#This Row],[AP]])</f>
        <v>12.207056587149694</v>
      </c>
      <c r="H5" t="s">
        <v>2</v>
      </c>
      <c r="I5">
        <f>SUM(ABS(TableWHU[[#This Row],[PP]]-TableWHU[[#This Row],[AP]]))</f>
        <v>12.207056587149694</v>
      </c>
    </row>
    <row r="6" spans="1:9" x14ac:dyDescent="0.2">
      <c r="A6" t="s">
        <v>165</v>
      </c>
      <c r="B6">
        <v>35.371294618282711</v>
      </c>
      <c r="C6">
        <v>28.095985896481789</v>
      </c>
      <c r="D6">
        <f>TableWHU[[#This Row],[ARIMAPP]]*$I$2+TableWHU[[#This Row],[LSTMPP]]*$I$3</f>
        <v>30.363854386565126</v>
      </c>
      <c r="E6">
        <v>32</v>
      </c>
      <c r="F6">
        <f>ABS(TableWHU[[#This Row],[PP]]-TableWHU[[#This Row],[AP]])</f>
        <v>1.6361456134348735</v>
      </c>
    </row>
    <row r="7" spans="1:9" x14ac:dyDescent="0.2">
      <c r="A7" t="s">
        <v>166</v>
      </c>
      <c r="B7">
        <v>36.046511627906987</v>
      </c>
      <c r="C7">
        <v>39.690195784587047</v>
      </c>
      <c r="D7">
        <f>TableWHU[[#This Row],[ARIMAPP]]*$I$2+TableWHU[[#This Row],[LSTMPP]]*$I$3</f>
        <v>31.366066911103569</v>
      </c>
      <c r="E7">
        <v>31</v>
      </c>
      <c r="F7">
        <f>ABS(TableWHU[[#This Row],[PP]]-TableWHU[[#This Row],[AP]])</f>
        <v>0.36606691110356948</v>
      </c>
      <c r="H7" t="s">
        <v>3</v>
      </c>
      <c r="I7">
        <f>AVERAGE(TableWHU[DIFF])/10</f>
        <v>0.44705606610838428</v>
      </c>
    </row>
    <row r="8" spans="1:9" x14ac:dyDescent="0.2">
      <c r="A8" t="s">
        <v>167</v>
      </c>
      <c r="B8">
        <v>25.286586582205938</v>
      </c>
      <c r="C8">
        <v>12.225391582454931</v>
      </c>
      <c r="D8">
        <f>TableWHU[[#This Row],[ARIMAPP]]*$I$2+TableWHU[[#This Row],[LSTMPP]]*$I$3</f>
        <v>21.406436158462217</v>
      </c>
      <c r="E8">
        <v>21</v>
      </c>
      <c r="F8">
        <f>ABS(TableWHU[[#This Row],[PP]]-TableWHU[[#This Row],[AP]])</f>
        <v>0.40643615846221692</v>
      </c>
    </row>
    <row r="9" spans="1:9" x14ac:dyDescent="0.2">
      <c r="A9" t="s">
        <v>168</v>
      </c>
      <c r="B9">
        <v>34.644957782333407</v>
      </c>
      <c r="C9">
        <v>28.122155532691341</v>
      </c>
      <c r="D9">
        <f>TableWHU[[#This Row],[ARIMAPP]]*$I$2+TableWHU[[#This Row],[LSTMPP]]*$I$3</f>
        <v>29.763391841894805</v>
      </c>
      <c r="E9">
        <v>21</v>
      </c>
      <c r="F9">
        <f>ABS(TableWHU[[#This Row],[PP]]-TableWHU[[#This Row],[AP]])</f>
        <v>8.7633918418948049</v>
      </c>
    </row>
    <row r="10" spans="1:9" x14ac:dyDescent="0.2">
      <c r="A10" t="s">
        <v>169</v>
      </c>
      <c r="B10">
        <v>20.55555555555555</v>
      </c>
      <c r="C10">
        <v>19.859393567521959</v>
      </c>
      <c r="D10">
        <f>TableWHU[[#This Row],[ARIMAPP]]*$I$2+TableWHU[[#This Row],[LSTMPP]]*$I$3</f>
        <v>17.780518278546175</v>
      </c>
      <c r="E10">
        <v>22</v>
      </c>
      <c r="F10">
        <f>ABS(TableWHU[[#This Row],[PP]]-TableWHU[[#This Row],[AP]])</f>
        <v>4.2194817214538247</v>
      </c>
    </row>
    <row r="11" spans="1:9" x14ac:dyDescent="0.2">
      <c r="A11" t="s">
        <v>170</v>
      </c>
      <c r="B11">
        <v>44.210526315789501</v>
      </c>
      <c r="C11">
        <v>47.027991622330923</v>
      </c>
      <c r="D11">
        <f>TableWHU[[#This Row],[ARIMAPP]]*$I$2+TableWHU[[#This Row],[LSTMPP]]*$I$3</f>
        <v>38.406916661755133</v>
      </c>
      <c r="E11">
        <v>34</v>
      </c>
      <c r="F11">
        <f>ABS(TableWHU[[#This Row],[PP]]-TableWHU[[#This Row],[AP]])</f>
        <v>4.4069166617551332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26.8928721050398</v>
      </c>
      <c r="C2">
        <v>34.51941257953937</v>
      </c>
      <c r="D2">
        <f>TableAVL[[#This Row],[ARIMAPP]]*$I$2+TableAVL[[#This Row],[LSTMPP]]*$I$3</f>
        <v>30.85701081799623</v>
      </c>
      <c r="E2">
        <v>25</v>
      </c>
      <c r="F2">
        <f>ABS(TableAVL[[#This Row],[PP]]-TableAVL[[#This Row],[AP]])</f>
        <v>5.8570108179962297</v>
      </c>
      <c r="H2" t="s">
        <v>0</v>
      </c>
      <c r="I2">
        <v>1.1203993677999999</v>
      </c>
    </row>
    <row r="3" spans="1:9" x14ac:dyDescent="0.2">
      <c r="A3" t="s">
        <v>23</v>
      </c>
      <c r="B3">
        <v>24.507209524841262</v>
      </c>
      <c r="C3">
        <v>33.393516710385263</v>
      </c>
      <c r="D3">
        <f>TableAVL[[#This Row],[ARIMAPP]]*$I$2+TableAVL[[#This Row],[LSTMPP]]*$I$3</f>
        <v>28.160428248429998</v>
      </c>
      <c r="E3">
        <v>28</v>
      </c>
      <c r="F3">
        <f>ABS(TableAVL[[#This Row],[PP]]-TableAVL[[#This Row],[AP]])</f>
        <v>0.16042824842999792</v>
      </c>
      <c r="H3" t="s">
        <v>1</v>
      </c>
      <c r="I3">
        <v>2.1038999765999999E-2</v>
      </c>
    </row>
    <row r="4" spans="1:9" x14ac:dyDescent="0.2">
      <c r="A4" t="s">
        <v>24</v>
      </c>
      <c r="B4">
        <v>45.96538403359159</v>
      </c>
      <c r="C4">
        <v>23.93184218752106</v>
      </c>
      <c r="D4">
        <f>TableAVL[[#This Row],[ARIMAPP]]*$I$2+TableAVL[[#This Row],[LSTMPP]]*$I$3</f>
        <v>52.003089234103435</v>
      </c>
      <c r="E4">
        <v>44</v>
      </c>
      <c r="F4">
        <f>ABS(TableAVL[[#This Row],[PP]]-TableAVL[[#This Row],[AP]])</f>
        <v>8.0030892341034345</v>
      </c>
    </row>
    <row r="5" spans="1:9" x14ac:dyDescent="0.2">
      <c r="A5" t="s">
        <v>25</v>
      </c>
      <c r="B5">
        <v>30.608108108108109</v>
      </c>
      <c r="C5">
        <v>29.051819896258952</v>
      </c>
      <c r="D5">
        <f>TableAVL[[#This Row],[ARIMAPP]]*$I$2+TableAVL[[#This Row],[LSTMPP]]*$I$3</f>
        <v>34.904526205877644</v>
      </c>
      <c r="E5">
        <v>29</v>
      </c>
      <c r="F5">
        <f>ABS(TableAVL[[#This Row],[PP]]-TableAVL[[#This Row],[AP]])</f>
        <v>5.9045262058776444</v>
      </c>
      <c r="H5" t="s">
        <v>2</v>
      </c>
      <c r="I5">
        <f>SUM(ABS(TableAVL[[#This Row],[PP]]-TableAVL[[#This Row],[AP]]))</f>
        <v>5.9045262058776444</v>
      </c>
    </row>
    <row r="6" spans="1:9" x14ac:dyDescent="0.2">
      <c r="A6" t="s">
        <v>26</v>
      </c>
      <c r="B6">
        <v>28.39160839160839</v>
      </c>
      <c r="C6">
        <v>29.302852110464951</v>
      </c>
      <c r="D6">
        <f>TableAVL[[#This Row],[ARIMAPP]]*$I$2+TableAVL[[#This Row],[LSTMPP]]*$I$3</f>
        <v>32.426442791478415</v>
      </c>
      <c r="E6">
        <v>30</v>
      </c>
      <c r="F6">
        <f>ABS(TableAVL[[#This Row],[PP]]-TableAVL[[#This Row],[AP]])</f>
        <v>2.426442791478415</v>
      </c>
    </row>
    <row r="7" spans="1:9" x14ac:dyDescent="0.2">
      <c r="A7" t="s">
        <v>27</v>
      </c>
      <c r="B7">
        <v>46.587301587301567</v>
      </c>
      <c r="C7">
        <v>37.650325708535838</v>
      </c>
      <c r="D7">
        <f>TableAVL[[#This Row],[ARIMAPP]]*$I$2+TableAVL[[#This Row],[LSTMPP]]*$I$3</f>
        <v>52.988508439692318</v>
      </c>
      <c r="E7">
        <v>71</v>
      </c>
      <c r="F7">
        <f>ABS(TableAVL[[#This Row],[PP]]-TableAVL[[#This Row],[AP]])</f>
        <v>18.011491560307682</v>
      </c>
      <c r="H7" t="s">
        <v>3</v>
      </c>
      <c r="I7">
        <f>AVERAGE(TableAVL[DIFF])/10</f>
        <v>0.94547120841028565</v>
      </c>
    </row>
    <row r="8" spans="1:9" x14ac:dyDescent="0.2">
      <c r="A8" t="s">
        <v>28</v>
      </c>
      <c r="B8">
        <v>31.805555555555539</v>
      </c>
      <c r="C8">
        <v>27.923911979356639</v>
      </c>
      <c r="D8">
        <f>TableAVL[[#This Row],[ARIMAPP]]*$I$2+TableAVL[[#This Row],[LSTMPP]]*$I$3</f>
        <v>36.222415514571694</v>
      </c>
      <c r="E8">
        <v>50</v>
      </c>
      <c r="F8">
        <f>ABS(TableAVL[[#This Row],[PP]]-TableAVL[[#This Row],[AP]])</f>
        <v>13.777584485428306</v>
      </c>
    </row>
    <row r="9" spans="1:9" x14ac:dyDescent="0.2">
      <c r="A9" t="s">
        <v>29</v>
      </c>
      <c r="B9">
        <v>35.614035087719323</v>
      </c>
      <c r="C9">
        <v>32.136223802299547</v>
      </c>
      <c r="D9">
        <f>TableAVL[[#This Row],[ARIMAPP]]*$I$2+TableAVL[[#This Row],[LSTMPP]]*$I$3</f>
        <v>40.578056402144448</v>
      </c>
      <c r="E9">
        <v>35</v>
      </c>
      <c r="F9">
        <f>ABS(TableAVL[[#This Row],[PP]]-TableAVL[[#This Row],[AP]])</f>
        <v>5.5780564021444476</v>
      </c>
    </row>
    <row r="10" spans="1:9" x14ac:dyDescent="0.2">
      <c r="A10" t="s">
        <v>30</v>
      </c>
      <c r="B10">
        <v>20.145207809521231</v>
      </c>
      <c r="C10">
        <v>23.33638265707107</v>
      </c>
      <c r="D10">
        <f>TableAVL[[#This Row],[ARIMAPP]]*$I$2+TableAVL[[#This Row],[LSTMPP]]*$I$3</f>
        <v>23.061652243248613</v>
      </c>
      <c r="E10">
        <v>40</v>
      </c>
      <c r="F10">
        <f>ABS(TableAVL[[#This Row],[PP]]-TableAVL[[#This Row],[AP]])</f>
        <v>16.938347756751387</v>
      </c>
    </row>
    <row r="11" spans="1:9" x14ac:dyDescent="0.2">
      <c r="A11" t="s">
        <v>31</v>
      </c>
      <c r="B11">
        <v>35.827237045601429</v>
      </c>
      <c r="C11">
        <v>35.616218020468807</v>
      </c>
      <c r="D11">
        <f>TableAVL[[#This Row],[ARIMAPP]]*$I$2+TableAVL[[#This Row],[LSTMPP]]*$I$3</f>
        <v>40.890143338511031</v>
      </c>
      <c r="E11">
        <v>23</v>
      </c>
      <c r="F11">
        <f>ABS(TableAVL[[#This Row],[PP]]-TableAVL[[#This Row],[AP]])</f>
        <v>17.890143338511031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171</v>
      </c>
      <c r="B2">
        <v>26.598450343323549</v>
      </c>
      <c r="C2">
        <v>28.972835862628131</v>
      </c>
      <c r="D2">
        <f>TableWOL[[#This Row],[ARIMAPP]]*$I$2+TableWOL[[#This Row],[LSTMPP]]*$I$3</f>
        <v>32.669849315214393</v>
      </c>
      <c r="E2">
        <v>41</v>
      </c>
      <c r="F2">
        <f>ABS(TableWOL[[#This Row],[PP]]-TableWOL[[#This Row],[AP]])</f>
        <v>8.3301506847856075</v>
      </c>
      <c r="H2" t="s">
        <v>0</v>
      </c>
      <c r="I2">
        <v>0.76279465812000002</v>
      </c>
    </row>
    <row r="3" spans="1:9" x14ac:dyDescent="0.2">
      <c r="A3" t="s">
        <v>172</v>
      </c>
      <c r="B3">
        <v>39.007597662557373</v>
      </c>
      <c r="C3">
        <v>45.169414905133543</v>
      </c>
      <c r="D3">
        <f>TableWOL[[#This Row],[ARIMAPP]]*$I$2+TableWOL[[#This Row],[LSTMPP]]*$I$3</f>
        <v>49.05661464250943</v>
      </c>
      <c r="E3">
        <v>33</v>
      </c>
      <c r="F3">
        <f>ABS(TableWOL[[#This Row],[PP]]-TableWOL[[#This Row],[AP]])</f>
        <v>16.05661464250943</v>
      </c>
      <c r="H3" t="s">
        <v>1</v>
      </c>
      <c r="I3">
        <v>0.42732073373000001</v>
      </c>
    </row>
    <row r="4" spans="1:9" x14ac:dyDescent="0.2">
      <c r="A4" t="s">
        <v>173</v>
      </c>
      <c r="B4">
        <v>24.146341463414629</v>
      </c>
      <c r="C4">
        <v>23.126851193060471</v>
      </c>
      <c r="D4">
        <f>TableWOL[[#This Row],[ARIMAPP]]*$I$2+TableWOL[[#This Row],[LSTMPP]]*$I$3</f>
        <v>28.30128330211727</v>
      </c>
      <c r="E4">
        <v>20</v>
      </c>
      <c r="F4">
        <f>ABS(TableWOL[[#This Row],[PP]]-TableWOL[[#This Row],[AP]])</f>
        <v>8.3012833021172696</v>
      </c>
    </row>
    <row r="5" spans="1:9" x14ac:dyDescent="0.2">
      <c r="A5" t="s">
        <v>174</v>
      </c>
      <c r="B5">
        <v>34.627991690341112</v>
      </c>
      <c r="C5">
        <v>25.278512600769179</v>
      </c>
      <c r="D5">
        <f>TableWOL[[#This Row],[ARIMAPP]]*$I$2+TableWOL[[#This Row],[LSTMPP]]*$I$3</f>
        <v>37.216079634979693</v>
      </c>
      <c r="E5">
        <v>44</v>
      </c>
      <c r="F5">
        <f>ABS(TableWOL[[#This Row],[PP]]-TableWOL[[#This Row],[AP]])</f>
        <v>6.7839203650203075</v>
      </c>
      <c r="H5" t="s">
        <v>2</v>
      </c>
      <c r="I5">
        <f>SUM(ABS(TableWOL[[#This Row],[PP]]-TableWOL[[#This Row],[AP]]))</f>
        <v>6.7839203650203075</v>
      </c>
    </row>
    <row r="6" spans="1:9" x14ac:dyDescent="0.2">
      <c r="A6" t="s">
        <v>175</v>
      </c>
      <c r="B6">
        <v>17.692307692307701</v>
      </c>
      <c r="C6">
        <v>17.316549981851502</v>
      </c>
      <c r="D6">
        <f>TableWOL[[#This Row],[ARIMAPP]]*$I$2+TableWOL[[#This Row],[LSTMPP]]*$I$3</f>
        <v>20.895318641424701</v>
      </c>
      <c r="E6">
        <v>44</v>
      </c>
      <c r="F6">
        <f>ABS(TableWOL[[#This Row],[PP]]-TableWOL[[#This Row],[AP]])</f>
        <v>23.104681358575299</v>
      </c>
    </row>
    <row r="7" spans="1:9" x14ac:dyDescent="0.2">
      <c r="A7" t="s">
        <v>176</v>
      </c>
      <c r="B7">
        <v>44.157664720170843</v>
      </c>
      <c r="C7">
        <v>28.336238741797459</v>
      </c>
      <c r="D7">
        <f>TableWOL[[#This Row],[ARIMAPP]]*$I$2+TableWOL[[#This Row],[LSTMPP]]*$I$3</f>
        <v>45.791893093893648</v>
      </c>
      <c r="E7">
        <v>53</v>
      </c>
      <c r="F7">
        <f>ABS(TableWOL[[#This Row],[PP]]-TableWOL[[#This Row],[AP]])</f>
        <v>7.2081069061063516</v>
      </c>
      <c r="H7" t="s">
        <v>3</v>
      </c>
      <c r="I7">
        <f>AVERAGE(TableWOL[DIFF])/10</f>
        <v>1.1489271579266764</v>
      </c>
    </row>
    <row r="8" spans="1:9" x14ac:dyDescent="0.2">
      <c r="A8" t="s">
        <v>177</v>
      </c>
      <c r="B8">
        <v>50.577511977976918</v>
      </c>
      <c r="C8">
        <v>26.628858359378789</v>
      </c>
      <c r="D8">
        <f>TableWOL[[#This Row],[ARIMAPP]]*$I$2+TableWOL[[#This Row],[LSTMPP]]*$I$3</f>
        <v>49.959319250323098</v>
      </c>
      <c r="E8">
        <v>39</v>
      </c>
      <c r="F8">
        <f>ABS(TableWOL[[#This Row],[PP]]-TableWOL[[#This Row],[AP]])</f>
        <v>10.959319250323098</v>
      </c>
    </row>
    <row r="9" spans="1:9" x14ac:dyDescent="0.2">
      <c r="A9" t="s">
        <v>178</v>
      </c>
      <c r="B9">
        <v>17.682904993105151</v>
      </c>
      <c r="C9">
        <v>17.180253208021991</v>
      </c>
      <c r="D9">
        <f>TableWOL[[#This Row],[ARIMAPP]]*$I$2+TableWOL[[#This Row],[LSTMPP]]*$I$3</f>
        <v>20.829903875303231</v>
      </c>
      <c r="E9">
        <v>32</v>
      </c>
      <c r="F9">
        <f>ABS(TableWOL[[#This Row],[PP]]-TableWOL[[#This Row],[AP]])</f>
        <v>11.170096124696769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32</v>
      </c>
      <c r="B2">
        <v>23.265306122448969</v>
      </c>
      <c r="C2">
        <v>23.112001555113419</v>
      </c>
      <c r="D2">
        <f>TableBOU[[#This Row],[ARIMAPP]]*$I$2+TableBOU[[#This Row],[LSTMPP]]*$I$3</f>
        <v>27.056852180932324</v>
      </c>
      <c r="E2">
        <v>30</v>
      </c>
      <c r="F2">
        <f>ABS(TableBOU[[#This Row],[PP]]-TableBOU[[#This Row],[AP]])</f>
        <v>2.9431478190676756</v>
      </c>
      <c r="H2" t="s">
        <v>0</v>
      </c>
      <c r="I2">
        <v>0.63367586200000003</v>
      </c>
    </row>
    <row r="3" spans="1:9" x14ac:dyDescent="0.2">
      <c r="A3" t="s">
        <v>33</v>
      </c>
      <c r="B3">
        <v>17.34323272677987</v>
      </c>
      <c r="C3">
        <v>15.43146386943655</v>
      </c>
      <c r="D3">
        <f>TableBOU[[#This Row],[ARIMAPP]]*$I$2+TableBOU[[#This Row],[LSTMPP]]*$I$3</f>
        <v>19.211948574582514</v>
      </c>
      <c r="E3">
        <v>30</v>
      </c>
      <c r="F3">
        <f>ABS(TableBOU[[#This Row],[PP]]-TableBOU[[#This Row],[AP]])</f>
        <v>10.788051425417486</v>
      </c>
      <c r="H3" t="s">
        <v>1</v>
      </c>
      <c r="I3">
        <v>0.53280496886999995</v>
      </c>
    </row>
    <row r="4" spans="1:9" x14ac:dyDescent="0.2">
      <c r="A4" t="s">
        <v>34</v>
      </c>
      <c r="B4">
        <v>50.995114729480278</v>
      </c>
      <c r="C4">
        <v>26.69498900208481</v>
      </c>
      <c r="D4">
        <f>TableBOU[[#This Row],[ARIMAPP]]*$I$2+TableBOU[[#This Row],[LSTMPP]]*$I$3</f>
        <v>46.5375960682331</v>
      </c>
      <c r="E4">
        <v>48</v>
      </c>
      <c r="F4">
        <f>ABS(TableBOU[[#This Row],[PP]]-TableBOU[[#This Row],[AP]])</f>
        <v>1.4624039317669002</v>
      </c>
    </row>
    <row r="5" spans="1:9" x14ac:dyDescent="0.2">
      <c r="A5" t="s">
        <v>35</v>
      </c>
      <c r="B5">
        <v>21.15384615384615</v>
      </c>
      <c r="C5">
        <v>19.074920051720429</v>
      </c>
      <c r="D5">
        <f>TableBOU[[#This Row],[ARIMAPP]]*$I$2+TableBOU[[#This Row],[LSTMPP]]*$I$3</f>
        <v>23.567893880508485</v>
      </c>
      <c r="E5">
        <v>21</v>
      </c>
      <c r="F5">
        <f>ABS(TableBOU[[#This Row],[PP]]-TableBOU[[#This Row],[AP]])</f>
        <v>2.5678938805084854</v>
      </c>
      <c r="H5" t="s">
        <v>2</v>
      </c>
      <c r="I5">
        <f>SUM(ABS(TableBOU[[#This Row],[PP]]-TableBOU[[#This Row],[AP]]))</f>
        <v>2.5678938805084854</v>
      </c>
    </row>
    <row r="6" spans="1:9" x14ac:dyDescent="0.2">
      <c r="A6" t="s">
        <v>36</v>
      </c>
      <c r="B6">
        <v>38.205128205128197</v>
      </c>
      <c r="C6">
        <v>39.836089519622163</v>
      </c>
      <c r="D6">
        <f>TableBOU[[#This Row],[ARIMAPP]]*$I$2+TableBOU[[#This Row],[LSTMPP]]*$I$3</f>
        <v>45.434533984609942</v>
      </c>
      <c r="E6">
        <v>23</v>
      </c>
      <c r="F6">
        <f>ABS(TableBOU[[#This Row],[PP]]-TableBOU[[#This Row],[AP]])</f>
        <v>22.434533984609942</v>
      </c>
    </row>
    <row r="7" spans="1:9" x14ac:dyDescent="0.2">
      <c r="A7" t="s">
        <v>37</v>
      </c>
      <c r="B7">
        <v>28.47475728945237</v>
      </c>
      <c r="C7">
        <v>20.392390557340711</v>
      </c>
      <c r="D7">
        <f>TableBOU[[#This Row],[ARIMAPP]]*$I$2+TableBOU[[#This Row],[LSTMPP]]*$I$3</f>
        <v>28.908933386723312</v>
      </c>
      <c r="E7">
        <v>28</v>
      </c>
      <c r="F7">
        <f>ABS(TableBOU[[#This Row],[PP]]-TableBOU[[#This Row],[AP]])</f>
        <v>0.90893338672331225</v>
      </c>
      <c r="H7" t="s">
        <v>3</v>
      </c>
      <c r="I7">
        <f>AVERAGE(TableBOU[DIFF])/10</f>
        <v>0.93944319255051167</v>
      </c>
    </row>
    <row r="8" spans="1:9" x14ac:dyDescent="0.2">
      <c r="A8" t="s">
        <v>38</v>
      </c>
      <c r="B8">
        <v>36.763139466437799</v>
      </c>
      <c r="C8">
        <v>36.392228339965207</v>
      </c>
      <c r="D8">
        <f>TableBOU[[#This Row],[ARIMAPP]]*$I$2+TableBOU[[#This Row],[LSTMPP]]*$I$3</f>
        <v>42.685874179006284</v>
      </c>
      <c r="E8">
        <v>30</v>
      </c>
      <c r="F8">
        <f>ABS(TableBOU[[#This Row],[PP]]-TableBOU[[#This Row],[AP]])</f>
        <v>12.685874179006284</v>
      </c>
    </row>
    <row r="9" spans="1:9" x14ac:dyDescent="0.2">
      <c r="A9" t="s">
        <v>39</v>
      </c>
      <c r="B9">
        <v>24.444444444444439</v>
      </c>
      <c r="C9">
        <v>23.258337666048991</v>
      </c>
      <c r="D9">
        <f>TableBOU[[#This Row],[ARIMAPP]]*$I$2+TableBOU[[#This Row],[LSTMPP]]*$I$3</f>
        <v>27.882012280571622</v>
      </c>
      <c r="E9">
        <v>48</v>
      </c>
      <c r="F9">
        <f>ABS(TableBOU[[#This Row],[PP]]-TableBOU[[#This Row],[AP]])</f>
        <v>20.117987719428378</v>
      </c>
    </row>
    <row r="10" spans="1:9" x14ac:dyDescent="0.2">
      <c r="A10" t="s">
        <v>40</v>
      </c>
      <c r="B10">
        <v>19.62962962962963</v>
      </c>
      <c r="C10">
        <v>18.266560792724029</v>
      </c>
      <c r="D10">
        <f>TableBOU[[#This Row],[ARIMAPP]]*$I$2+TableBOU[[#This Row],[LSTMPP]]*$I$3</f>
        <v>22.171336830825584</v>
      </c>
      <c r="E10">
        <v>34</v>
      </c>
      <c r="F10">
        <f>ABS(TableBOU[[#This Row],[PP]]-TableBOU[[#This Row],[AP]])</f>
        <v>11.828663169174416</v>
      </c>
    </row>
    <row r="11" spans="1:9" x14ac:dyDescent="0.2">
      <c r="A11" t="s">
        <v>41</v>
      </c>
      <c r="B11">
        <v>19.795901740556129</v>
      </c>
      <c r="C11">
        <v>34.634885835585848</v>
      </c>
      <c r="D11">
        <f>TableBOU[[#This Row],[ARIMAPP]]*$I$2+TableBOU[[#This Row],[LSTMPP]]*$I$3</f>
        <v>30.997824368959524</v>
      </c>
      <c r="E11">
        <v>43</v>
      </c>
      <c r="F11">
        <f>ABS(TableBOU[[#This Row],[PP]]-TableBOU[[#This Row],[AP]])</f>
        <v>12.002175631040476</v>
      </c>
    </row>
    <row r="12" spans="1:9" x14ac:dyDescent="0.2">
      <c r="A12" t="s">
        <v>42</v>
      </c>
      <c r="B12">
        <v>20</v>
      </c>
      <c r="C12">
        <v>8.8726588196299616</v>
      </c>
      <c r="D12">
        <f>TableBOU[[#This Row],[ARIMAPP]]*$I$2+TableBOU[[#This Row],[LSTMPP]]*$I$3</f>
        <v>17.400913946187075</v>
      </c>
      <c r="E12">
        <v>23</v>
      </c>
      <c r="F12">
        <f>ABS(TableBOU[[#This Row],[PP]]-TableBOU[[#This Row],[AP]])</f>
        <v>5.5990860538129255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43</v>
      </c>
      <c r="B2">
        <v>29.565217391304341</v>
      </c>
      <c r="C2">
        <v>35.582440714439286</v>
      </c>
      <c r="D2">
        <f>TableBRE[[#This Row],[ARIMAPP]]*$I$2+TableBRE[[#This Row],[LSTMPP]]*$I$3</f>
        <v>33.288982668552016</v>
      </c>
      <c r="E2">
        <v>23</v>
      </c>
      <c r="F2">
        <f>ABS(TableBRE[[#This Row],[PP]]-TableBRE[[#This Row],[AP]])</f>
        <v>10.288982668552016</v>
      </c>
      <c r="H2" t="s">
        <v>0</v>
      </c>
      <c r="I2">
        <v>0.37232593850000001</v>
      </c>
    </row>
    <row r="3" spans="1:9" x14ac:dyDescent="0.2">
      <c r="A3" t="s">
        <v>44</v>
      </c>
      <c r="B3">
        <v>32.328767123287683</v>
      </c>
      <c r="C3">
        <v>31.91517331563853</v>
      </c>
      <c r="D3">
        <f>TableBRE[[#This Row],[ARIMAPP]]*$I$2+TableBRE[[#This Row],[LSTMPP]]*$I$3</f>
        <v>32.021546930806878</v>
      </c>
      <c r="E3">
        <v>21</v>
      </c>
      <c r="F3">
        <f>ABS(TableBRE[[#This Row],[PP]]-TableBRE[[#This Row],[AP]])</f>
        <v>11.021546930806878</v>
      </c>
      <c r="H3" t="s">
        <v>1</v>
      </c>
      <c r="I3">
        <v>0.62618204116999998</v>
      </c>
    </row>
    <row r="4" spans="1:9" x14ac:dyDescent="0.2">
      <c r="A4" t="s">
        <v>45</v>
      </c>
      <c r="B4">
        <v>25.930830974303159</v>
      </c>
      <c r="C4">
        <v>28.306061297235161</v>
      </c>
      <c r="D4">
        <f>TableBRE[[#This Row],[ARIMAPP]]*$I$2+TableBRE[[#This Row],[LSTMPP]]*$I$3</f>
        <v>27.379468219178143</v>
      </c>
      <c r="E4">
        <v>20</v>
      </c>
      <c r="F4">
        <f>ABS(TableBRE[[#This Row],[PP]]-TableBRE[[#This Row],[AP]])</f>
        <v>7.3794682191781433</v>
      </c>
    </row>
    <row r="5" spans="1:9" x14ac:dyDescent="0.2">
      <c r="A5" t="s">
        <v>46</v>
      </c>
      <c r="B5">
        <v>40.493827160493836</v>
      </c>
      <c r="C5">
        <v>32.820417562559889</v>
      </c>
      <c r="D5">
        <f>TableBRE[[#This Row],[ARIMAPP]]*$I$2+TableBRE[[#This Row],[LSTMPP]]*$I$3</f>
        <v>35.628458262363125</v>
      </c>
      <c r="E5">
        <v>37</v>
      </c>
      <c r="F5">
        <f>ABS(TableBRE[[#This Row],[PP]]-TableBRE[[#This Row],[AP]])</f>
        <v>1.3715417376368748</v>
      </c>
      <c r="H5" t="s">
        <v>2</v>
      </c>
      <c r="I5">
        <f>SUM(ABS(TableBRE[[#This Row],[PP]]-TableBRE[[#This Row],[AP]]))</f>
        <v>1.3715417376368748</v>
      </c>
    </row>
    <row r="6" spans="1:9" x14ac:dyDescent="0.2">
      <c r="A6" t="s">
        <v>47</v>
      </c>
      <c r="B6">
        <v>28.723404255319139</v>
      </c>
      <c r="C6">
        <v>25.240409843771321</v>
      </c>
      <c r="D6">
        <f>TableBRE[[#This Row],[ARIMAPP]]*$I$2+TableBRE[[#This Row],[LSTMPP]]*$I$3</f>
        <v>26.499559802216677</v>
      </c>
      <c r="E6">
        <v>34</v>
      </c>
      <c r="F6">
        <f>ABS(TableBRE[[#This Row],[PP]]-TableBRE[[#This Row],[AP]])</f>
        <v>7.5004401977833233</v>
      </c>
    </row>
    <row r="7" spans="1:9" x14ac:dyDescent="0.2">
      <c r="A7" t="s">
        <v>48</v>
      </c>
      <c r="B7">
        <v>30.14257943717794</v>
      </c>
      <c r="C7">
        <v>37.69916427819922</v>
      </c>
      <c r="D7">
        <f>TableBRE[[#This Row],[ARIMAPP]]*$I$2+TableBRE[[#This Row],[LSTMPP]]*$I$3</f>
        <v>34.829403815884014</v>
      </c>
      <c r="E7">
        <v>42</v>
      </c>
      <c r="F7">
        <f>ABS(TableBRE[[#This Row],[PP]]-TableBRE[[#This Row],[AP]])</f>
        <v>7.1705961841159862</v>
      </c>
      <c r="H7" t="s">
        <v>3</v>
      </c>
      <c r="I7">
        <f>AVERAGE(TableBRE[DIFF])/10</f>
        <v>0.68804137155290268</v>
      </c>
    </row>
    <row r="8" spans="1:9" x14ac:dyDescent="0.2">
      <c r="A8" t="s">
        <v>49</v>
      </c>
      <c r="B8">
        <v>33.503160476661243</v>
      </c>
      <c r="C8">
        <v>23.508136741759539</v>
      </c>
      <c r="D8">
        <f>TableBRE[[#This Row],[ARIMAPP]]*$I$2+TableBRE[[#This Row],[LSTMPP]]*$I$3</f>
        <v>27.194468716247464</v>
      </c>
      <c r="E8">
        <v>22</v>
      </c>
      <c r="F8">
        <f>ABS(TableBRE[[#This Row],[PP]]-TableBRE[[#This Row],[AP]])</f>
        <v>5.1944687162474636</v>
      </c>
    </row>
    <row r="9" spans="1:9" x14ac:dyDescent="0.2">
      <c r="A9" t="s">
        <v>50</v>
      </c>
      <c r="B9">
        <v>18.96551724137932</v>
      </c>
      <c r="C9">
        <v>18.30405520037397</v>
      </c>
      <c r="D9">
        <f>TableBRE[[#This Row],[ARIMAPP]]*$I$2+TableBRE[[#This Row],[LSTMPP]]*$I$3</f>
        <v>18.52302465309301</v>
      </c>
      <c r="E9">
        <v>34</v>
      </c>
      <c r="F9">
        <f>ABS(TableBRE[[#This Row],[PP]]-TableBRE[[#This Row],[AP]])</f>
        <v>15.47697534690699</v>
      </c>
    </row>
    <row r="10" spans="1:9" x14ac:dyDescent="0.2">
      <c r="A10" t="s">
        <v>51</v>
      </c>
      <c r="B10">
        <v>24.51612903225805</v>
      </c>
      <c r="C10">
        <v>18.768155115512869</v>
      </c>
      <c r="D10">
        <f>TableBRE[[#This Row],[ARIMAPP]]*$I$2+TableBRE[[#This Row],[LSTMPP]]*$I$3</f>
        <v>20.880272429549599</v>
      </c>
      <c r="E10">
        <v>21</v>
      </c>
      <c r="F10">
        <f>ABS(TableBRE[[#This Row],[PP]]-TableBRE[[#This Row],[AP]])</f>
        <v>0.11972757045040083</v>
      </c>
    </row>
    <row r="11" spans="1:9" x14ac:dyDescent="0.2">
      <c r="A11" t="s">
        <v>52</v>
      </c>
      <c r="B11">
        <v>18.738606224283942</v>
      </c>
      <c r="C11">
        <v>21.31195380369887</v>
      </c>
      <c r="D11">
        <f>TableBRE[[#This Row],[ARIMAPP]]*$I$2+TableBRE[[#This Row],[LSTMPP]]*$I$3</f>
        <v>20.322031882759362</v>
      </c>
      <c r="E11">
        <v>26</v>
      </c>
      <c r="F11">
        <f>ABS(TableBRE[[#This Row],[PP]]-TableBRE[[#This Row],[AP]])</f>
        <v>5.6779681172406384</v>
      </c>
    </row>
    <row r="12" spans="1:9" x14ac:dyDescent="0.2">
      <c r="A12" t="s">
        <v>53</v>
      </c>
      <c r="B12">
        <v>30.319466775986221</v>
      </c>
      <c r="C12">
        <v>30.707429519989279</v>
      </c>
      <c r="D12">
        <f>TableBRE[[#This Row],[ARIMAPP]]*$I$2+TableBRE[[#This Row],[LSTMPP]]*$I$3</f>
        <v>30.517164818099438</v>
      </c>
      <c r="E12">
        <v>35</v>
      </c>
      <c r="F12">
        <f>ABS(TableBRE[[#This Row],[PP]]-TableBRE[[#This Row],[AP]])</f>
        <v>4.4828351819005618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54</v>
      </c>
      <c r="B2">
        <v>31.173184357541931</v>
      </c>
      <c r="C2">
        <v>30.28023463399688</v>
      </c>
      <c r="D2">
        <f>TableBHA[[#This Row],[ARIMAPP]]*$I$2+TableBHA[[#This Row],[LSTMPP]]*$I$3</f>
        <v>36.850375887284955</v>
      </c>
      <c r="E2">
        <v>41</v>
      </c>
      <c r="F2">
        <f>ABS(TableBHA[[#This Row],[PP]]-TableBHA[[#This Row],[AP]])</f>
        <v>4.1496241127150455</v>
      </c>
      <c r="H2" t="s">
        <v>0</v>
      </c>
      <c r="I2">
        <v>1.1821177928</v>
      </c>
    </row>
    <row r="3" spans="1:9" x14ac:dyDescent="0.2">
      <c r="A3" t="s">
        <v>55</v>
      </c>
      <c r="B3">
        <v>41.824888628212591</v>
      </c>
      <c r="C3">
        <v>31.324827110120211</v>
      </c>
      <c r="D3">
        <f>TableBHA[[#This Row],[ARIMAPP]]*$I$2+TableBHA[[#This Row],[LSTMPP]]*$I$3</f>
        <v>49.441945029288483</v>
      </c>
      <c r="E3">
        <v>45</v>
      </c>
      <c r="F3">
        <f>ABS(TableBHA[[#This Row],[PP]]-TableBHA[[#This Row],[AP]])</f>
        <v>4.4419450292884832</v>
      </c>
      <c r="H3" t="s">
        <v>1</v>
      </c>
      <c r="I3">
        <v>0</v>
      </c>
    </row>
    <row r="4" spans="1:9" x14ac:dyDescent="0.2">
      <c r="A4" t="s">
        <v>56</v>
      </c>
      <c r="B4">
        <v>29.893218725329699</v>
      </c>
      <c r="C4">
        <v>32.733302303793813</v>
      </c>
      <c r="D4">
        <f>TableBHA[[#This Row],[ARIMAPP]]*$I$2+TableBHA[[#This Row],[LSTMPP]]*$I$3</f>
        <v>35.33730573927437</v>
      </c>
      <c r="E4">
        <v>30</v>
      </c>
      <c r="F4">
        <f>ABS(TableBHA[[#This Row],[PP]]-TableBHA[[#This Row],[AP]])</f>
        <v>5.3373057392743704</v>
      </c>
    </row>
    <row r="5" spans="1:9" x14ac:dyDescent="0.2">
      <c r="A5" t="s">
        <v>57</v>
      </c>
      <c r="B5">
        <v>23.829787234042541</v>
      </c>
      <c r="C5">
        <v>20.944876489575151</v>
      </c>
      <c r="D5">
        <f>TableBHA[[#This Row],[ARIMAPP]]*$I$2+TableBHA[[#This Row],[LSTMPP]]*$I$3</f>
        <v>28.169615487999984</v>
      </c>
      <c r="E5">
        <v>39</v>
      </c>
      <c r="F5">
        <f>ABS(TableBHA[[#This Row],[PP]]-TableBHA[[#This Row],[AP]])</f>
        <v>10.830384512000016</v>
      </c>
      <c r="H5" t="s">
        <v>2</v>
      </c>
      <c r="I5">
        <f>SUM(ABS(TableBHA[[#This Row],[PP]]-TableBHA[[#This Row],[AP]]))</f>
        <v>10.830384512000016</v>
      </c>
    </row>
    <row r="6" spans="1:9" x14ac:dyDescent="0.2">
      <c r="A6" t="s">
        <v>58</v>
      </c>
      <c r="B6">
        <v>17.3393630080446</v>
      </c>
      <c r="C6">
        <v>11.99695694576187</v>
      </c>
      <c r="D6">
        <f>TableBHA[[#This Row],[ARIMAPP]]*$I$2+TableBHA[[#This Row],[LSTMPP]]*$I$3</f>
        <v>20.497169527627651</v>
      </c>
      <c r="E6">
        <v>24</v>
      </c>
      <c r="F6">
        <f>ABS(TableBHA[[#This Row],[PP]]-TableBHA[[#This Row],[AP]])</f>
        <v>3.5028304723723487</v>
      </c>
    </row>
    <row r="7" spans="1:9" x14ac:dyDescent="0.2">
      <c r="A7" t="s">
        <v>59</v>
      </c>
      <c r="B7">
        <v>20.434782608695649</v>
      </c>
      <c r="C7">
        <v>23.195626378219611</v>
      </c>
      <c r="D7">
        <f>TableBHA[[#This Row],[ARIMAPP]]*$I$2+TableBHA[[#This Row],[LSTMPP]]*$I$3</f>
        <v>24.156320113739124</v>
      </c>
      <c r="E7">
        <v>25</v>
      </c>
      <c r="F7">
        <f>ABS(TableBHA[[#This Row],[PP]]-TableBHA[[#This Row],[AP]])</f>
        <v>0.84367988626087609</v>
      </c>
      <c r="H7" t="s">
        <v>3</v>
      </c>
      <c r="I7">
        <f>AVERAGE(TableBHA[DIFF])/10</f>
        <v>0.47220894807607</v>
      </c>
    </row>
    <row r="8" spans="1:9" x14ac:dyDescent="0.2">
      <c r="A8" t="s">
        <v>60</v>
      </c>
      <c r="B8">
        <v>30.410553696399589</v>
      </c>
      <c r="C8">
        <v>33.39282793388368</v>
      </c>
      <c r="D8">
        <f>TableBHA[[#This Row],[ARIMAPP]]*$I$2+TableBHA[[#This Row],[LSTMPP]]*$I$3</f>
        <v>35.94885661341376</v>
      </c>
      <c r="E8">
        <v>32</v>
      </c>
      <c r="F8">
        <f>ABS(TableBHA[[#This Row],[PP]]-TableBHA[[#This Row],[AP]])</f>
        <v>3.9488566134137599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61</v>
      </c>
      <c r="B2">
        <v>23.70161740360377</v>
      </c>
      <c r="C2">
        <v>21.27833952744243</v>
      </c>
      <c r="D2">
        <f>TableBUR[[#This Row],[ARIMAPP]]*$I$2+TableBUR[[#This Row],[LSTMPP]]*$I$3</f>
        <v>26.065470057830716</v>
      </c>
      <c r="E2">
        <v>22</v>
      </c>
      <c r="F2">
        <f>ABS(TableBUR[[#This Row],[PP]]-TableBUR[[#This Row],[AP]])</f>
        <v>4.0654700578307157</v>
      </c>
      <c r="H2" t="s">
        <v>0</v>
      </c>
      <c r="I2">
        <v>1.099733812</v>
      </c>
    </row>
    <row r="3" spans="1:9" x14ac:dyDescent="0.2">
      <c r="A3" t="s">
        <v>62</v>
      </c>
      <c r="B3">
        <v>15.111111111111111</v>
      </c>
      <c r="C3">
        <v>11.766699821191709</v>
      </c>
      <c r="D3">
        <f>TableBUR[[#This Row],[ARIMAPP]]*$I$2+TableBUR[[#This Row],[LSTMPP]]*$I$3</f>
        <v>16.618199825777776</v>
      </c>
      <c r="E3">
        <v>24</v>
      </c>
      <c r="F3">
        <f>ABS(TableBUR[[#This Row],[PP]]-TableBUR[[#This Row],[AP]])</f>
        <v>7.3818001742222243</v>
      </c>
      <c r="H3" t="s">
        <v>1</v>
      </c>
      <c r="I3">
        <v>0</v>
      </c>
    </row>
    <row r="4" spans="1:9" x14ac:dyDescent="0.2">
      <c r="A4" t="s">
        <v>63</v>
      </c>
      <c r="B4">
        <v>18.235294117647062</v>
      </c>
      <c r="C4">
        <v>15.34199597587183</v>
      </c>
      <c r="D4">
        <f>TableBUR[[#This Row],[ARIMAPP]]*$I$2+TableBUR[[#This Row],[LSTMPP]]*$I$3</f>
        <v>20.05396951294118</v>
      </c>
      <c r="E4">
        <v>37</v>
      </c>
      <c r="F4">
        <f>ABS(TableBUR[[#This Row],[PP]]-TableBUR[[#This Row],[AP]])</f>
        <v>16.94603048705882</v>
      </c>
    </row>
    <row r="5" spans="1:9" x14ac:dyDescent="0.2">
      <c r="A5" t="s">
        <v>64</v>
      </c>
      <c r="B5">
        <v>32.666666666666657</v>
      </c>
      <c r="C5">
        <v>40.294407374555917</v>
      </c>
      <c r="D5">
        <f>TableBUR[[#This Row],[ARIMAPP]]*$I$2+TableBUR[[#This Row],[LSTMPP]]*$I$3</f>
        <v>35.924637858666657</v>
      </c>
      <c r="E5">
        <v>26</v>
      </c>
      <c r="F5">
        <f>ABS(TableBUR[[#This Row],[PP]]-TableBUR[[#This Row],[AP]])</f>
        <v>9.9246378586666566</v>
      </c>
      <c r="H5" t="s">
        <v>2</v>
      </c>
      <c r="I5">
        <f>SUM(ABS(TableBUR[[#This Row],[PP]]-TableBUR[[#This Row],[AP]]))</f>
        <v>9.9246378586666566</v>
      </c>
    </row>
    <row r="7" spans="1:9" x14ac:dyDescent="0.2">
      <c r="H7" t="s">
        <v>3</v>
      </c>
      <c r="I7">
        <f>AVERAGE(TableBUR[DIFF])/10</f>
        <v>0.95794846444446047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65</v>
      </c>
      <c r="B2">
        <v>43.66596899316071</v>
      </c>
      <c r="C2">
        <v>55.148437276432858</v>
      </c>
      <c r="D2">
        <f>TableCHE[[#This Row],[ARIMAPP]]*$I$2+TableCHE[[#This Row],[LSTMPP]]*$I$3</f>
        <v>45.05173943029812</v>
      </c>
      <c r="E2">
        <v>27</v>
      </c>
      <c r="F2">
        <f>ABS(TableCHE[[#This Row],[PP]]-TableCHE[[#This Row],[AP]])</f>
        <v>18.05173943029812</v>
      </c>
      <c r="H2" t="s">
        <v>0</v>
      </c>
      <c r="I2">
        <v>1.0317357079</v>
      </c>
    </row>
    <row r="3" spans="1:9" x14ac:dyDescent="0.2">
      <c r="A3" t="s">
        <v>66</v>
      </c>
      <c r="B3">
        <v>28.112101011212172</v>
      </c>
      <c r="C3">
        <v>28.668512550597359</v>
      </c>
      <c r="D3">
        <f>TableCHE[[#This Row],[ARIMAPP]]*$I$2+TableCHE[[#This Row],[LSTMPP]]*$I$3</f>
        <v>29.004258437359297</v>
      </c>
      <c r="E3">
        <v>44</v>
      </c>
      <c r="F3">
        <f>ABS(TableCHE[[#This Row],[PP]]-TableCHE[[#This Row],[AP]])</f>
        <v>14.995741562640703</v>
      </c>
      <c r="H3" t="s">
        <v>1</v>
      </c>
      <c r="I3">
        <v>0</v>
      </c>
    </row>
    <row r="4" spans="1:9" x14ac:dyDescent="0.2">
      <c r="A4" t="s">
        <v>67</v>
      </c>
      <c r="B4">
        <v>33.943661971830991</v>
      </c>
      <c r="C4">
        <v>32.980775250725529</v>
      </c>
      <c r="D4">
        <f>TableCHE[[#This Row],[ARIMAPP]]*$I$2+TableCHE[[#This Row],[LSTMPP]]*$I$3</f>
        <v>35.020888113225361</v>
      </c>
      <c r="E4">
        <v>35</v>
      </c>
      <c r="F4">
        <f>ABS(TableCHE[[#This Row],[PP]]-TableCHE[[#This Row],[AP]])</f>
        <v>2.0888113225360883E-2</v>
      </c>
    </row>
    <row r="5" spans="1:9" x14ac:dyDescent="0.2">
      <c r="A5" t="s">
        <v>68</v>
      </c>
      <c r="B5">
        <v>28.275862068965509</v>
      </c>
      <c r="C5">
        <v>15.916020573875951</v>
      </c>
      <c r="D5">
        <f>TableCHE[[#This Row],[ARIMAPP]]*$I$2+TableCHE[[#This Row],[LSTMPP]]*$I$3</f>
        <v>29.17321656820689</v>
      </c>
      <c r="E5">
        <v>23</v>
      </c>
      <c r="F5">
        <f>ABS(TableCHE[[#This Row],[PP]]-TableCHE[[#This Row],[AP]])</f>
        <v>6.1732165682068896</v>
      </c>
      <c r="H5" t="s">
        <v>2</v>
      </c>
      <c r="I5">
        <f>SUM(ABS(TableCHE[[#This Row],[PP]]-TableCHE[[#This Row],[AP]]))</f>
        <v>6.1732165682068896</v>
      </c>
    </row>
    <row r="6" spans="1:9" x14ac:dyDescent="0.2">
      <c r="A6" t="s">
        <v>69</v>
      </c>
      <c r="B6">
        <v>23.793103448275861</v>
      </c>
      <c r="C6">
        <v>25.557313109672041</v>
      </c>
      <c r="D6">
        <f>TableCHE[[#This Row],[ARIMAPP]]*$I$2+TableCHE[[#This Row],[LSTMPP]]*$I$3</f>
        <v>24.548194429344829</v>
      </c>
      <c r="E6">
        <v>33</v>
      </c>
      <c r="F6">
        <f>ABS(TableCHE[[#This Row],[PP]]-TableCHE[[#This Row],[AP]])</f>
        <v>8.4518055706551714</v>
      </c>
    </row>
    <row r="7" spans="1:9" x14ac:dyDescent="0.2">
      <c r="A7" t="s">
        <v>70</v>
      </c>
      <c r="B7">
        <v>25.588235294117641</v>
      </c>
      <c r="C7">
        <v>23.39885865887581</v>
      </c>
      <c r="D7">
        <f>TableCHE[[#This Row],[ARIMAPP]]*$I$2+TableCHE[[#This Row],[LSTMPP]]*$I$3</f>
        <v>26.40029605508823</v>
      </c>
      <c r="E7">
        <v>30</v>
      </c>
      <c r="F7">
        <f>ABS(TableCHE[[#This Row],[PP]]-TableCHE[[#This Row],[AP]])</f>
        <v>3.59970394491177</v>
      </c>
      <c r="H7" t="s">
        <v>3</v>
      </c>
      <c r="I7">
        <f>AVERAGE(TableCHE[DIFF])/10</f>
        <v>0.83505506871791135</v>
      </c>
    </row>
    <row r="8" spans="1:9" x14ac:dyDescent="0.2">
      <c r="A8" t="s">
        <v>71</v>
      </c>
      <c r="B8">
        <v>34.736842105263158</v>
      </c>
      <c r="C8">
        <v>31.488134884636501</v>
      </c>
      <c r="D8">
        <f>TableCHE[[#This Row],[ARIMAPP]]*$I$2+TableCHE[[#This Row],[LSTMPP]]*$I$3</f>
        <v>35.839240379684213</v>
      </c>
      <c r="E8">
        <v>43</v>
      </c>
      <c r="F8">
        <f>ABS(TableCHE[[#This Row],[PP]]-TableCHE[[#This Row],[AP]])</f>
        <v>7.1607596203157868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72</v>
      </c>
      <c r="B2">
        <v>18.01407054663833</v>
      </c>
      <c r="C2">
        <v>19.79707053255564</v>
      </c>
      <c r="D2">
        <f>TableCRY[[#This Row],[ARIMAPP]]*$I$2+TableCRY[[#This Row],[LSTMPP]]*$I$3</f>
        <v>24.670552090460028</v>
      </c>
      <c r="E2">
        <v>24</v>
      </c>
      <c r="F2">
        <f>ABS(TableCRY[[#This Row],[PP]]-TableCRY[[#This Row],[AP]])</f>
        <v>0.67055209046002773</v>
      </c>
      <c r="H2" t="s">
        <v>0</v>
      </c>
      <c r="I2">
        <v>1.3695156809</v>
      </c>
    </row>
    <row r="3" spans="1:9" x14ac:dyDescent="0.2">
      <c r="A3" t="s">
        <v>73</v>
      </c>
      <c r="B3">
        <v>27.657142857142851</v>
      </c>
      <c r="C3">
        <v>25.708742441683331</v>
      </c>
      <c r="D3">
        <f>TableCRY[[#This Row],[ARIMAPP]]*$I$2+TableCRY[[#This Row],[LSTMPP]]*$I$3</f>
        <v>37.876890831748561</v>
      </c>
      <c r="E3">
        <v>40</v>
      </c>
      <c r="F3">
        <f>ABS(TableCRY[[#This Row],[PP]]-TableCRY[[#This Row],[AP]])</f>
        <v>2.1231091682514389</v>
      </c>
      <c r="H3" t="s">
        <v>1</v>
      </c>
      <c r="I3">
        <v>0</v>
      </c>
    </row>
    <row r="4" spans="1:9" x14ac:dyDescent="0.2">
      <c r="A4" t="s">
        <v>74</v>
      </c>
      <c r="B4">
        <v>30.874892184742411</v>
      </c>
      <c r="C4">
        <v>27.66968389636726</v>
      </c>
      <c r="D4">
        <f>TableCRY[[#This Row],[ARIMAPP]]*$I$2+TableCRY[[#This Row],[LSTMPP]]*$I$3</f>
        <v>42.283648993101593</v>
      </c>
      <c r="E4">
        <v>34</v>
      </c>
      <c r="F4">
        <f>ABS(TableCRY[[#This Row],[PP]]-TableCRY[[#This Row],[AP]])</f>
        <v>8.2836489931015933</v>
      </c>
    </row>
    <row r="5" spans="1:9" x14ac:dyDescent="0.2">
      <c r="A5" t="s">
        <v>75</v>
      </c>
      <c r="B5">
        <v>35.913978494623649</v>
      </c>
      <c r="C5">
        <v>29.969182428344631</v>
      </c>
      <c r="D5">
        <f>TableCRY[[#This Row],[ARIMAPP]]*$I$2+TableCRY[[#This Row],[LSTMPP]]*$I$3</f>
        <v>49.184756711892462</v>
      </c>
      <c r="E5">
        <v>56</v>
      </c>
      <c r="F5">
        <f>ABS(TableCRY[[#This Row],[PP]]-TableCRY[[#This Row],[AP]])</f>
        <v>6.8152432881075384</v>
      </c>
      <c r="H5" t="s">
        <v>2</v>
      </c>
      <c r="I5">
        <f>SUM(ABS(TableCRY[[#This Row],[PP]]-TableCRY[[#This Row],[AP]]))</f>
        <v>6.8152432881075384</v>
      </c>
    </row>
    <row r="6" spans="1:9" x14ac:dyDescent="0.2">
      <c r="A6" t="s">
        <v>76</v>
      </c>
      <c r="B6">
        <v>28.184537256525999</v>
      </c>
      <c r="C6">
        <v>30.003449450714129</v>
      </c>
      <c r="D6">
        <f>TableCRY[[#This Row],[ARIMAPP]]*$I$2+TableCRY[[#This Row],[LSTMPP]]*$I$3</f>
        <v>38.599165731722621</v>
      </c>
      <c r="E6">
        <v>30</v>
      </c>
      <c r="F6">
        <f>ABS(TableCRY[[#This Row],[PP]]-TableCRY[[#This Row],[AP]])</f>
        <v>8.5991657317226213</v>
      </c>
    </row>
    <row r="7" spans="1:9" x14ac:dyDescent="0.2">
      <c r="A7" t="s">
        <v>77</v>
      </c>
      <c r="B7">
        <v>22.8</v>
      </c>
      <c r="C7">
        <v>20.686008921082351</v>
      </c>
      <c r="D7">
        <f>TableCRY[[#This Row],[ARIMAPP]]*$I$2+TableCRY[[#This Row],[LSTMPP]]*$I$3</f>
        <v>31.224957524520001</v>
      </c>
      <c r="E7">
        <v>54</v>
      </c>
      <c r="F7">
        <f>ABS(TableCRY[[#This Row],[PP]]-TableCRY[[#This Row],[AP]])</f>
        <v>22.775042475479999</v>
      </c>
      <c r="H7" t="s">
        <v>3</v>
      </c>
      <c r="I7">
        <f>AVERAGE(TableCRY[DIFF])/10</f>
        <v>0.87406069246591112</v>
      </c>
    </row>
    <row r="8" spans="1:9" x14ac:dyDescent="0.2">
      <c r="A8" t="s">
        <v>78</v>
      </c>
      <c r="B8">
        <v>26.226415094339622</v>
      </c>
      <c r="C8">
        <v>27.58842676013419</v>
      </c>
      <c r="D8">
        <f>TableCRY[[#This Row],[ARIMAPP]]*$I$2+TableCRY[[#This Row],[LSTMPP]]*$I$3</f>
        <v>35.917486725490562</v>
      </c>
      <c r="E8">
        <v>24</v>
      </c>
      <c r="F8">
        <f>ABS(TableCRY[[#This Row],[PP]]-TableCRY[[#This Row],[AP]])</f>
        <v>11.917486725490562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79</v>
      </c>
      <c r="B2">
        <v>32.317073170731717</v>
      </c>
      <c r="C2">
        <v>24.37869686908882</v>
      </c>
      <c r="D2">
        <f>TableEVE[[#This Row],[ARIMAPP]]*$I$2+TableEVE[[#This Row],[LSTMPP]]*$I$3</f>
        <v>27.133648937352014</v>
      </c>
      <c r="E2">
        <v>22</v>
      </c>
      <c r="F2">
        <f>ABS(TableEVE[[#This Row],[PP]]-TableEVE[[#This Row],[AP]])</f>
        <v>5.1336489373520138</v>
      </c>
      <c r="H2" t="s">
        <v>0</v>
      </c>
      <c r="I2">
        <v>0.57186778302999997</v>
      </c>
    </row>
    <row r="3" spans="1:9" x14ac:dyDescent="0.2">
      <c r="A3" t="s">
        <v>80</v>
      </c>
      <c r="B3">
        <v>35.692307692307637</v>
      </c>
      <c r="C3">
        <v>36.969200041046591</v>
      </c>
      <c r="D3">
        <f>TableEVE[[#This Row],[ARIMAPP]]*$I$2+TableEVE[[#This Row],[LSTMPP]]*$I$3</f>
        <v>33.532493767449893</v>
      </c>
      <c r="E3">
        <v>34</v>
      </c>
      <c r="F3">
        <f>ABS(TableEVE[[#This Row],[PP]]-TableEVE[[#This Row],[AP]])</f>
        <v>0.46750623255010737</v>
      </c>
      <c r="H3" t="s">
        <v>1</v>
      </c>
      <c r="I3">
        <v>0.35492282445000001</v>
      </c>
    </row>
    <row r="4" spans="1:9" x14ac:dyDescent="0.2">
      <c r="A4" t="s">
        <v>81</v>
      </c>
      <c r="B4">
        <v>33.812254332942643</v>
      </c>
      <c r="C4">
        <v>37.418136066914983</v>
      </c>
      <c r="D4">
        <f>TableEVE[[#This Row],[ARIMAPP]]*$I$2+TableEVE[[#This Row],[LSTMPP]]*$I$3</f>
        <v>32.616689463150294</v>
      </c>
      <c r="E4">
        <v>36</v>
      </c>
      <c r="F4">
        <f>ABS(TableEVE[[#This Row],[PP]]-TableEVE[[#This Row],[AP]])</f>
        <v>3.3833105368497058</v>
      </c>
    </row>
    <row r="5" spans="1:9" x14ac:dyDescent="0.2">
      <c r="A5" t="s">
        <v>82</v>
      </c>
      <c r="B5">
        <v>31.56424581005589</v>
      </c>
      <c r="C5">
        <v>26.50766254190156</v>
      </c>
      <c r="D5">
        <f>TableEVE[[#This Row],[ARIMAPP]]*$I$2+TableEVE[[#This Row],[LSTMPP]]*$I$3</f>
        <v>27.458749733349794</v>
      </c>
      <c r="E5">
        <v>33</v>
      </c>
      <c r="F5">
        <f>ABS(TableEVE[[#This Row],[PP]]-TableEVE[[#This Row],[AP]])</f>
        <v>5.5412502666502057</v>
      </c>
      <c r="H5" t="s">
        <v>2</v>
      </c>
      <c r="I5">
        <f>SUM(ABS(TableEVE[[#This Row],[PP]]-TableEVE[[#This Row],[AP]]))</f>
        <v>5.5412502666502057</v>
      </c>
    </row>
    <row r="6" spans="1:9" x14ac:dyDescent="0.2">
      <c r="A6" t="s">
        <v>83</v>
      </c>
      <c r="B6">
        <v>20.280287083051899</v>
      </c>
      <c r="C6">
        <v>25.150194660136449</v>
      </c>
      <c r="D6">
        <f>TableEVE[[#This Row],[ARIMAPP]]*$I$2+TableEVE[[#This Row],[LSTMPP]]*$I$3</f>
        <v>20.524020937639772</v>
      </c>
      <c r="E6">
        <v>22</v>
      </c>
      <c r="F6">
        <f>ABS(TableEVE[[#This Row],[PP]]-TableEVE[[#This Row],[AP]])</f>
        <v>1.4759790623602278</v>
      </c>
    </row>
    <row r="7" spans="1:9" x14ac:dyDescent="0.2">
      <c r="A7" t="s">
        <v>84</v>
      </c>
      <c r="B7">
        <v>30.60982751572876</v>
      </c>
      <c r="C7">
        <v>26.39672414554768</v>
      </c>
      <c r="D7">
        <f>TableEVE[[#This Row],[ARIMAPP]]*$I$2+TableEVE[[#This Row],[LSTMPP]]*$I$3</f>
        <v>26.873574090315792</v>
      </c>
      <c r="E7">
        <v>37</v>
      </c>
      <c r="F7">
        <f>ABS(TableEVE[[#This Row],[PP]]-TableEVE[[#This Row],[AP]])</f>
        <v>10.126425909684208</v>
      </c>
      <c r="H7" t="s">
        <v>3</v>
      </c>
      <c r="I7">
        <f>AVERAGE(TableEVE[DIFF])/10</f>
        <v>0.48706105738795669</v>
      </c>
    </row>
    <row r="8" spans="1:9" x14ac:dyDescent="0.2">
      <c r="A8" t="s">
        <v>85</v>
      </c>
      <c r="B8">
        <v>39.316239316239297</v>
      </c>
      <c r="C8">
        <v>38.69978682005695</v>
      </c>
      <c r="D8">
        <f>TableEVE[[#This Row],[ARIMAPP]]*$I$2+TableEVE[[#This Row],[LSTMPP]]*$I$3</f>
        <v>36.219128258642186</v>
      </c>
      <c r="E8">
        <v>25</v>
      </c>
      <c r="F8">
        <f>ABS(TableEVE[[#This Row],[PP]]-TableEVE[[#This Row],[AP]])</f>
        <v>11.219128258642186</v>
      </c>
    </row>
    <row r="9" spans="1:9" x14ac:dyDescent="0.2">
      <c r="A9" t="s">
        <v>86</v>
      </c>
      <c r="B9">
        <v>24.042567411115229</v>
      </c>
      <c r="C9">
        <v>22.169511570289451</v>
      </c>
      <c r="D9">
        <f>TableEVE[[#This Row],[ARIMAPP]]*$I$2+TableEVE[[#This Row],[LSTMPP]]*$I$3</f>
        <v>21.617635386947878</v>
      </c>
      <c r="E9">
        <v>20</v>
      </c>
      <c r="F9">
        <f>ABS(TableEVE[[#This Row],[PP]]-TableEVE[[#This Row],[AP]])</f>
        <v>1.6176353869478781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2024-04-26T17:19:00Z</dcterms:created>
  <dcterms:modified xsi:type="dcterms:W3CDTF">2024-04-26T17:22:41Z</dcterms:modified>
</cp:coreProperties>
</file>