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GitHub/FPL-Predictor/Predictions/2023-24/"/>
    </mc:Choice>
  </mc:AlternateContent>
  <xr:revisionPtr revIDLastSave="0" documentId="13_ncr:1_{FB5BAB1E-85D7-3A49-96F2-E1B41DE642FF}" xr6:coauthVersionLast="47" xr6:coauthVersionMax="47" xr10:uidLastSave="{00000000-0000-0000-0000-000000000000}"/>
  <bookViews>
    <workbookView xWindow="240" yWindow="760" windowWidth="27080" windowHeight="199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42" i="1" l="1"/>
  <c r="AH142" i="1"/>
  <c r="AI141" i="1"/>
  <c r="AH141" i="1"/>
  <c r="AI89" i="1"/>
  <c r="AH89" i="1"/>
  <c r="AI113" i="1"/>
  <c r="AH113" i="1"/>
  <c r="AI138" i="1"/>
  <c r="AH138" i="1"/>
  <c r="AI137" i="1"/>
  <c r="AH137" i="1"/>
  <c r="AI136" i="1"/>
  <c r="AH136" i="1"/>
  <c r="AI135" i="1"/>
  <c r="AH135" i="1"/>
  <c r="AI134" i="1"/>
  <c r="AH134" i="1"/>
  <c r="AI133" i="1"/>
  <c r="AH133" i="1"/>
  <c r="AI132" i="1"/>
  <c r="AH132" i="1"/>
  <c r="AI131" i="1"/>
  <c r="AH131" i="1"/>
  <c r="AI130" i="1"/>
  <c r="AH130" i="1"/>
  <c r="AI129" i="1"/>
  <c r="AH129" i="1"/>
  <c r="AI128" i="1"/>
  <c r="AH128" i="1"/>
  <c r="AI127" i="1"/>
  <c r="AH127" i="1"/>
  <c r="AI126" i="1"/>
  <c r="AH126" i="1"/>
  <c r="AI125" i="1"/>
  <c r="AH125" i="1"/>
  <c r="AI124" i="1"/>
  <c r="AH124" i="1"/>
  <c r="AI123" i="1"/>
  <c r="AH123" i="1"/>
  <c r="AI122" i="1"/>
  <c r="AH122" i="1"/>
  <c r="AI121" i="1"/>
  <c r="AH121" i="1"/>
  <c r="AI120" i="1"/>
  <c r="AH120" i="1"/>
  <c r="AI119" i="1"/>
  <c r="AH119" i="1"/>
  <c r="AI118" i="1"/>
  <c r="AH118" i="1"/>
  <c r="AI117" i="1"/>
  <c r="AH117" i="1"/>
  <c r="AI116" i="1"/>
  <c r="AH116" i="1"/>
  <c r="AI115" i="1"/>
  <c r="AH115" i="1"/>
  <c r="AI92" i="1"/>
  <c r="AH92" i="1"/>
  <c r="AI114" i="1"/>
  <c r="AH114" i="1"/>
  <c r="AI112" i="1"/>
  <c r="AH112" i="1"/>
  <c r="AI111" i="1"/>
  <c r="AH111" i="1"/>
  <c r="AI110" i="1"/>
  <c r="AH110" i="1"/>
  <c r="AI109" i="1"/>
  <c r="AH109" i="1"/>
  <c r="AI108" i="1"/>
  <c r="AH108" i="1"/>
  <c r="AI107" i="1"/>
  <c r="AH107" i="1"/>
  <c r="AI106" i="1"/>
  <c r="AH106" i="1"/>
  <c r="AI105" i="1"/>
  <c r="AH105" i="1"/>
  <c r="AI104" i="1"/>
  <c r="AH104" i="1"/>
  <c r="AI103" i="1"/>
  <c r="AH103" i="1"/>
  <c r="AI45" i="1"/>
  <c r="AH45" i="1"/>
  <c r="AI101" i="1"/>
  <c r="AH101" i="1"/>
  <c r="AI100" i="1"/>
  <c r="AH100" i="1"/>
  <c r="AI99" i="1"/>
  <c r="AH99" i="1"/>
  <c r="AI98" i="1"/>
  <c r="AH98" i="1"/>
  <c r="AI97" i="1"/>
  <c r="AH97" i="1"/>
  <c r="AI96" i="1"/>
  <c r="AH96" i="1"/>
  <c r="AI95" i="1"/>
  <c r="AH95" i="1"/>
  <c r="AI94" i="1"/>
  <c r="AH94" i="1"/>
  <c r="AI93" i="1"/>
  <c r="AH93" i="1"/>
  <c r="AI44" i="1"/>
  <c r="AH44" i="1"/>
  <c r="AI91" i="1"/>
  <c r="AH91" i="1"/>
  <c r="AI139" i="1"/>
  <c r="AH139" i="1"/>
  <c r="AI11" i="1"/>
  <c r="AH11" i="1"/>
  <c r="AI88" i="1"/>
  <c r="AH88" i="1"/>
  <c r="AI87" i="1"/>
  <c r="AH87" i="1"/>
  <c r="AI86" i="1"/>
  <c r="AH86" i="1"/>
  <c r="AI85" i="1"/>
  <c r="AH85" i="1"/>
  <c r="AI84" i="1"/>
  <c r="AH84" i="1"/>
  <c r="AI83" i="1"/>
  <c r="AH83" i="1"/>
  <c r="AI82" i="1"/>
  <c r="AH82" i="1"/>
  <c r="AI81" i="1"/>
  <c r="AH81" i="1"/>
  <c r="AI80" i="1"/>
  <c r="AH80" i="1"/>
  <c r="AI79" i="1"/>
  <c r="AH79" i="1"/>
  <c r="AI78" i="1"/>
  <c r="AH78" i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67" i="1"/>
  <c r="AH67" i="1"/>
  <c r="AI66" i="1"/>
  <c r="AH66" i="1"/>
  <c r="AI65" i="1"/>
  <c r="AH65" i="1"/>
  <c r="AI64" i="1"/>
  <c r="AH64" i="1"/>
  <c r="AI63" i="1"/>
  <c r="AH63" i="1"/>
  <c r="AI62" i="1"/>
  <c r="AH62" i="1"/>
  <c r="AI61" i="1"/>
  <c r="AH61" i="1"/>
  <c r="AI60" i="1"/>
  <c r="AH60" i="1"/>
  <c r="AI59" i="1"/>
  <c r="AH59" i="1"/>
  <c r="AI6" i="1"/>
  <c r="AH6" i="1"/>
  <c r="AI57" i="1"/>
  <c r="AH57" i="1"/>
  <c r="AI56" i="1"/>
  <c r="AH56" i="1"/>
  <c r="AI55" i="1"/>
  <c r="AH55" i="1"/>
  <c r="AI54" i="1"/>
  <c r="AH54" i="1"/>
  <c r="AI53" i="1"/>
  <c r="AH53" i="1"/>
  <c r="AI52" i="1"/>
  <c r="AH52" i="1"/>
  <c r="AI51" i="1"/>
  <c r="AH51" i="1"/>
  <c r="AI50" i="1"/>
  <c r="AH50" i="1"/>
  <c r="AI49" i="1"/>
  <c r="AH49" i="1"/>
  <c r="AI48" i="1"/>
  <c r="AH48" i="1"/>
  <c r="AI47" i="1"/>
  <c r="AH47" i="1"/>
  <c r="AI46" i="1"/>
  <c r="AH46" i="1"/>
  <c r="AI102" i="1"/>
  <c r="AH102" i="1"/>
  <c r="AI140" i="1"/>
  <c r="AH140" i="1"/>
  <c r="AI43" i="1"/>
  <c r="AH43" i="1"/>
  <c r="AI42" i="1"/>
  <c r="AH42" i="1"/>
  <c r="AI41" i="1"/>
  <c r="AH41" i="1"/>
  <c r="AI40" i="1"/>
  <c r="AH40" i="1"/>
  <c r="AI39" i="1"/>
  <c r="AH39" i="1"/>
  <c r="AI38" i="1"/>
  <c r="AH38" i="1"/>
  <c r="AO37" i="1"/>
  <c r="AI37" i="1"/>
  <c r="AH37" i="1"/>
  <c r="AO36" i="1"/>
  <c r="AI36" i="1"/>
  <c r="AH36" i="1"/>
  <c r="AO35" i="1"/>
  <c r="AI35" i="1"/>
  <c r="AH35" i="1"/>
  <c r="AO34" i="1"/>
  <c r="AI34" i="1"/>
  <c r="AH34" i="1"/>
  <c r="AO33" i="1"/>
  <c r="AI33" i="1"/>
  <c r="AH33" i="1"/>
  <c r="AO32" i="1"/>
  <c r="AI32" i="1"/>
  <c r="AH32" i="1"/>
  <c r="AO31" i="1"/>
  <c r="AI31" i="1"/>
  <c r="AH31" i="1"/>
  <c r="AO30" i="1"/>
  <c r="AI30" i="1"/>
  <c r="AH30" i="1"/>
  <c r="AO29" i="1"/>
  <c r="AI29" i="1"/>
  <c r="AH29" i="1"/>
  <c r="AO28" i="1"/>
  <c r="AI28" i="1"/>
  <c r="AH28" i="1"/>
  <c r="AO27" i="1"/>
  <c r="AI27" i="1"/>
  <c r="AH27" i="1"/>
  <c r="AO26" i="1"/>
  <c r="AI26" i="1"/>
  <c r="AH26" i="1"/>
  <c r="AO25" i="1"/>
  <c r="AI25" i="1"/>
  <c r="AH25" i="1"/>
  <c r="AO24" i="1"/>
  <c r="AI24" i="1"/>
  <c r="AH24" i="1"/>
  <c r="AO23" i="1"/>
  <c r="AI23" i="1"/>
  <c r="AH23" i="1"/>
  <c r="AO22" i="1"/>
  <c r="AI22" i="1"/>
  <c r="AH22" i="1"/>
  <c r="AO21" i="1"/>
  <c r="AI21" i="1"/>
  <c r="AH21" i="1"/>
  <c r="AO20" i="1"/>
  <c r="AI20" i="1"/>
  <c r="AH20" i="1"/>
  <c r="AO19" i="1"/>
  <c r="AI7" i="1"/>
  <c r="AH7" i="1"/>
  <c r="AO18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I12" i="1"/>
  <c r="AH12" i="1"/>
  <c r="AO11" i="1"/>
  <c r="AO14" i="1" s="1"/>
  <c r="AI90" i="1"/>
  <c r="AH90" i="1"/>
  <c r="AI10" i="1"/>
  <c r="AH10" i="1"/>
  <c r="AO9" i="1"/>
  <c r="AI9" i="1"/>
  <c r="AH9" i="1"/>
  <c r="AO8" i="1"/>
  <c r="AI8" i="1"/>
  <c r="AH8" i="1"/>
  <c r="AO7" i="1"/>
  <c r="AI19" i="1"/>
  <c r="AH19" i="1"/>
  <c r="AO6" i="1"/>
  <c r="AI58" i="1"/>
  <c r="AH58" i="1"/>
  <c r="AI5" i="1"/>
  <c r="AH5" i="1"/>
  <c r="AO4" i="1"/>
  <c r="AI4" i="1"/>
  <c r="AH4" i="1"/>
  <c r="AI3" i="1"/>
  <c r="AH3" i="1"/>
  <c r="AO2" i="1"/>
  <c r="AO16" i="1" s="1"/>
  <c r="AI2" i="1"/>
  <c r="AH2" i="1"/>
</calcChain>
</file>

<file path=xl/sharedStrings.xml><?xml version="1.0" encoding="utf-8"?>
<sst xmlns="http://schemas.openxmlformats.org/spreadsheetml/2006/main" count="774" uniqueCount="343">
  <si>
    <t>Total Points</t>
  </si>
  <si>
    <t>MAX</t>
  </si>
  <si>
    <t>Total Cost</t>
  </si>
  <si>
    <t>GKP</t>
  </si>
  <si>
    <t>DEF</t>
  </si>
  <si>
    <t>MID</t>
  </si>
  <si>
    <t>FWD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</si>
  <si>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</si>
  <si>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</si>
  <si>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</si>
  <si>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</si>
  <si>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</si>
  <si>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</si>
  <si>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</si>
  <si>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</si>
  <si>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</si>
  <si>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BUR</t>
  </si>
  <si>
    <t>CHE</t>
  </si>
  <si>
    <t>CRY</t>
  </si>
  <si>
    <t>EVE</t>
  </si>
  <si>
    <t>FUL</t>
  </si>
  <si>
    <t>LIV</t>
  </si>
  <si>
    <t>LUT</t>
  </si>
  <si>
    <t>MCI</t>
  </si>
  <si>
    <t>MUN</t>
  </si>
  <si>
    <t>NEW</t>
  </si>
  <si>
    <t>NFO</t>
  </si>
  <si>
    <t>SHU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</si>
  <si>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</si>
  <si>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</si>
  <si>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</si>
  <si>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</si>
  <si>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</si>
  <si>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</si>
  <si>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</si>
  <si>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</si>
  <si>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</si>
  <si>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</si>
  <si>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</si>
  <si>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PP</t>
  </si>
  <si>
    <t>NEXT</t>
  </si>
  <si>
    <t>Health</t>
  </si>
  <si>
    <t>PREV</t>
  </si>
  <si>
    <t>Selected</t>
  </si>
  <si>
    <t>Gabriel</t>
  </si>
  <si>
    <t>dos Santos Magalhães</t>
  </si>
  <si>
    <t>Kai</t>
  </si>
  <si>
    <t>Havertz</t>
  </si>
  <si>
    <t>Fernando de Jesus</t>
  </si>
  <si>
    <t>G.Jesus</t>
  </si>
  <si>
    <t>Martin</t>
  </si>
  <si>
    <t>Ødegaard</t>
  </si>
  <si>
    <t>Bukayo</t>
  </si>
  <si>
    <t>Saka</t>
  </si>
  <si>
    <t>William</t>
  </si>
  <si>
    <t>Saliba</t>
  </si>
  <si>
    <t>Leandro</t>
  </si>
  <si>
    <t>Trossard</t>
  </si>
  <si>
    <t>Benjamin</t>
  </si>
  <si>
    <t>White</t>
  </si>
  <si>
    <t>Oleksandr</t>
  </si>
  <si>
    <t>Zinchenko</t>
  </si>
  <si>
    <t>David</t>
  </si>
  <si>
    <t>Raya Martin</t>
  </si>
  <si>
    <t>Raya</t>
  </si>
  <si>
    <t>Declan</t>
  </si>
  <si>
    <t>Rice</t>
  </si>
  <si>
    <t>Leon</t>
  </si>
  <si>
    <t>Bailey</t>
  </si>
  <si>
    <t>Lucas</t>
  </si>
  <si>
    <t>Digne</t>
  </si>
  <si>
    <t>Ezri</t>
  </si>
  <si>
    <t>Konsa Ngoyo</t>
  </si>
  <si>
    <t>Konsa</t>
  </si>
  <si>
    <t>Emiliano</t>
  </si>
  <si>
    <t>Martínez Romero</t>
  </si>
  <si>
    <t>Martinez</t>
  </si>
  <si>
    <t>John</t>
  </si>
  <si>
    <t>McGinn</t>
  </si>
  <si>
    <t>Youri</t>
  </si>
  <si>
    <t>Tielemans</t>
  </si>
  <si>
    <t>Ollie</t>
  </si>
  <si>
    <t>Watkins</t>
  </si>
  <si>
    <t>Pau</t>
  </si>
  <si>
    <t>Torres</t>
  </si>
  <si>
    <t>Moussa</t>
  </si>
  <si>
    <t>Diaby</t>
  </si>
  <si>
    <t>Ryan</t>
  </si>
  <si>
    <t>Christie</t>
  </si>
  <si>
    <t>Lewis</t>
  </si>
  <si>
    <t>Cook</t>
  </si>
  <si>
    <t>L.Cook</t>
  </si>
  <si>
    <t>Justin</t>
  </si>
  <si>
    <t>Kluivert</t>
  </si>
  <si>
    <t>Norberto</t>
  </si>
  <si>
    <t>Murara Neto</t>
  </si>
  <si>
    <t>Neto</t>
  </si>
  <si>
    <t>Antoine</t>
  </si>
  <si>
    <t>Semenyo</t>
  </si>
  <si>
    <t>Marcos</t>
  </si>
  <si>
    <t>Senesi</t>
  </si>
  <si>
    <t>Adam</t>
  </si>
  <si>
    <t>Smith</t>
  </si>
  <si>
    <t>Dominic</t>
  </si>
  <si>
    <t>Solanke</t>
  </si>
  <si>
    <t>Marcus</t>
  </si>
  <si>
    <t>Tavernier</t>
  </si>
  <si>
    <t>Illia</t>
  </si>
  <si>
    <t>Zabarnyi</t>
  </si>
  <si>
    <t>Milos</t>
  </si>
  <si>
    <t>Kerkez</t>
  </si>
  <si>
    <t>Kristoffer</t>
  </si>
  <si>
    <t>Ajer</t>
  </si>
  <si>
    <t>Nathan</t>
  </si>
  <si>
    <t>Collins</t>
  </si>
  <si>
    <t>Mark</t>
  </si>
  <si>
    <t>Flekken</t>
  </si>
  <si>
    <t>Vitaly</t>
  </si>
  <si>
    <t>Janelt</t>
  </si>
  <si>
    <t>Mathias</t>
  </si>
  <si>
    <t>Jensen</t>
  </si>
  <si>
    <t>Keane</t>
  </si>
  <si>
    <t>Lewis-Potter</t>
  </si>
  <si>
    <t>Bryan</t>
  </si>
  <si>
    <t>Mbeumo</t>
  </si>
  <si>
    <t>Ethan</t>
  </si>
  <si>
    <t>Pinnock</t>
  </si>
  <si>
    <t>Mads</t>
  </si>
  <si>
    <t>Roerslev Rasmussen</t>
  </si>
  <si>
    <t>Roerslev</t>
  </si>
  <si>
    <t>Yoane</t>
  </si>
  <si>
    <t>Wissa</t>
  </si>
  <si>
    <t>Simon</t>
  </si>
  <si>
    <t>Adingra</t>
  </si>
  <si>
    <t>Dunk</t>
  </si>
  <si>
    <t>Pascal</t>
  </si>
  <si>
    <t>Groß</t>
  </si>
  <si>
    <t>Gross</t>
  </si>
  <si>
    <t>João Pedro</t>
  </si>
  <si>
    <t>Junqueira de Jesus</t>
  </si>
  <si>
    <t>Danny</t>
  </si>
  <si>
    <t>Welbeck</t>
  </si>
  <si>
    <t>Josh</t>
  </si>
  <si>
    <t>Brownhill</t>
  </si>
  <si>
    <t>Dara</t>
  </si>
  <si>
    <t>O'Shea</t>
  </si>
  <si>
    <t>Jacob</t>
  </si>
  <si>
    <t>Bruun Larsen</t>
  </si>
  <si>
    <t>Wilson</t>
  </si>
  <si>
    <t>Odobert</t>
  </si>
  <si>
    <t>Levi</t>
  </si>
  <si>
    <t>Colwill</t>
  </si>
  <si>
    <t>Enzo</t>
  </si>
  <si>
    <t>Fernández</t>
  </si>
  <si>
    <t>Conor</t>
  </si>
  <si>
    <t>Gallagher</t>
  </si>
  <si>
    <t>Mykhailo</t>
  </si>
  <si>
    <t>Mudryk</t>
  </si>
  <si>
    <t>Nicolas</t>
  </si>
  <si>
    <t>Jackson</t>
  </si>
  <si>
    <t>N.Jackson</t>
  </si>
  <si>
    <t>Thiago</t>
  </si>
  <si>
    <t>Emiliano da Silva</t>
  </si>
  <si>
    <t>T.Silva</t>
  </si>
  <si>
    <t>Cole</t>
  </si>
  <si>
    <t>Palmer</t>
  </si>
  <si>
    <t>Joachim</t>
  </si>
  <si>
    <t>Andersen</t>
  </si>
  <si>
    <t>Jordan</t>
  </si>
  <si>
    <t>Ayew</t>
  </si>
  <si>
    <t>J.Ayew</t>
  </si>
  <si>
    <t>Eberechi</t>
  </si>
  <si>
    <t>Eze</t>
  </si>
  <si>
    <t>Will</t>
  </si>
  <si>
    <t>Hughes</t>
  </si>
  <si>
    <t>Jefferson</t>
  </si>
  <si>
    <t>Lerma Solís</t>
  </si>
  <si>
    <t>Lerma</t>
  </si>
  <si>
    <t>Jean-Philippe</t>
  </si>
  <si>
    <t>Mateta</t>
  </si>
  <si>
    <t>Tyrick</t>
  </si>
  <si>
    <t>Mitchell</t>
  </si>
  <si>
    <t>Jarrad</t>
  </si>
  <si>
    <t>Branthwaite</t>
  </si>
  <si>
    <t>Calvert-Lewin</t>
  </si>
  <si>
    <t>Abdoulaye</t>
  </si>
  <si>
    <t>Doucouré</t>
  </si>
  <si>
    <t>A.Doucoure</t>
  </si>
  <si>
    <t>Dwight</t>
  </si>
  <si>
    <t>McNeil</t>
  </si>
  <si>
    <t>Vitalii</t>
  </si>
  <si>
    <t>Mykolenko</t>
  </si>
  <si>
    <t>Pickford</t>
  </si>
  <si>
    <t>James</t>
  </si>
  <si>
    <t>Tarkowski</t>
  </si>
  <si>
    <t>Alex</t>
  </si>
  <si>
    <t>Iwobi</t>
  </si>
  <si>
    <t>Andreas</t>
  </si>
  <si>
    <t>Hoelgebaum Pereira</t>
  </si>
  <si>
    <t>Bobby</t>
  </si>
  <si>
    <t>De Cordova-Reid</t>
  </si>
  <si>
    <t>Bernd</t>
  </si>
  <si>
    <t>Leno</t>
  </si>
  <si>
    <t>João</t>
  </si>
  <si>
    <t>Palhinha Gonçalves</t>
  </si>
  <si>
    <t>J.Palhinha</t>
  </si>
  <si>
    <t>Antonee</t>
  </si>
  <si>
    <t>Robinson</t>
  </si>
  <si>
    <t>Willian</t>
  </si>
  <si>
    <t>Borges da Silva</t>
  </si>
  <si>
    <t>Calvin</t>
  </si>
  <si>
    <t>Bassey</t>
  </si>
  <si>
    <t>Timothy</t>
  </si>
  <si>
    <t>Castagne</t>
  </si>
  <si>
    <t>Alisson</t>
  </si>
  <si>
    <t>Ramses Becker</t>
  </si>
  <si>
    <t>A.Becker</t>
  </si>
  <si>
    <t>Darwin</t>
  </si>
  <si>
    <t>Núñez Ribeiro</t>
  </si>
  <si>
    <t>Diogo</t>
  </si>
  <si>
    <t>Teixeira da Silva</t>
  </si>
  <si>
    <t>Diogo J.</t>
  </si>
  <si>
    <t>Cody</t>
  </si>
  <si>
    <t>Gakpo</t>
  </si>
  <si>
    <t>Ibrahima</t>
  </si>
  <si>
    <t>Konaté</t>
  </si>
  <si>
    <t>Luis</t>
  </si>
  <si>
    <t>Díaz</t>
  </si>
  <si>
    <t>Luis Díaz</t>
  </si>
  <si>
    <t>Alexis</t>
  </si>
  <si>
    <t>Mac Allister</t>
  </si>
  <si>
    <t>Mohamed</t>
  </si>
  <si>
    <t>Salah</t>
  </si>
  <si>
    <t>Virgil</t>
  </si>
  <si>
    <t>van Dijk</t>
  </si>
  <si>
    <t>Alfie</t>
  </si>
  <si>
    <t>Doughty</t>
  </si>
  <si>
    <t>Carlton</t>
  </si>
  <si>
    <t>Morris</t>
  </si>
  <si>
    <t>Chiedozie</t>
  </si>
  <si>
    <t>Ogbene</t>
  </si>
  <si>
    <t>Tahith</t>
  </si>
  <si>
    <t>Chong</t>
  </si>
  <si>
    <t>Ross</t>
  </si>
  <si>
    <t>Barkley</t>
  </si>
  <si>
    <t>Manuel</t>
  </si>
  <si>
    <t>Akanji</t>
  </si>
  <si>
    <t>Aké</t>
  </si>
  <si>
    <t>Julián</t>
  </si>
  <si>
    <t>Álvarez</t>
  </si>
  <si>
    <t>J.Alvarez</t>
  </si>
  <si>
    <t>Bernardo</t>
  </si>
  <si>
    <t>Veiga de Carvalho e Silva</t>
  </si>
  <si>
    <t>Rúben</t>
  </si>
  <si>
    <t>Gato Alves Dias</t>
  </si>
  <si>
    <t>Ederson</t>
  </si>
  <si>
    <t>Santana de Moraes</t>
  </si>
  <si>
    <t>Ederson M.</t>
  </si>
  <si>
    <t>Phil</t>
  </si>
  <si>
    <t>Foden</t>
  </si>
  <si>
    <t>Erling</t>
  </si>
  <si>
    <t>Haaland</t>
  </si>
  <si>
    <t>Mateo</t>
  </si>
  <si>
    <t>Kovačić</t>
  </si>
  <si>
    <t>Rodrigo</t>
  </si>
  <si>
    <t>Hernandez</t>
  </si>
  <si>
    <t>Kyle</t>
  </si>
  <si>
    <t>Walker</t>
  </si>
  <si>
    <t>Bruno</t>
  </si>
  <si>
    <t>Borges Fernandes</t>
  </si>
  <si>
    <t>B.Fernandes</t>
  </si>
  <si>
    <t>Alejandro</t>
  </si>
  <si>
    <t>Garnacho</t>
  </si>
  <si>
    <t>Rashford</t>
  </si>
  <si>
    <t>André</t>
  </si>
  <si>
    <t>Onana</t>
  </si>
  <si>
    <t>Rasmus</t>
  </si>
  <si>
    <t>Højlund</t>
  </si>
  <si>
    <t>Guimarães Rodriguez Moura</t>
  </si>
  <si>
    <t>Bruno G.</t>
  </si>
  <si>
    <t>Dan</t>
  </si>
  <si>
    <t>Burn</t>
  </si>
  <si>
    <t>Alexander</t>
  </si>
  <si>
    <t>Isak</t>
  </si>
  <si>
    <t>Sean</t>
  </si>
  <si>
    <t>Longstaff</t>
  </si>
  <si>
    <t>Fabian</t>
  </si>
  <si>
    <t>Schär</t>
  </si>
  <si>
    <t>Kieran</t>
  </si>
  <si>
    <t>Trippier</t>
  </si>
  <si>
    <t>Callum</t>
  </si>
  <si>
    <t>Hudson-Odoi</t>
  </si>
  <si>
    <t>Anthony</t>
  </si>
  <si>
    <t>Elanga</t>
  </si>
  <si>
    <t>Danilo</t>
  </si>
  <si>
    <t>dos Santos de Oliveira</t>
  </si>
  <si>
    <t>Morgan</t>
  </si>
  <si>
    <t>Gibbs-White</t>
  </si>
  <si>
    <t>Chris</t>
  </si>
  <si>
    <t>Wood</t>
  </si>
  <si>
    <t>Cameron</t>
  </si>
  <si>
    <t>Archer</t>
  </si>
  <si>
    <t>Jayden</t>
  </si>
  <si>
    <t>Bogle</t>
  </si>
  <si>
    <t>Wes</t>
  </si>
  <si>
    <t>Foderingham</t>
  </si>
  <si>
    <t>Brennan</t>
  </si>
  <si>
    <t>Johnson</t>
  </si>
  <si>
    <t>Pedro</t>
  </si>
  <si>
    <t>Porro</t>
  </si>
  <si>
    <t>Pedro Porro</t>
  </si>
  <si>
    <t>Son</t>
  </si>
  <si>
    <t>Heung-min</t>
  </si>
  <si>
    <t>Guglielmo</t>
  </si>
  <si>
    <t>Vicario</t>
  </si>
  <si>
    <t>Alphonse</t>
  </si>
  <si>
    <t>Areola</t>
  </si>
  <si>
    <t>Jarrod</t>
  </si>
  <si>
    <t>Bowen</t>
  </si>
  <si>
    <t>Tolentino Coelho de Lima</t>
  </si>
  <si>
    <t>L.Paquetá</t>
  </si>
  <si>
    <t>Kurt</t>
  </si>
  <si>
    <t>Zouma</t>
  </si>
  <si>
    <t>Ward-Prowse</t>
  </si>
  <si>
    <t>Mohammed</t>
  </si>
  <si>
    <t>Kudus</t>
  </si>
  <si>
    <t>Rayan</t>
  </si>
  <si>
    <t>Aït-Nouri</t>
  </si>
  <si>
    <t>Craig</t>
  </si>
  <si>
    <t>Dawson</t>
  </si>
  <si>
    <t>Hwang</t>
  </si>
  <si>
    <t>Hee-chan</t>
  </si>
  <si>
    <t>Hee Chan</t>
  </si>
  <si>
    <t>Max</t>
  </si>
  <si>
    <t>Kilman</t>
  </si>
  <si>
    <t>José</t>
  </si>
  <si>
    <t>Malheiro de Sá</t>
  </si>
  <si>
    <t>José Sá</t>
  </si>
  <si>
    <t>Pablo</t>
  </si>
  <si>
    <t>Sarabia</t>
  </si>
  <si>
    <t>Matheus</t>
  </si>
  <si>
    <t>Santos Carneiro Da Cunha</t>
  </si>
  <si>
    <t>Cunha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</si>
</sst>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42" totalsRowShown="0">
  <autoFilter ref="A1:AL142" xr:uid="{00000000-0009-0000-0100-000001000000}">
    <filterColumn colId="37">
      <filters>
        <filter val="1"/>
      </filters>
    </filterColumn>
  </autoFilter>
  <sortState xmlns:xlrd2="http://schemas.microsoft.com/office/spreadsheetml/2017/richdata2" ref="A6:AL140">
    <sortCondition descending="1" ref="AI1:AI142"/>
  </sortState>
  <tableColumns count="38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BUR"/>
    <tableColumn id="16" xr3:uid="{00000000-0010-0000-0000-000010000000}" name="CHE"/>
    <tableColumn id="17" xr3:uid="{00000000-0010-0000-0000-000011000000}" name="CRY"/>
    <tableColumn id="18" xr3:uid="{00000000-0010-0000-0000-000012000000}" name="EVE"/>
    <tableColumn id="19" xr3:uid="{00000000-0010-0000-0000-000013000000}" name="FUL"/>
    <tableColumn id="20" xr3:uid="{00000000-0010-0000-0000-000014000000}" name="LIV"/>
    <tableColumn id="21" xr3:uid="{00000000-0010-0000-0000-000015000000}" name="LUT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H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"/>
    <tableColumn id="35" xr3:uid="{00000000-0010-0000-0000-000023000000}" name="NEXT"/>
    <tableColumn id="36" xr3:uid="{00000000-0010-0000-0000-000024000000}" name="Health"/>
    <tableColumn id="37" xr3:uid="{00000000-0010-0000-0000-000025000000}" name="PREV"/>
    <tableColumn id="38" xr3:uid="{00000000-0010-0000-0000-000026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42"/>
  <sheetViews>
    <sheetView tabSelected="1" workbookViewId="0">
      <selection activeCell="AO149" sqref="AO149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</cols>
  <sheetData>
    <row r="1" spans="1:42" x14ac:dyDescent="0.2">
      <c r="A1" t="s">
        <v>31</v>
      </c>
      <c r="B1" t="s">
        <v>32</v>
      </c>
      <c r="C1" t="s">
        <v>33</v>
      </c>
      <c r="D1" t="s">
        <v>34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9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</row>
    <row r="2" spans="1:42" hidden="1" x14ac:dyDescent="0.2">
      <c r="A2" t="s">
        <v>44</v>
      </c>
      <c r="B2" t="s">
        <v>45</v>
      </c>
      <c r="C2" t="s">
        <v>44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11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5.4</v>
      </c>
      <c r="AE2">
        <v>4</v>
      </c>
      <c r="AF2">
        <v>16.304890752685459</v>
      </c>
      <c r="AG2">
        <v>13.070351088092361</v>
      </c>
      <c r="AH2">
        <f>20.007320501728*1</f>
        <v>20.007320501728</v>
      </c>
      <c r="AI2">
        <f>5.0084874858673*1</f>
        <v>5.0084874858672999</v>
      </c>
      <c r="AJ2">
        <v>1</v>
      </c>
      <c r="AK2">
        <v>0</v>
      </c>
      <c r="AL2">
        <v>0</v>
      </c>
      <c r="AN2" t="s">
        <v>0</v>
      </c>
      <c r="AO2">
        <f>SUMPRODUCT(Table1[Selected], Table1[PP])</f>
        <v>431.10320975617566</v>
      </c>
      <c r="AP2" t="s">
        <v>1</v>
      </c>
    </row>
    <row r="3" spans="1:42" hidden="1" x14ac:dyDescent="0.2">
      <c r="A3" t="s">
        <v>46</v>
      </c>
      <c r="B3" t="s">
        <v>47</v>
      </c>
      <c r="C3" t="s">
        <v>47</v>
      </c>
      <c r="D3" t="s">
        <v>5</v>
      </c>
      <c r="E3">
        <v>0</v>
      </c>
      <c r="F3">
        <v>0</v>
      </c>
      <c r="G3">
        <v>1</v>
      </c>
      <c r="H3">
        <v>0</v>
      </c>
      <c r="I3" t="s">
        <v>11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7.4</v>
      </c>
      <c r="AE3">
        <v>5</v>
      </c>
      <c r="AF3">
        <v>16.33129537827708</v>
      </c>
      <c r="AG3">
        <v>11.34642851884225</v>
      </c>
      <c r="AH3">
        <f>18.1883592952192*1</f>
        <v>18.1883592952192</v>
      </c>
      <c r="AI3">
        <f>4.11022973910983*1</f>
        <v>4.1102297391098297</v>
      </c>
      <c r="AJ3">
        <v>1</v>
      </c>
      <c r="AK3">
        <v>0</v>
      </c>
      <c r="AL3">
        <v>0</v>
      </c>
    </row>
    <row r="4" spans="1:42" hidden="1" x14ac:dyDescent="0.2">
      <c r="A4" t="s">
        <v>44</v>
      </c>
      <c r="B4" t="s">
        <v>48</v>
      </c>
      <c r="C4" t="s">
        <v>49</v>
      </c>
      <c r="D4" t="s">
        <v>6</v>
      </c>
      <c r="E4">
        <v>0</v>
      </c>
      <c r="F4">
        <v>0</v>
      </c>
      <c r="G4">
        <v>0</v>
      </c>
      <c r="H4">
        <v>1</v>
      </c>
      <c r="I4" t="s">
        <v>11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7.7</v>
      </c>
      <c r="AE4">
        <v>6</v>
      </c>
      <c r="AF4">
        <v>15.950920245398761</v>
      </c>
      <c r="AG4">
        <v>16.682742890642999</v>
      </c>
      <c r="AH4">
        <f>23.7063819593448*1</f>
        <v>23.7063819593448</v>
      </c>
      <c r="AI4">
        <f>5.64015709208519*1</f>
        <v>5.6401570920851896</v>
      </c>
      <c r="AJ4">
        <v>1</v>
      </c>
      <c r="AK4">
        <v>0</v>
      </c>
      <c r="AL4">
        <v>0</v>
      </c>
      <c r="AN4" t="s">
        <v>2</v>
      </c>
      <c r="AO4">
        <f>SUMPRODUCT(Table1[Selected],Table1[Cost])</f>
        <v>102.3</v>
      </c>
      <c r="AP4">
        <v>102.3</v>
      </c>
    </row>
    <row r="5" spans="1:42" hidden="1" x14ac:dyDescent="0.2">
      <c r="A5" t="s">
        <v>50</v>
      </c>
      <c r="B5" t="s">
        <v>51</v>
      </c>
      <c r="C5" t="s">
        <v>51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8.6</v>
      </c>
      <c r="AE5">
        <v>12</v>
      </c>
      <c r="AF5">
        <v>21.92604801923417</v>
      </c>
      <c r="AG5">
        <v>18.008870736131431</v>
      </c>
      <c r="AH5">
        <f>27.3637171480514*1</f>
        <v>27.3637171480514</v>
      </c>
      <c r="AI5">
        <f>6.09333475696429*1</f>
        <v>6.0933347569642899</v>
      </c>
      <c r="AJ5">
        <v>1</v>
      </c>
      <c r="AK5">
        <v>0</v>
      </c>
      <c r="AL5">
        <v>0</v>
      </c>
    </row>
    <row r="6" spans="1:42" x14ac:dyDescent="0.2">
      <c r="A6" t="s">
        <v>164</v>
      </c>
      <c r="B6" t="s">
        <v>165</v>
      </c>
      <c r="C6" t="s">
        <v>165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17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6.2</v>
      </c>
      <c r="AE6">
        <v>285</v>
      </c>
      <c r="AF6">
        <v>96.586073554972756</v>
      </c>
      <c r="AG6">
        <v>0</v>
      </c>
      <c r="AH6">
        <f>99.6513009725212*1</f>
        <v>99.651300972521199</v>
      </c>
      <c r="AI6">
        <f>31.6776065213668*1</f>
        <v>31.677606521366801</v>
      </c>
      <c r="AJ6">
        <v>1</v>
      </c>
      <c r="AK6">
        <v>1</v>
      </c>
      <c r="AL6">
        <v>1</v>
      </c>
      <c r="AN6" t="s">
        <v>3</v>
      </c>
      <c r="AO6">
        <f>SUMPRODUCT(Table1[Selected],Table1[GKP])</f>
        <v>2</v>
      </c>
      <c r="AP6">
        <v>2</v>
      </c>
    </row>
    <row r="7" spans="1:42" x14ac:dyDescent="0.2">
      <c r="A7" t="s">
        <v>81</v>
      </c>
      <c r="B7" t="s">
        <v>82</v>
      </c>
      <c r="C7" t="s">
        <v>82</v>
      </c>
      <c r="D7" t="s">
        <v>6</v>
      </c>
      <c r="E7">
        <v>0</v>
      </c>
      <c r="F7">
        <v>0</v>
      </c>
      <c r="G7">
        <v>0</v>
      </c>
      <c r="H7">
        <v>1</v>
      </c>
      <c r="I7" t="s">
        <v>12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9</v>
      </c>
      <c r="AE7">
        <v>64</v>
      </c>
      <c r="AF7">
        <v>25.18565387162009</v>
      </c>
      <c r="AG7">
        <v>16.637085412680431</v>
      </c>
      <c r="AH7">
        <f>28.568018311497*1</f>
        <v>28.568018311496999</v>
      </c>
      <c r="AI7">
        <f>7.14255485602402*1</f>
        <v>7.1425548560240202</v>
      </c>
      <c r="AJ7">
        <v>1</v>
      </c>
      <c r="AK7">
        <v>1</v>
      </c>
      <c r="AL7">
        <v>1</v>
      </c>
      <c r="AN7" t="s">
        <v>4</v>
      </c>
      <c r="AO7">
        <f>SUMPRODUCT(Table1[Selected],Table1[DEF])</f>
        <v>5</v>
      </c>
      <c r="AP7">
        <v>5</v>
      </c>
    </row>
    <row r="8" spans="1:42" hidden="1" x14ac:dyDescent="0.2">
      <c r="A8" t="s">
        <v>56</v>
      </c>
      <c r="B8" t="s">
        <v>57</v>
      </c>
      <c r="C8" t="s">
        <v>57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11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6.5</v>
      </c>
      <c r="AE8">
        <v>22</v>
      </c>
      <c r="AF8">
        <v>15.99005767785212</v>
      </c>
      <c r="AG8">
        <v>14.332126571716101</v>
      </c>
      <c r="AH8">
        <f>21.2273581924669*1</f>
        <v>21.227358192466902</v>
      </c>
      <c r="AI8">
        <f>4.61575563307277*1</f>
        <v>4.6157556330727703</v>
      </c>
      <c r="AJ8">
        <v>1</v>
      </c>
      <c r="AK8">
        <v>0</v>
      </c>
      <c r="AL8">
        <v>0</v>
      </c>
      <c r="AN8" t="s">
        <v>5</v>
      </c>
      <c r="AO8">
        <f>SUMPRODUCT(Table1[Selected],Table1[MID])</f>
        <v>5</v>
      </c>
      <c r="AP8">
        <v>5</v>
      </c>
    </row>
    <row r="9" spans="1:42" hidden="1" x14ac:dyDescent="0.2">
      <c r="A9" t="s">
        <v>58</v>
      </c>
      <c r="B9" t="s">
        <v>59</v>
      </c>
      <c r="C9" t="s">
        <v>59</v>
      </c>
      <c r="D9" t="s">
        <v>4</v>
      </c>
      <c r="E9">
        <v>0</v>
      </c>
      <c r="F9">
        <v>1</v>
      </c>
      <c r="G9">
        <v>0</v>
      </c>
      <c r="H9">
        <v>0</v>
      </c>
      <c r="I9" t="s">
        <v>11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</v>
      </c>
      <c r="AE9">
        <v>23</v>
      </c>
      <c r="AF9">
        <v>18.117647058823518</v>
      </c>
      <c r="AG9">
        <v>13.87606739685666</v>
      </c>
      <c r="AH9">
        <f>21.5448528156664*1</f>
        <v>21.544852815666399</v>
      </c>
      <c r="AI9">
        <f>4.196662142966*1</f>
        <v>4.1966621429659998</v>
      </c>
      <c r="AJ9">
        <v>1</v>
      </c>
      <c r="AK9">
        <v>0</v>
      </c>
      <c r="AL9">
        <v>0</v>
      </c>
      <c r="AN9" t="s">
        <v>6</v>
      </c>
      <c r="AO9">
        <f>SUMPRODUCT(Table1[Selected],Table1[FWD])</f>
        <v>3</v>
      </c>
      <c r="AP9">
        <v>3</v>
      </c>
    </row>
    <row r="10" spans="1:42" hidden="1" x14ac:dyDescent="0.2">
      <c r="A10" t="s">
        <v>60</v>
      </c>
      <c r="B10" t="s">
        <v>61</v>
      </c>
      <c r="C10" t="s">
        <v>61</v>
      </c>
      <c r="D10" t="s">
        <v>4</v>
      </c>
      <c r="E10">
        <v>0</v>
      </c>
      <c r="F10">
        <v>1</v>
      </c>
      <c r="G10">
        <v>0</v>
      </c>
      <c r="H10">
        <v>0</v>
      </c>
      <c r="I10" t="s">
        <v>11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</v>
      </c>
      <c r="AE10">
        <v>25</v>
      </c>
      <c r="AF10">
        <v>13.684210526315789</v>
      </c>
      <c r="AG10">
        <v>12.33537476902452</v>
      </c>
      <c r="AH10">
        <f>18.2405428082249*1</f>
        <v>18.240542808224902</v>
      </c>
      <c r="AI10">
        <f>4.21460336891689*1</f>
        <v>4.2146033689168902</v>
      </c>
      <c r="AJ10">
        <v>1</v>
      </c>
      <c r="AK10">
        <v>0</v>
      </c>
      <c r="AL10">
        <v>0</v>
      </c>
    </row>
    <row r="11" spans="1:42" x14ac:dyDescent="0.2">
      <c r="A11" t="s">
        <v>231</v>
      </c>
      <c r="B11" t="s">
        <v>232</v>
      </c>
      <c r="C11" t="s">
        <v>232</v>
      </c>
      <c r="D11" t="s">
        <v>5</v>
      </c>
      <c r="E11">
        <v>0</v>
      </c>
      <c r="F11">
        <v>0</v>
      </c>
      <c r="G11">
        <v>1</v>
      </c>
      <c r="H11">
        <v>0</v>
      </c>
      <c r="I11" t="s">
        <v>21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13.6</v>
      </c>
      <c r="AE11">
        <v>440</v>
      </c>
      <c r="AF11">
        <v>0</v>
      </c>
      <c r="AG11">
        <v>27.540415756626441</v>
      </c>
      <c r="AH11">
        <f>26.1805484489997*1</f>
        <v>26.180548448999701</v>
      </c>
      <c r="AI11">
        <f>6.86705107138757*1</f>
        <v>6.8670510713875696</v>
      </c>
      <c r="AJ11">
        <v>1</v>
      </c>
      <c r="AK11">
        <v>1</v>
      </c>
      <c r="AL11">
        <v>1</v>
      </c>
      <c r="AN11" t="s">
        <v>7</v>
      </c>
      <c r="AO11">
        <f>SUMPRODUCT(Table1[Selected], -- (Table1[PREV] = 0))</f>
        <v>1</v>
      </c>
    </row>
    <row r="12" spans="1:42" hidden="1" x14ac:dyDescent="0.2">
      <c r="A12" t="s">
        <v>65</v>
      </c>
      <c r="B12" t="s">
        <v>66</v>
      </c>
      <c r="C12" t="s">
        <v>66</v>
      </c>
      <c r="D12" t="s">
        <v>5</v>
      </c>
      <c r="E12">
        <v>0</v>
      </c>
      <c r="F12">
        <v>0</v>
      </c>
      <c r="G12">
        <v>1</v>
      </c>
      <c r="H12">
        <v>0</v>
      </c>
      <c r="I12" t="s">
        <v>11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5.5</v>
      </c>
      <c r="AE12">
        <v>27</v>
      </c>
      <c r="AF12">
        <v>15.371716646984879</v>
      </c>
      <c r="AG12">
        <v>11.862146981402301</v>
      </c>
      <c r="AH12">
        <f>18.3740720488535*1</f>
        <v>18.374072048853499</v>
      </c>
      <c r="AI12">
        <f>4.58426648438975*1</f>
        <v>4.58426648438975</v>
      </c>
      <c r="AJ12">
        <v>1</v>
      </c>
      <c r="AK12">
        <v>0</v>
      </c>
      <c r="AL12">
        <v>0</v>
      </c>
      <c r="AN12" t="s">
        <v>8</v>
      </c>
      <c r="AO12">
        <v>1</v>
      </c>
    </row>
    <row r="13" spans="1:42" hidden="1" x14ac:dyDescent="0.2">
      <c r="A13" t="s">
        <v>67</v>
      </c>
      <c r="B13" t="s">
        <v>68</v>
      </c>
      <c r="C13" t="s">
        <v>68</v>
      </c>
      <c r="D13" t="s">
        <v>5</v>
      </c>
      <c r="E13">
        <v>0</v>
      </c>
      <c r="F13">
        <v>0</v>
      </c>
      <c r="G13">
        <v>1</v>
      </c>
      <c r="H13">
        <v>0</v>
      </c>
      <c r="I13" t="s">
        <v>12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5.5</v>
      </c>
      <c r="AE13">
        <v>39</v>
      </c>
      <c r="AF13">
        <v>18.04684774891415</v>
      </c>
      <c r="AG13">
        <v>11.838241903236209</v>
      </c>
      <c r="AH13">
        <f>20.4687415772983*1</f>
        <v>20.468741577298299</v>
      </c>
      <c r="AI13">
        <f>5.12211490200362*1</f>
        <v>5.1221149020036201</v>
      </c>
      <c r="AJ13">
        <v>1</v>
      </c>
      <c r="AK13">
        <v>0</v>
      </c>
      <c r="AL13">
        <v>0</v>
      </c>
    </row>
    <row r="14" spans="1:42" hidden="1" x14ac:dyDescent="0.2">
      <c r="A14" t="s">
        <v>69</v>
      </c>
      <c r="B14" t="s">
        <v>70</v>
      </c>
      <c r="C14" t="s">
        <v>70</v>
      </c>
      <c r="D14" t="s">
        <v>4</v>
      </c>
      <c r="E14">
        <v>0</v>
      </c>
      <c r="F14">
        <v>1</v>
      </c>
      <c r="G14">
        <v>0</v>
      </c>
      <c r="H14">
        <v>0</v>
      </c>
      <c r="I14" t="s">
        <v>12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4.5999999999999996</v>
      </c>
      <c r="AE14">
        <v>47</v>
      </c>
      <c r="AF14">
        <v>10.57553077816592</v>
      </c>
      <c r="AG14">
        <v>14.58641271828626</v>
      </c>
      <c r="AH14">
        <f>12.1557015317733*1</f>
        <v>12.1557015317733</v>
      </c>
      <c r="AI14">
        <f>3.1257869461085*1</f>
        <v>3.1257869461085002</v>
      </c>
      <c r="AJ14">
        <v>1</v>
      </c>
      <c r="AK14">
        <v>0</v>
      </c>
      <c r="AL14">
        <v>0</v>
      </c>
      <c r="AN14" t="s">
        <v>9</v>
      </c>
      <c r="AO14">
        <f>((AO11-AO12)+ABS((AO11-AO12)))/2*4</f>
        <v>0</v>
      </c>
    </row>
    <row r="15" spans="1:42" hidden="1" x14ac:dyDescent="0.2">
      <c r="A15" t="s">
        <v>71</v>
      </c>
      <c r="B15" t="s">
        <v>72</v>
      </c>
      <c r="C15" t="s">
        <v>73</v>
      </c>
      <c r="D15" t="s">
        <v>4</v>
      </c>
      <c r="E15">
        <v>0</v>
      </c>
      <c r="F15">
        <v>1</v>
      </c>
      <c r="G15">
        <v>0</v>
      </c>
      <c r="H15">
        <v>0</v>
      </c>
      <c r="I15" t="s">
        <v>12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4.5</v>
      </c>
      <c r="AE15">
        <v>53</v>
      </c>
      <c r="AF15">
        <v>11.39869281045751</v>
      </c>
      <c r="AG15">
        <v>11.99159666219369</v>
      </c>
      <c r="AH15">
        <f>13.0233794179528*1</f>
        <v>13.0233794179528</v>
      </c>
      <c r="AI15">
        <f>3.26724514028476*1</f>
        <v>3.2672451402847602</v>
      </c>
      <c r="AJ15">
        <v>1</v>
      </c>
      <c r="AK15">
        <v>0</v>
      </c>
      <c r="AL15">
        <v>0</v>
      </c>
    </row>
    <row r="16" spans="1:42" hidden="1" x14ac:dyDescent="0.2">
      <c r="A16" t="s">
        <v>74</v>
      </c>
      <c r="B16" t="s">
        <v>75</v>
      </c>
      <c r="C16" t="s">
        <v>76</v>
      </c>
      <c r="D16" t="s">
        <v>3</v>
      </c>
      <c r="E16">
        <v>1</v>
      </c>
      <c r="F16">
        <v>0</v>
      </c>
      <c r="G16">
        <v>0</v>
      </c>
      <c r="H16">
        <v>0</v>
      </c>
      <c r="I16" t="s">
        <v>12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5.3</v>
      </c>
      <c r="AE16">
        <v>54</v>
      </c>
      <c r="AF16">
        <v>14.208955223880601</v>
      </c>
      <c r="AG16">
        <v>12.834182469671591</v>
      </c>
      <c r="AH16">
        <f>16.1897228119105*1</f>
        <v>16.189722811910499</v>
      </c>
      <c r="AI16">
        <f>4.0542889122271*1</f>
        <v>4.0542889122270998</v>
      </c>
      <c r="AJ16">
        <v>1</v>
      </c>
      <c r="AK16">
        <v>0</v>
      </c>
      <c r="AL16">
        <v>0</v>
      </c>
      <c r="AN16" t="s">
        <v>10</v>
      </c>
      <c r="AO16">
        <f>AO2-AO14*5</f>
        <v>431.10320975617566</v>
      </c>
    </row>
    <row r="17" spans="1:42" hidden="1" x14ac:dyDescent="0.2">
      <c r="A17" t="s">
        <v>77</v>
      </c>
      <c r="B17" t="s">
        <v>78</v>
      </c>
      <c r="C17" t="s">
        <v>78</v>
      </c>
      <c r="D17" t="s">
        <v>5</v>
      </c>
      <c r="E17">
        <v>0</v>
      </c>
      <c r="F17">
        <v>0</v>
      </c>
      <c r="G17">
        <v>1</v>
      </c>
      <c r="H17">
        <v>0</v>
      </c>
      <c r="I17" t="s">
        <v>12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5.3</v>
      </c>
      <c r="AE17">
        <v>55</v>
      </c>
      <c r="AF17">
        <v>12.20253164556963</v>
      </c>
      <c r="AG17">
        <v>11.207329178680199</v>
      </c>
      <c r="AH17">
        <f>13.9074997372234*1</f>
        <v>13.9074997372234</v>
      </c>
      <c r="AI17">
        <f>3.47263169316068*1</f>
        <v>3.4726316931606802</v>
      </c>
      <c r="AJ17">
        <v>1</v>
      </c>
      <c r="AK17">
        <v>0</v>
      </c>
      <c r="AL17">
        <v>0</v>
      </c>
    </row>
    <row r="18" spans="1:42" hidden="1" x14ac:dyDescent="0.2">
      <c r="A18" t="s">
        <v>79</v>
      </c>
      <c r="B18" t="s">
        <v>80</v>
      </c>
      <c r="C18" t="s">
        <v>80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12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5.6</v>
      </c>
      <c r="AE18">
        <v>62</v>
      </c>
      <c r="AF18">
        <v>10.41907511932118</v>
      </c>
      <c r="AG18">
        <v>12.3385822519257</v>
      </c>
      <c r="AH18">
        <f>11.9331166058591*1</f>
        <v>11.9331166058591</v>
      </c>
      <c r="AI18">
        <f>2.98367740920909*1</f>
        <v>2.9836774092090899</v>
      </c>
      <c r="AJ18">
        <v>1</v>
      </c>
      <c r="AK18">
        <v>0</v>
      </c>
      <c r="AL18">
        <v>0</v>
      </c>
      <c r="AN18" t="s">
        <v>11</v>
      </c>
      <c r="AO18">
        <f>SUMPRODUCT(Table1[Selected],Table1[ARS])</f>
        <v>3</v>
      </c>
      <c r="AP18">
        <v>3</v>
      </c>
    </row>
    <row r="19" spans="1:42" x14ac:dyDescent="0.2">
      <c r="A19" t="s">
        <v>54</v>
      </c>
      <c r="B19" t="s">
        <v>55</v>
      </c>
      <c r="C19" t="s">
        <v>55</v>
      </c>
      <c r="D19" t="s">
        <v>4</v>
      </c>
      <c r="E19">
        <v>0</v>
      </c>
      <c r="F19">
        <v>1</v>
      </c>
      <c r="G19">
        <v>0</v>
      </c>
      <c r="H19">
        <v>0</v>
      </c>
      <c r="I19" t="s">
        <v>11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5.9</v>
      </c>
      <c r="AE19">
        <v>18</v>
      </c>
      <c r="AF19">
        <v>16.9873358744453</v>
      </c>
      <c r="AG19">
        <v>16.780450351451851</v>
      </c>
      <c r="AH19">
        <f>24.2003911371272*1</f>
        <v>24.200391137127198</v>
      </c>
      <c r="AI19">
        <f>6.65992490546206*1</f>
        <v>6.6599249054620602</v>
      </c>
      <c r="AJ19">
        <v>1</v>
      </c>
      <c r="AK19">
        <v>1</v>
      </c>
      <c r="AL19">
        <v>1</v>
      </c>
      <c r="AN19" t="s">
        <v>12</v>
      </c>
      <c r="AO19">
        <f>SUMPRODUCT(Table1[Selected],Table1[AVL])</f>
        <v>1</v>
      </c>
      <c r="AP19">
        <v>3</v>
      </c>
    </row>
    <row r="20" spans="1:42" hidden="1" x14ac:dyDescent="0.2">
      <c r="A20" t="s">
        <v>83</v>
      </c>
      <c r="B20" t="s">
        <v>84</v>
      </c>
      <c r="C20" t="s">
        <v>83</v>
      </c>
      <c r="D20" t="s">
        <v>4</v>
      </c>
      <c r="E20">
        <v>0</v>
      </c>
      <c r="F20">
        <v>1</v>
      </c>
      <c r="G20">
        <v>0</v>
      </c>
      <c r="H20">
        <v>0</v>
      </c>
      <c r="I20" t="s">
        <v>12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4.5999999999999996</v>
      </c>
      <c r="AE20">
        <v>66</v>
      </c>
      <c r="AF20">
        <v>12.46153846153846</v>
      </c>
      <c r="AG20">
        <v>13.534587171853</v>
      </c>
      <c r="AH20">
        <f>14.2466539904645*1</f>
        <v>14.2466539904645</v>
      </c>
      <c r="AI20">
        <f>3.58413105662011*1</f>
        <v>3.5841310566201101</v>
      </c>
      <c r="AJ20">
        <v>1</v>
      </c>
      <c r="AK20">
        <v>0</v>
      </c>
      <c r="AL20">
        <v>0</v>
      </c>
      <c r="AN20" t="s">
        <v>13</v>
      </c>
      <c r="AO20">
        <f>SUMPRODUCT(Table1[Selected],Table1[BOU])</f>
        <v>0</v>
      </c>
      <c r="AP20">
        <v>3</v>
      </c>
    </row>
    <row r="21" spans="1:42" hidden="1" x14ac:dyDescent="0.2">
      <c r="A21" t="s">
        <v>85</v>
      </c>
      <c r="B21" t="s">
        <v>86</v>
      </c>
      <c r="C21" t="s">
        <v>86</v>
      </c>
      <c r="D21" t="s">
        <v>5</v>
      </c>
      <c r="E21">
        <v>0</v>
      </c>
      <c r="F21">
        <v>0</v>
      </c>
      <c r="G21">
        <v>1</v>
      </c>
      <c r="H21">
        <v>0</v>
      </c>
      <c r="I21" t="s">
        <v>12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6.3</v>
      </c>
      <c r="AE21">
        <v>67</v>
      </c>
      <c r="AF21">
        <v>15.41176470588235</v>
      </c>
      <c r="AG21">
        <v>15.216332018197869</v>
      </c>
      <c r="AH21">
        <f>17.5874678389231*1</f>
        <v>17.5874678389231</v>
      </c>
      <c r="AI21">
        <f>4.4071824831445*1</f>
        <v>4.4071824831445001</v>
      </c>
      <c r="AJ21">
        <v>1</v>
      </c>
      <c r="AK21">
        <v>0</v>
      </c>
      <c r="AL21">
        <v>0</v>
      </c>
      <c r="AN21" t="s">
        <v>14</v>
      </c>
      <c r="AO21">
        <f>SUMPRODUCT(Table1[Selected],Table1[BRE])</f>
        <v>0</v>
      </c>
      <c r="AP21">
        <v>3</v>
      </c>
    </row>
    <row r="22" spans="1:42" hidden="1" x14ac:dyDescent="0.2">
      <c r="A22" t="s">
        <v>87</v>
      </c>
      <c r="B22" t="s">
        <v>88</v>
      </c>
      <c r="C22" t="s">
        <v>88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13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</v>
      </c>
      <c r="AE22">
        <v>83</v>
      </c>
      <c r="AF22">
        <v>8.4516129032258043</v>
      </c>
      <c r="AG22">
        <v>9.8189260217311851</v>
      </c>
      <c r="AH22">
        <f>10.5871556650872*1</f>
        <v>10.587155665087201</v>
      </c>
      <c r="AI22">
        <f>2.75904445665862*1</f>
        <v>2.7590444566586201</v>
      </c>
      <c r="AJ22">
        <v>1</v>
      </c>
      <c r="AK22">
        <v>0</v>
      </c>
      <c r="AL22">
        <v>0</v>
      </c>
      <c r="AN22" t="s">
        <v>15</v>
      </c>
      <c r="AO22">
        <f>SUMPRODUCT(Table1[Selected],Table1[BHA])</f>
        <v>2</v>
      </c>
      <c r="AP22">
        <v>3</v>
      </c>
    </row>
    <row r="23" spans="1:42" hidden="1" x14ac:dyDescent="0.2">
      <c r="A23" t="s">
        <v>89</v>
      </c>
      <c r="B23" t="s">
        <v>90</v>
      </c>
      <c r="C23" t="s">
        <v>91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13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</v>
      </c>
      <c r="AE23">
        <v>84</v>
      </c>
      <c r="AF23">
        <v>7.4526315789473676</v>
      </c>
      <c r="AG23">
        <v>5.9862744380944992</v>
      </c>
      <c r="AH23">
        <f>7.91206950559411*1</f>
        <v>7.9120695055941104</v>
      </c>
      <c r="AI23">
        <f>1.89697685585912*1</f>
        <v>1.89697685585912</v>
      </c>
      <c r="AJ23">
        <v>1</v>
      </c>
      <c r="AK23">
        <v>0</v>
      </c>
      <c r="AL23">
        <v>0</v>
      </c>
      <c r="AN23" t="s">
        <v>16</v>
      </c>
      <c r="AO23">
        <f>SUMPRODUCT(Table1[Selected],Table1[BUR])</f>
        <v>0</v>
      </c>
      <c r="AP23">
        <v>3</v>
      </c>
    </row>
    <row r="24" spans="1:42" hidden="1" x14ac:dyDescent="0.2">
      <c r="A24" t="s">
        <v>92</v>
      </c>
      <c r="B24" t="s">
        <v>93</v>
      </c>
      <c r="C24" t="s">
        <v>93</v>
      </c>
      <c r="D24" t="s">
        <v>5</v>
      </c>
      <c r="E24">
        <v>0</v>
      </c>
      <c r="F24">
        <v>0</v>
      </c>
      <c r="G24">
        <v>1</v>
      </c>
      <c r="H24">
        <v>0</v>
      </c>
      <c r="I24" t="s">
        <v>13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4.5999999999999996</v>
      </c>
      <c r="AE24">
        <v>90</v>
      </c>
      <c r="AF24">
        <v>21.6413606995905</v>
      </c>
      <c r="AG24">
        <v>12.19160357057735</v>
      </c>
      <c r="AH24">
        <f>20.2093548570627*1</f>
        <v>20.209354857062699</v>
      </c>
      <c r="AI24">
        <f>5.77384421548164*1</f>
        <v>5.7738442154816401</v>
      </c>
      <c r="AJ24">
        <v>1</v>
      </c>
      <c r="AK24">
        <v>0</v>
      </c>
      <c r="AL24">
        <v>0</v>
      </c>
      <c r="AN24" t="s">
        <v>17</v>
      </c>
      <c r="AO24">
        <f>SUMPRODUCT(Table1[Selected],Table1[CHE])</f>
        <v>1</v>
      </c>
      <c r="AP24">
        <v>3</v>
      </c>
    </row>
    <row r="25" spans="1:42" hidden="1" x14ac:dyDescent="0.2">
      <c r="A25" t="s">
        <v>94</v>
      </c>
      <c r="B25" t="s">
        <v>95</v>
      </c>
      <c r="C25" t="s">
        <v>96</v>
      </c>
      <c r="D25" t="s">
        <v>3</v>
      </c>
      <c r="E25">
        <v>1</v>
      </c>
      <c r="F25">
        <v>0</v>
      </c>
      <c r="G25">
        <v>0</v>
      </c>
      <c r="H25">
        <v>0</v>
      </c>
      <c r="I25" t="s">
        <v>13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4.7</v>
      </c>
      <c r="AE25">
        <v>95</v>
      </c>
      <c r="AF25">
        <v>15.441983203898349</v>
      </c>
      <c r="AG25">
        <v>16.122997419071101</v>
      </c>
      <c r="AH25">
        <f>18.375625155679*1</f>
        <v>18.375625155679</v>
      </c>
      <c r="AI25">
        <f>6.1237270471921*1</f>
        <v>6.1237270471920997</v>
      </c>
      <c r="AJ25">
        <v>1</v>
      </c>
      <c r="AK25">
        <v>0</v>
      </c>
      <c r="AL25">
        <v>0</v>
      </c>
      <c r="AN25" t="s">
        <v>18</v>
      </c>
      <c r="AO25">
        <f>SUMPRODUCT(Table1[Selected],Table1[CRY])</f>
        <v>0</v>
      </c>
      <c r="AP25">
        <v>3</v>
      </c>
    </row>
    <row r="26" spans="1:42" hidden="1" x14ac:dyDescent="0.2">
      <c r="A26" t="s">
        <v>97</v>
      </c>
      <c r="B26" t="s">
        <v>98</v>
      </c>
      <c r="C26" t="s">
        <v>98</v>
      </c>
      <c r="D26" t="s">
        <v>6</v>
      </c>
      <c r="E26">
        <v>0</v>
      </c>
      <c r="F26">
        <v>0</v>
      </c>
      <c r="G26">
        <v>0</v>
      </c>
      <c r="H26">
        <v>1</v>
      </c>
      <c r="I26" t="s">
        <v>13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4.5</v>
      </c>
      <c r="AE26">
        <v>100</v>
      </c>
      <c r="AF26">
        <v>20.874799512356791</v>
      </c>
      <c r="AG26">
        <v>10.10497883030755</v>
      </c>
      <c r="AH26">
        <f>18.6118395061838*1</f>
        <v>18.611839506183799</v>
      </c>
      <c r="AI26">
        <f>6.63439317625472*1</f>
        <v>6.6343931762547204</v>
      </c>
      <c r="AJ26">
        <v>1</v>
      </c>
      <c r="AK26">
        <v>0</v>
      </c>
      <c r="AL26">
        <v>0</v>
      </c>
      <c r="AN26" t="s">
        <v>19</v>
      </c>
      <c r="AO26">
        <f>SUMPRODUCT(Table1[Selected],Table1[EVE])</f>
        <v>0</v>
      </c>
      <c r="AP26">
        <v>3</v>
      </c>
    </row>
    <row r="27" spans="1:42" hidden="1" x14ac:dyDescent="0.2">
      <c r="A27" t="s">
        <v>99</v>
      </c>
      <c r="B27" t="s">
        <v>100</v>
      </c>
      <c r="C27" t="s">
        <v>100</v>
      </c>
      <c r="D27" t="s">
        <v>4</v>
      </c>
      <c r="E27">
        <v>0</v>
      </c>
      <c r="F27">
        <v>1</v>
      </c>
      <c r="G27">
        <v>0</v>
      </c>
      <c r="H27">
        <v>0</v>
      </c>
      <c r="I27" t="s">
        <v>13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4.4000000000000004</v>
      </c>
      <c r="AE27">
        <v>101</v>
      </c>
      <c r="AF27">
        <v>11.23842340148623</v>
      </c>
      <c r="AG27">
        <v>11.63034229991945</v>
      </c>
      <c r="AH27">
        <f>13.3182218035137*1</f>
        <v>13.318221803513699</v>
      </c>
      <c r="AI27">
        <f>3.71411160177195*1</f>
        <v>3.71411160177195</v>
      </c>
      <c r="AJ27">
        <v>1</v>
      </c>
      <c r="AK27">
        <v>0</v>
      </c>
      <c r="AL27">
        <v>0</v>
      </c>
      <c r="AN27" t="s">
        <v>20</v>
      </c>
      <c r="AO27">
        <f>SUMPRODUCT(Table1[Selected],Table1[FUL])</f>
        <v>0</v>
      </c>
      <c r="AP27">
        <v>3</v>
      </c>
    </row>
    <row r="28" spans="1:42" hidden="1" x14ac:dyDescent="0.2">
      <c r="A28" t="s">
        <v>101</v>
      </c>
      <c r="B28" t="s">
        <v>102</v>
      </c>
      <c r="C28" t="s">
        <v>102</v>
      </c>
      <c r="D28" t="s">
        <v>4</v>
      </c>
      <c r="E28">
        <v>0</v>
      </c>
      <c r="F28">
        <v>1</v>
      </c>
      <c r="G28">
        <v>0</v>
      </c>
      <c r="H28">
        <v>0</v>
      </c>
      <c r="I28" t="s">
        <v>13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4.4000000000000004</v>
      </c>
      <c r="AE28">
        <v>102</v>
      </c>
      <c r="AF28">
        <v>9.5555555555555571</v>
      </c>
      <c r="AG28">
        <v>8.1691426290504872</v>
      </c>
      <c r="AH28">
        <f>10.4076846877213*1</f>
        <v>10.4076846877213</v>
      </c>
      <c r="AI28">
        <f>2.65366694223089*1</f>
        <v>2.6536669422308901</v>
      </c>
      <c r="AJ28">
        <v>1</v>
      </c>
      <c r="AK28">
        <v>0</v>
      </c>
      <c r="AL28">
        <v>0</v>
      </c>
      <c r="AN28" t="s">
        <v>21</v>
      </c>
      <c r="AO28">
        <f>SUMPRODUCT(Table1[Selected],Table1[LIV])</f>
        <v>2</v>
      </c>
      <c r="AP28">
        <v>3</v>
      </c>
    </row>
    <row r="29" spans="1:42" hidden="1" x14ac:dyDescent="0.2">
      <c r="A29" t="s">
        <v>103</v>
      </c>
      <c r="B29" t="s">
        <v>104</v>
      </c>
      <c r="C29" t="s">
        <v>104</v>
      </c>
      <c r="D29" t="s">
        <v>6</v>
      </c>
      <c r="E29">
        <v>0</v>
      </c>
      <c r="F29">
        <v>0</v>
      </c>
      <c r="G29">
        <v>0</v>
      </c>
      <c r="H29">
        <v>1</v>
      </c>
      <c r="I29" t="s">
        <v>13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7.3</v>
      </c>
      <c r="AE29">
        <v>103</v>
      </c>
      <c r="AF29">
        <v>19.065163720617949</v>
      </c>
      <c r="AG29">
        <v>11.39497947943271</v>
      </c>
      <c r="AH29">
        <f>18.1524357416471*1</f>
        <v>18.1524357416471</v>
      </c>
      <c r="AI29">
        <f>4.38010779243772*1</f>
        <v>4.3801077924377196</v>
      </c>
      <c r="AJ29">
        <v>1</v>
      </c>
      <c r="AK29">
        <v>0</v>
      </c>
      <c r="AL29">
        <v>0</v>
      </c>
      <c r="AN29" t="s">
        <v>22</v>
      </c>
      <c r="AO29">
        <f>SUMPRODUCT(Table1[Selected],Table1[LUT])</f>
        <v>1</v>
      </c>
      <c r="AP29">
        <v>3</v>
      </c>
    </row>
    <row r="30" spans="1:42" hidden="1" x14ac:dyDescent="0.2">
      <c r="A30" t="s">
        <v>105</v>
      </c>
      <c r="B30" t="s">
        <v>106</v>
      </c>
      <c r="C30" t="s">
        <v>106</v>
      </c>
      <c r="D30" t="s">
        <v>5</v>
      </c>
      <c r="E30">
        <v>0</v>
      </c>
      <c r="F30">
        <v>0</v>
      </c>
      <c r="G30">
        <v>1</v>
      </c>
      <c r="H30">
        <v>0</v>
      </c>
      <c r="I30" t="s">
        <v>13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</v>
      </c>
      <c r="AE30">
        <v>104</v>
      </c>
      <c r="AF30">
        <v>14.521884859930079</v>
      </c>
      <c r="AG30">
        <v>17.532096692281701</v>
      </c>
      <c r="AH30">
        <f>18.5433561388379*1</f>
        <v>18.5433561388379</v>
      </c>
      <c r="AI30">
        <f>5.10920974101183*1</f>
        <v>5.1092097410118296</v>
      </c>
      <c r="AJ30">
        <v>1</v>
      </c>
      <c r="AK30">
        <v>0</v>
      </c>
      <c r="AL30">
        <v>0</v>
      </c>
      <c r="AN30" t="s">
        <v>23</v>
      </c>
      <c r="AO30">
        <f>SUMPRODUCT(Table1[Selected],Table1[MCI])</f>
        <v>1</v>
      </c>
      <c r="AP30">
        <v>3</v>
      </c>
    </row>
    <row r="31" spans="1:42" hidden="1" x14ac:dyDescent="0.2">
      <c r="A31" t="s">
        <v>107</v>
      </c>
      <c r="B31" t="s">
        <v>108</v>
      </c>
      <c r="C31" t="s">
        <v>108</v>
      </c>
      <c r="D31" t="s">
        <v>4</v>
      </c>
      <c r="E31">
        <v>0</v>
      </c>
      <c r="F31">
        <v>1</v>
      </c>
      <c r="G31">
        <v>0</v>
      </c>
      <c r="H31">
        <v>0</v>
      </c>
      <c r="I31" t="s">
        <v>13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4.5</v>
      </c>
      <c r="AE31">
        <v>107</v>
      </c>
      <c r="AF31">
        <v>9.405405405405407</v>
      </c>
      <c r="AG31">
        <v>8.1593028417236955</v>
      </c>
      <c r="AH31">
        <f>10.3072954743152*1</f>
        <v>10.3072954743152</v>
      </c>
      <c r="AI31">
        <f>3.1586306941765*1</f>
        <v>3.1586306941764999</v>
      </c>
      <c r="AJ31">
        <v>1</v>
      </c>
      <c r="AK31">
        <v>0</v>
      </c>
      <c r="AL31">
        <v>0</v>
      </c>
      <c r="AN31" t="s">
        <v>24</v>
      </c>
      <c r="AO31">
        <f>SUMPRODUCT(Table1[Selected],Table1[MUN])</f>
        <v>0</v>
      </c>
      <c r="AP31">
        <v>3</v>
      </c>
    </row>
    <row r="32" spans="1:42" hidden="1" x14ac:dyDescent="0.2">
      <c r="A32" t="s">
        <v>109</v>
      </c>
      <c r="B32" t="s">
        <v>110</v>
      </c>
      <c r="C32" t="s">
        <v>110</v>
      </c>
      <c r="D32" t="s">
        <v>4</v>
      </c>
      <c r="E32">
        <v>0</v>
      </c>
      <c r="F32">
        <v>1</v>
      </c>
      <c r="G32">
        <v>0</v>
      </c>
      <c r="H32">
        <v>0</v>
      </c>
      <c r="I32" t="s">
        <v>13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4.4000000000000004</v>
      </c>
      <c r="AE32">
        <v>108</v>
      </c>
      <c r="AF32">
        <v>8.4615384615384581</v>
      </c>
      <c r="AG32">
        <v>7.9205857003192559</v>
      </c>
      <c r="AH32">
        <f>9.5820000959523*1</f>
        <v>9.5820000959522993</v>
      </c>
      <c r="AI32">
        <f>2.33867009686068*1</f>
        <v>2.3386700968606799</v>
      </c>
      <c r="AJ32">
        <v>1</v>
      </c>
      <c r="AK32">
        <v>0</v>
      </c>
      <c r="AL32">
        <v>0</v>
      </c>
      <c r="AN32" t="s">
        <v>25</v>
      </c>
      <c r="AO32">
        <f>SUMPRODUCT(Table1[Selected],Table1[NEW])</f>
        <v>2</v>
      </c>
      <c r="AP32">
        <v>3</v>
      </c>
    </row>
    <row r="33" spans="1:42" hidden="1" x14ac:dyDescent="0.2">
      <c r="A33" t="s">
        <v>111</v>
      </c>
      <c r="B33" t="s">
        <v>112</v>
      </c>
      <c r="C33" t="s">
        <v>112</v>
      </c>
      <c r="D33" t="s">
        <v>4</v>
      </c>
      <c r="E33">
        <v>0</v>
      </c>
      <c r="F33">
        <v>1</v>
      </c>
      <c r="G33">
        <v>0</v>
      </c>
      <c r="H33">
        <v>0</v>
      </c>
      <c r="I33" t="s">
        <v>14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4.4000000000000004</v>
      </c>
      <c r="AE33">
        <v>121</v>
      </c>
      <c r="AF33">
        <v>11.859649122807021</v>
      </c>
      <c r="AG33">
        <v>13.92940187990199</v>
      </c>
      <c r="AH33">
        <f>13.137996291364*1</f>
        <v>13.137996291364001</v>
      </c>
      <c r="AI33">
        <f>3.79652034101871*1</f>
        <v>3.7965203410187098</v>
      </c>
      <c r="AJ33">
        <v>1</v>
      </c>
      <c r="AK33">
        <v>0</v>
      </c>
      <c r="AL33">
        <v>0</v>
      </c>
      <c r="AN33" t="s">
        <v>26</v>
      </c>
      <c r="AO33">
        <f>SUMPRODUCT(Table1[Selected],Table1[NFO])</f>
        <v>0</v>
      </c>
      <c r="AP33">
        <v>3</v>
      </c>
    </row>
    <row r="34" spans="1:42" hidden="1" x14ac:dyDescent="0.2">
      <c r="A34" t="s">
        <v>113</v>
      </c>
      <c r="B34" t="s">
        <v>114</v>
      </c>
      <c r="C34" t="s">
        <v>114</v>
      </c>
      <c r="D34" t="s">
        <v>4</v>
      </c>
      <c r="E34">
        <v>0</v>
      </c>
      <c r="F34">
        <v>1</v>
      </c>
      <c r="G34">
        <v>0</v>
      </c>
      <c r="H34">
        <v>0</v>
      </c>
      <c r="I34" t="s">
        <v>14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4.5</v>
      </c>
      <c r="AE34">
        <v>127</v>
      </c>
      <c r="AF34">
        <v>9.6111111111111054</v>
      </c>
      <c r="AG34">
        <v>10.90699372382961</v>
      </c>
      <c r="AH34">
        <f>10.4082295574882*1</f>
        <v>10.4082295574882</v>
      </c>
      <c r="AI34">
        <f>2.56728992327766*1</f>
        <v>2.5672899232776598</v>
      </c>
      <c r="AJ34">
        <v>1</v>
      </c>
      <c r="AK34">
        <v>0</v>
      </c>
      <c r="AL34">
        <v>0</v>
      </c>
      <c r="AN34" t="s">
        <v>27</v>
      </c>
      <c r="AO34">
        <f>SUMPRODUCT(Table1[Selected],Table1[SHU])</f>
        <v>0</v>
      </c>
      <c r="AP34">
        <v>3</v>
      </c>
    </row>
    <row r="35" spans="1:42" hidden="1" x14ac:dyDescent="0.2">
      <c r="A35" t="s">
        <v>115</v>
      </c>
      <c r="B35" t="s">
        <v>116</v>
      </c>
      <c r="C35" t="s">
        <v>116</v>
      </c>
      <c r="D35" t="s">
        <v>3</v>
      </c>
      <c r="E35">
        <v>1</v>
      </c>
      <c r="F35">
        <v>0</v>
      </c>
      <c r="G35">
        <v>0</v>
      </c>
      <c r="H35">
        <v>0</v>
      </c>
      <c r="I35" t="s">
        <v>14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4.7</v>
      </c>
      <c r="AE35">
        <v>132</v>
      </c>
      <c r="AF35">
        <v>12.75</v>
      </c>
      <c r="AG35">
        <v>6.0108869252584221</v>
      </c>
      <c r="AH35">
        <f>8.51106515997538*1</f>
        <v>8.5110651599753808</v>
      </c>
      <c r="AI35">
        <f>1.59192985051466*1</f>
        <v>1.59192985051466</v>
      </c>
      <c r="AJ35">
        <v>1</v>
      </c>
      <c r="AK35">
        <v>0</v>
      </c>
      <c r="AL35">
        <v>0</v>
      </c>
      <c r="AN35" t="s">
        <v>28</v>
      </c>
      <c r="AO35">
        <f>SUMPRODUCT(Table1[Selected],Table1[TOT])</f>
        <v>0</v>
      </c>
      <c r="AP35">
        <v>3</v>
      </c>
    </row>
    <row r="36" spans="1:42" hidden="1" x14ac:dyDescent="0.2">
      <c r="A36" t="s">
        <v>117</v>
      </c>
      <c r="B36" t="s">
        <v>118</v>
      </c>
      <c r="C36" t="s">
        <v>118</v>
      </c>
      <c r="D36" t="s">
        <v>5</v>
      </c>
      <c r="E36">
        <v>0</v>
      </c>
      <c r="F36">
        <v>0</v>
      </c>
      <c r="G36">
        <v>1</v>
      </c>
      <c r="H36">
        <v>0</v>
      </c>
      <c r="I36" t="s">
        <v>14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5.3</v>
      </c>
      <c r="AE36">
        <v>136</v>
      </c>
      <c r="AF36">
        <v>10.25</v>
      </c>
      <c r="AG36">
        <v>10.58043053322586</v>
      </c>
      <c r="AH36">
        <f>10.4416164573777*1</f>
        <v>10.4416164573777</v>
      </c>
      <c r="AI36">
        <f>2.72720187672572*1</f>
        <v>2.72720187672572</v>
      </c>
      <c r="AJ36">
        <v>1</v>
      </c>
      <c r="AK36">
        <v>0</v>
      </c>
      <c r="AL36">
        <v>0</v>
      </c>
      <c r="AN36" t="s">
        <v>29</v>
      </c>
      <c r="AO36">
        <f>SUMPRODUCT(Table1[Selected],Table1[WHU])</f>
        <v>0</v>
      </c>
      <c r="AP36">
        <v>3</v>
      </c>
    </row>
    <row r="37" spans="1:42" hidden="1" x14ac:dyDescent="0.2">
      <c r="A37" t="s">
        <v>119</v>
      </c>
      <c r="B37" t="s">
        <v>120</v>
      </c>
      <c r="C37" t="s">
        <v>120</v>
      </c>
      <c r="D37" t="s">
        <v>5</v>
      </c>
      <c r="E37">
        <v>0</v>
      </c>
      <c r="F37">
        <v>0</v>
      </c>
      <c r="G37">
        <v>1</v>
      </c>
      <c r="H37">
        <v>0</v>
      </c>
      <c r="I37" t="s">
        <v>14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5.3</v>
      </c>
      <c r="AE37">
        <v>137</v>
      </c>
      <c r="AF37">
        <v>11.70021368559564</v>
      </c>
      <c r="AG37">
        <v>12.523050912182359</v>
      </c>
      <c r="AH37">
        <f>12.1980026230061*1</f>
        <v>12.198002623006101</v>
      </c>
      <c r="AI37">
        <f>3.09133141601799*1</f>
        <v>3.0913314160179901</v>
      </c>
      <c r="AJ37">
        <v>1</v>
      </c>
      <c r="AK37">
        <v>0</v>
      </c>
      <c r="AL37">
        <v>0</v>
      </c>
      <c r="AN37" t="s">
        <v>30</v>
      </c>
      <c r="AO37">
        <f>SUMPRODUCT(Table1[Selected],Table1[WOL])</f>
        <v>2</v>
      </c>
      <c r="AP37">
        <v>3</v>
      </c>
    </row>
    <row r="38" spans="1:42" hidden="1" x14ac:dyDescent="0.2">
      <c r="A38" t="s">
        <v>121</v>
      </c>
      <c r="B38" t="s">
        <v>122</v>
      </c>
      <c r="C38" t="s">
        <v>122</v>
      </c>
      <c r="D38" t="s">
        <v>5</v>
      </c>
      <c r="E38">
        <v>0</v>
      </c>
      <c r="F38">
        <v>0</v>
      </c>
      <c r="G38">
        <v>1</v>
      </c>
      <c r="H38">
        <v>0</v>
      </c>
      <c r="I38" t="s">
        <v>14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4.7</v>
      </c>
      <c r="AE38">
        <v>138</v>
      </c>
      <c r="AF38">
        <v>8.7777777777777768</v>
      </c>
      <c r="AG38">
        <v>9.3256031749941659</v>
      </c>
      <c r="AH38">
        <f>9.10771958031483*1</f>
        <v>9.1077195803148303</v>
      </c>
      <c r="AI38">
        <f>2.32975383084883*1</f>
        <v>2.3297538308488299</v>
      </c>
      <c r="AJ38">
        <v>1</v>
      </c>
      <c r="AK38">
        <v>0</v>
      </c>
      <c r="AL38">
        <v>0</v>
      </c>
    </row>
    <row r="39" spans="1:42" hidden="1" x14ac:dyDescent="0.2">
      <c r="A39" t="s">
        <v>123</v>
      </c>
      <c r="B39" t="s">
        <v>124</v>
      </c>
      <c r="C39" t="s">
        <v>124</v>
      </c>
      <c r="D39" t="s">
        <v>5</v>
      </c>
      <c r="E39">
        <v>0</v>
      </c>
      <c r="F39">
        <v>0</v>
      </c>
      <c r="G39">
        <v>1</v>
      </c>
      <c r="H39">
        <v>0</v>
      </c>
      <c r="I39" t="s">
        <v>14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6.8</v>
      </c>
      <c r="AE39">
        <v>139</v>
      </c>
      <c r="AF39">
        <v>16.04395604395604</v>
      </c>
      <c r="AG39">
        <v>14.729310816863791</v>
      </c>
      <c r="AH39">
        <f>15.1968109036498*1</f>
        <v>15.1968109036498</v>
      </c>
      <c r="AI39">
        <f>3.88571193496667*1</f>
        <v>3.88571193496667</v>
      </c>
      <c r="AJ39">
        <v>1</v>
      </c>
      <c r="AK39">
        <v>0</v>
      </c>
      <c r="AL39">
        <v>0</v>
      </c>
    </row>
    <row r="40" spans="1:42" hidden="1" x14ac:dyDescent="0.2">
      <c r="A40" t="s">
        <v>125</v>
      </c>
      <c r="B40" t="s">
        <v>126</v>
      </c>
      <c r="C40" t="s">
        <v>126</v>
      </c>
      <c r="D40" t="s">
        <v>4</v>
      </c>
      <c r="E40">
        <v>0</v>
      </c>
      <c r="F40">
        <v>1</v>
      </c>
      <c r="G40">
        <v>0</v>
      </c>
      <c r="H40">
        <v>0</v>
      </c>
      <c r="I40" t="s">
        <v>14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4.5</v>
      </c>
      <c r="AE40">
        <v>143</v>
      </c>
      <c r="AF40">
        <v>12.3855421686747</v>
      </c>
      <c r="AG40">
        <v>13.673443894172459</v>
      </c>
      <c r="AH40">
        <f>13.1735236192595*1</f>
        <v>13.1735236192595</v>
      </c>
      <c r="AI40">
        <f>3.53222329507314*1</f>
        <v>3.5322232950731398</v>
      </c>
      <c r="AJ40">
        <v>1</v>
      </c>
      <c r="AK40">
        <v>0</v>
      </c>
      <c r="AL40">
        <v>0</v>
      </c>
    </row>
    <row r="41" spans="1:42" hidden="1" x14ac:dyDescent="0.2">
      <c r="A41" t="s">
        <v>127</v>
      </c>
      <c r="B41" t="s">
        <v>128</v>
      </c>
      <c r="C41" t="s">
        <v>129</v>
      </c>
      <c r="D41" t="s">
        <v>4</v>
      </c>
      <c r="E41">
        <v>0</v>
      </c>
      <c r="F41">
        <v>1</v>
      </c>
      <c r="G41">
        <v>0</v>
      </c>
      <c r="H41">
        <v>0</v>
      </c>
      <c r="I41" t="s">
        <v>14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4.4000000000000004</v>
      </c>
      <c r="AE41">
        <v>144</v>
      </c>
      <c r="AF41">
        <v>8.7800067572568494</v>
      </c>
      <c r="AG41">
        <v>7.0807605079681402</v>
      </c>
      <c r="AH41">
        <f>7.70286932384741*1</f>
        <v>7.70286932384741</v>
      </c>
      <c r="AI41">
        <f>2.48109449280942*1</f>
        <v>2.4810944928094201</v>
      </c>
      <c r="AJ41">
        <v>1</v>
      </c>
      <c r="AK41">
        <v>0</v>
      </c>
      <c r="AL41">
        <v>0</v>
      </c>
    </row>
    <row r="42" spans="1:42" hidden="1" x14ac:dyDescent="0.2">
      <c r="A42" t="s">
        <v>130</v>
      </c>
      <c r="B42" t="s">
        <v>131</v>
      </c>
      <c r="C42" t="s">
        <v>131</v>
      </c>
      <c r="D42" t="s">
        <v>6</v>
      </c>
      <c r="E42">
        <v>0</v>
      </c>
      <c r="F42">
        <v>0</v>
      </c>
      <c r="G42">
        <v>0</v>
      </c>
      <c r="H42">
        <v>1</v>
      </c>
      <c r="I42" t="s">
        <v>14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5.7</v>
      </c>
      <c r="AE42">
        <v>149</v>
      </c>
      <c r="AF42">
        <v>13.61553187319018</v>
      </c>
      <c r="AG42">
        <v>14.770345232479089</v>
      </c>
      <c r="AH42">
        <f>14.3183406093215*1</f>
        <v>14.318340609321501</v>
      </c>
      <c r="AI42">
        <f>4.21378420569115*1</f>
        <v>4.2137842056911499</v>
      </c>
      <c r="AJ42">
        <v>1</v>
      </c>
      <c r="AK42">
        <v>0</v>
      </c>
      <c r="AL42">
        <v>0</v>
      </c>
    </row>
    <row r="43" spans="1:42" hidden="1" x14ac:dyDescent="0.2">
      <c r="A43" t="s">
        <v>132</v>
      </c>
      <c r="B43" t="s">
        <v>133</v>
      </c>
      <c r="C43" t="s">
        <v>133</v>
      </c>
      <c r="D43" t="s">
        <v>5</v>
      </c>
      <c r="E43">
        <v>0</v>
      </c>
      <c r="F43">
        <v>0</v>
      </c>
      <c r="G43">
        <v>1</v>
      </c>
      <c r="H43">
        <v>0</v>
      </c>
      <c r="I43" t="s">
        <v>15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5</v>
      </c>
      <c r="AE43">
        <v>164</v>
      </c>
      <c r="AF43">
        <v>18.099393188863971</v>
      </c>
      <c r="AG43">
        <v>0</v>
      </c>
      <c r="AH43">
        <f>21.3956147274392*1</f>
        <v>21.395614727439199</v>
      </c>
      <c r="AI43">
        <f>5.44766167137069*1</f>
        <v>5.4476616713706898</v>
      </c>
      <c r="AJ43">
        <v>1</v>
      </c>
      <c r="AK43">
        <v>0</v>
      </c>
      <c r="AL43">
        <v>0</v>
      </c>
    </row>
    <row r="44" spans="1:42" x14ac:dyDescent="0.2">
      <c r="A44" t="s">
        <v>237</v>
      </c>
      <c r="B44" t="s">
        <v>238</v>
      </c>
      <c r="C44" t="s">
        <v>238</v>
      </c>
      <c r="D44" t="s">
        <v>6</v>
      </c>
      <c r="E44">
        <v>0</v>
      </c>
      <c r="F44">
        <v>0</v>
      </c>
      <c r="G44">
        <v>0</v>
      </c>
      <c r="H44">
        <v>1</v>
      </c>
      <c r="I44" t="s">
        <v>22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4.9000000000000004</v>
      </c>
      <c r="AE44">
        <v>477</v>
      </c>
      <c r="AF44">
        <v>0</v>
      </c>
      <c r="AG44">
        <v>17.841501139956971</v>
      </c>
      <c r="AH44">
        <f>24.9710144628298*1</f>
        <v>24.9710144628298</v>
      </c>
      <c r="AI44">
        <f>6.4241228278986*1</f>
        <v>6.4241228278986</v>
      </c>
      <c r="AJ44">
        <v>1</v>
      </c>
      <c r="AK44">
        <v>1</v>
      </c>
      <c r="AL44">
        <v>1</v>
      </c>
    </row>
    <row r="45" spans="1:42" x14ac:dyDescent="0.2">
      <c r="A45" t="s">
        <v>258</v>
      </c>
      <c r="B45" t="s">
        <v>259</v>
      </c>
      <c r="C45" t="s">
        <v>259</v>
      </c>
      <c r="D45" t="s">
        <v>5</v>
      </c>
      <c r="E45">
        <v>0</v>
      </c>
      <c r="F45">
        <v>0</v>
      </c>
      <c r="G45">
        <v>1</v>
      </c>
      <c r="H45">
        <v>0</v>
      </c>
      <c r="I45" t="s">
        <v>23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8.1999999999999993</v>
      </c>
      <c r="AE45">
        <v>523</v>
      </c>
      <c r="AF45">
        <v>37.988855739607018</v>
      </c>
      <c r="AG45">
        <v>0</v>
      </c>
      <c r="AH45">
        <f>40.0214256393443*1</f>
        <v>40.021425639344301</v>
      </c>
      <c r="AI45">
        <f>5.8271522587868*1</f>
        <v>5.8271522587867999</v>
      </c>
      <c r="AJ45">
        <v>1</v>
      </c>
      <c r="AK45">
        <v>1</v>
      </c>
      <c r="AL45">
        <v>1</v>
      </c>
    </row>
    <row r="46" spans="1:42" hidden="1" x14ac:dyDescent="0.2">
      <c r="A46" t="s">
        <v>138</v>
      </c>
      <c r="B46" t="s">
        <v>139</v>
      </c>
      <c r="C46" t="s">
        <v>138</v>
      </c>
      <c r="D46" t="s">
        <v>6</v>
      </c>
      <c r="E46">
        <v>0</v>
      </c>
      <c r="F46">
        <v>0</v>
      </c>
      <c r="G46">
        <v>0</v>
      </c>
      <c r="H46">
        <v>1</v>
      </c>
      <c r="I46" t="s">
        <v>15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5.2</v>
      </c>
      <c r="AE46">
        <v>176</v>
      </c>
      <c r="AF46">
        <v>17.592285004734801</v>
      </c>
      <c r="AG46">
        <v>0</v>
      </c>
      <c r="AH46">
        <f>20.7961531201056*1</f>
        <v>20.7961531201056</v>
      </c>
      <c r="AI46">
        <f>3.32031736752849*1</f>
        <v>3.32031736752849</v>
      </c>
      <c r="AJ46">
        <v>1</v>
      </c>
      <c r="AK46">
        <v>0</v>
      </c>
      <c r="AL46">
        <v>0</v>
      </c>
    </row>
    <row r="47" spans="1:42" hidden="1" x14ac:dyDescent="0.2">
      <c r="A47" t="s">
        <v>140</v>
      </c>
      <c r="B47" t="s">
        <v>141</v>
      </c>
      <c r="C47" t="s">
        <v>141</v>
      </c>
      <c r="D47" t="s">
        <v>6</v>
      </c>
      <c r="E47">
        <v>0</v>
      </c>
      <c r="F47">
        <v>0</v>
      </c>
      <c r="G47">
        <v>0</v>
      </c>
      <c r="H47">
        <v>1</v>
      </c>
      <c r="I47" t="s">
        <v>15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5.7</v>
      </c>
      <c r="AE47">
        <v>194</v>
      </c>
      <c r="AF47">
        <v>14.871133485174621</v>
      </c>
      <c r="AG47">
        <v>0</v>
      </c>
      <c r="AH47">
        <f>17.5794314919287*1</f>
        <v>17.579431491928698</v>
      </c>
      <c r="AI47">
        <f>3.39432654801038*1</f>
        <v>3.3943265480103801</v>
      </c>
      <c r="AJ47">
        <v>1</v>
      </c>
      <c r="AK47">
        <v>0</v>
      </c>
      <c r="AL47">
        <v>0</v>
      </c>
    </row>
    <row r="48" spans="1:42" hidden="1" x14ac:dyDescent="0.2">
      <c r="A48" t="s">
        <v>142</v>
      </c>
      <c r="B48" t="s">
        <v>143</v>
      </c>
      <c r="C48" t="s">
        <v>143</v>
      </c>
      <c r="D48" t="s">
        <v>5</v>
      </c>
      <c r="E48">
        <v>0</v>
      </c>
      <c r="F48">
        <v>0</v>
      </c>
      <c r="G48">
        <v>1</v>
      </c>
      <c r="H48">
        <v>0</v>
      </c>
      <c r="I48" t="s">
        <v>16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4.7</v>
      </c>
      <c r="AE48">
        <v>215</v>
      </c>
      <c r="AF48">
        <v>10.94671682865151</v>
      </c>
      <c r="AG48">
        <v>0</v>
      </c>
      <c r="AH48">
        <f>12.0384746268574*1</f>
        <v>12.038474626857401</v>
      </c>
      <c r="AI48">
        <f>4.32883326313375*1</f>
        <v>4.3288332631337498</v>
      </c>
      <c r="AJ48">
        <v>1</v>
      </c>
      <c r="AK48">
        <v>0</v>
      </c>
      <c r="AL48">
        <v>0</v>
      </c>
    </row>
    <row r="49" spans="1:38" hidden="1" x14ac:dyDescent="0.2">
      <c r="A49" t="s">
        <v>144</v>
      </c>
      <c r="B49" t="s">
        <v>145</v>
      </c>
      <c r="C49" t="s">
        <v>145</v>
      </c>
      <c r="D49" t="s">
        <v>4</v>
      </c>
      <c r="E49">
        <v>0</v>
      </c>
      <c r="F49">
        <v>1</v>
      </c>
      <c r="G49">
        <v>0</v>
      </c>
      <c r="H49">
        <v>0</v>
      </c>
      <c r="I49" t="s">
        <v>16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4.4000000000000004</v>
      </c>
      <c r="AE49">
        <v>227</v>
      </c>
      <c r="AF49">
        <v>6.6909090909090914</v>
      </c>
      <c r="AG49">
        <v>0</v>
      </c>
      <c r="AH49">
        <f>7.35821896029091*1</f>
        <v>7.3582189602909098</v>
      </c>
      <c r="AI49">
        <f>1.83955474007272*1</f>
        <v>1.8395547400727199</v>
      </c>
      <c r="AJ49">
        <v>1</v>
      </c>
      <c r="AK49">
        <v>0</v>
      </c>
      <c r="AL49">
        <v>0</v>
      </c>
    </row>
    <row r="50" spans="1:38" hidden="1" x14ac:dyDescent="0.2">
      <c r="A50" t="s">
        <v>146</v>
      </c>
      <c r="B50" t="s">
        <v>147</v>
      </c>
      <c r="C50" t="s">
        <v>147</v>
      </c>
      <c r="D50" t="s">
        <v>5</v>
      </c>
      <c r="E50">
        <v>0</v>
      </c>
      <c r="F50">
        <v>0</v>
      </c>
      <c r="G50">
        <v>1</v>
      </c>
      <c r="H50">
        <v>0</v>
      </c>
      <c r="I50" t="s">
        <v>16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4.8</v>
      </c>
      <c r="AE50">
        <v>245</v>
      </c>
      <c r="AF50">
        <v>11.133513522810439</v>
      </c>
      <c r="AG50">
        <v>0</v>
      </c>
      <c r="AH50">
        <f>12.2439012673938*1</f>
        <v>12.243901267393801</v>
      </c>
      <c r="AI50">
        <f>1.07191211655034*1</f>
        <v>1.07191211655034</v>
      </c>
      <c r="AJ50">
        <v>1</v>
      </c>
      <c r="AK50">
        <v>0</v>
      </c>
      <c r="AL50">
        <v>0</v>
      </c>
    </row>
    <row r="51" spans="1:38" hidden="1" x14ac:dyDescent="0.2">
      <c r="A51" t="s">
        <v>148</v>
      </c>
      <c r="B51" t="s">
        <v>149</v>
      </c>
      <c r="C51" t="s">
        <v>149</v>
      </c>
      <c r="D51" t="s">
        <v>5</v>
      </c>
      <c r="E51">
        <v>0</v>
      </c>
      <c r="F51">
        <v>0</v>
      </c>
      <c r="G51">
        <v>1</v>
      </c>
      <c r="H51">
        <v>0</v>
      </c>
      <c r="I51" t="s">
        <v>16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5</v>
      </c>
      <c r="AE51">
        <v>247</v>
      </c>
      <c r="AF51">
        <v>12</v>
      </c>
      <c r="AG51">
        <v>0</v>
      </c>
      <c r="AH51">
        <f>13.196805744*1</f>
        <v>13.196805744000001</v>
      </c>
      <c r="AI51">
        <f>3.299201436*1</f>
        <v>3.2992014360000002</v>
      </c>
      <c r="AJ51">
        <v>1</v>
      </c>
      <c r="AK51">
        <v>0</v>
      </c>
      <c r="AL51">
        <v>0</v>
      </c>
    </row>
    <row r="52" spans="1:38" hidden="1" x14ac:dyDescent="0.2">
      <c r="A52" t="s">
        <v>150</v>
      </c>
      <c r="B52" t="s">
        <v>151</v>
      </c>
      <c r="C52" t="s">
        <v>151</v>
      </c>
      <c r="D52" t="s">
        <v>4</v>
      </c>
      <c r="E52">
        <v>0</v>
      </c>
      <c r="F52">
        <v>1</v>
      </c>
      <c r="G52">
        <v>0</v>
      </c>
      <c r="H52">
        <v>0</v>
      </c>
      <c r="I52" t="s">
        <v>17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4.5999999999999996</v>
      </c>
      <c r="AE52">
        <v>267</v>
      </c>
      <c r="AF52">
        <v>16.15384615384616</v>
      </c>
      <c r="AG52">
        <v>0</v>
      </c>
      <c r="AH52">
        <f>16.6664998968461*1</f>
        <v>16.666499896846101</v>
      </c>
      <c r="AI52">
        <f>5.55549996561538*1</f>
        <v>5.5554999656153798</v>
      </c>
      <c r="AJ52">
        <v>1</v>
      </c>
      <c r="AK52">
        <v>0</v>
      </c>
      <c r="AL52">
        <v>0</v>
      </c>
    </row>
    <row r="53" spans="1:38" hidden="1" x14ac:dyDescent="0.2">
      <c r="A53" t="s">
        <v>152</v>
      </c>
      <c r="B53" t="s">
        <v>153</v>
      </c>
      <c r="C53" t="s">
        <v>152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17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4.8</v>
      </c>
      <c r="AE53">
        <v>269</v>
      </c>
      <c r="AF53">
        <v>15.95454545454545</v>
      </c>
      <c r="AG53">
        <v>0</v>
      </c>
      <c r="AH53">
        <f>16.4608742487681*1</f>
        <v>16.4608742487681</v>
      </c>
      <c r="AI53">
        <f>5.48695808292272*1</f>
        <v>5.4869580829227198</v>
      </c>
      <c r="AJ53">
        <v>1</v>
      </c>
      <c r="AK53">
        <v>0</v>
      </c>
      <c r="AL53">
        <v>0</v>
      </c>
    </row>
    <row r="54" spans="1:38" hidden="1" x14ac:dyDescent="0.2">
      <c r="A54" t="s">
        <v>154</v>
      </c>
      <c r="B54" t="s">
        <v>155</v>
      </c>
      <c r="C54" t="s">
        <v>155</v>
      </c>
      <c r="D54" t="s">
        <v>5</v>
      </c>
      <c r="E54">
        <v>0</v>
      </c>
      <c r="F54">
        <v>0</v>
      </c>
      <c r="G54">
        <v>1</v>
      </c>
      <c r="H54">
        <v>0</v>
      </c>
      <c r="I54" t="s">
        <v>17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5.4</v>
      </c>
      <c r="AE54">
        <v>271</v>
      </c>
      <c r="AF54">
        <v>17.811874307575209</v>
      </c>
      <c r="AG54">
        <v>0</v>
      </c>
      <c r="AH54">
        <f>18.3771467477519*1</f>
        <v>18.377146747751901</v>
      </c>
      <c r="AI54">
        <f>6.38873683563276*1</f>
        <v>6.3887368356327601</v>
      </c>
      <c r="AJ54">
        <v>1</v>
      </c>
      <c r="AK54">
        <v>0</v>
      </c>
      <c r="AL54">
        <v>0</v>
      </c>
    </row>
    <row r="55" spans="1:38" hidden="1" x14ac:dyDescent="0.2">
      <c r="A55" t="s">
        <v>156</v>
      </c>
      <c r="B55" t="s">
        <v>157</v>
      </c>
      <c r="C55" t="s">
        <v>157</v>
      </c>
      <c r="D55" t="s">
        <v>5</v>
      </c>
      <c r="E55">
        <v>0</v>
      </c>
      <c r="F55">
        <v>0</v>
      </c>
      <c r="G55">
        <v>1</v>
      </c>
      <c r="H55">
        <v>0</v>
      </c>
      <c r="I55" t="s">
        <v>17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6.3</v>
      </c>
      <c r="AE55">
        <v>276</v>
      </c>
      <c r="AF55">
        <v>15.69230769230769</v>
      </c>
      <c r="AG55">
        <v>0</v>
      </c>
      <c r="AH55">
        <f>16.1903141855076*1</f>
        <v>16.190314185507599</v>
      </c>
      <c r="AI55">
        <f>5.39677139516923*1</f>
        <v>5.39677139516923</v>
      </c>
      <c r="AJ55">
        <v>1</v>
      </c>
      <c r="AK55">
        <v>0</v>
      </c>
      <c r="AL55">
        <v>0</v>
      </c>
    </row>
    <row r="56" spans="1:38" hidden="1" x14ac:dyDescent="0.2">
      <c r="A56" t="s">
        <v>158</v>
      </c>
      <c r="B56" t="s">
        <v>159</v>
      </c>
      <c r="C56" t="s">
        <v>160</v>
      </c>
      <c r="D56" t="s">
        <v>6</v>
      </c>
      <c r="E56">
        <v>0</v>
      </c>
      <c r="F56">
        <v>0</v>
      </c>
      <c r="G56">
        <v>0</v>
      </c>
      <c r="H56">
        <v>1</v>
      </c>
      <c r="I56" t="s">
        <v>17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6.8</v>
      </c>
      <c r="AE56">
        <v>277</v>
      </c>
      <c r="AF56">
        <v>22.551724137931021</v>
      </c>
      <c r="AG56">
        <v>0</v>
      </c>
      <c r="AH56">
        <f>23.2674190678137*1</f>
        <v>23.267419067813702</v>
      </c>
      <c r="AI56">
        <f>7.75580635593792*1</f>
        <v>7.7558063559379198</v>
      </c>
      <c r="AJ56">
        <v>1</v>
      </c>
      <c r="AK56">
        <v>0</v>
      </c>
      <c r="AL56">
        <v>0</v>
      </c>
    </row>
    <row r="57" spans="1:38" hidden="1" x14ac:dyDescent="0.2">
      <c r="A57" t="s">
        <v>161</v>
      </c>
      <c r="B57" t="s">
        <v>162</v>
      </c>
      <c r="C57" t="s">
        <v>163</v>
      </c>
      <c r="D57" t="s">
        <v>4</v>
      </c>
      <c r="E57">
        <v>0</v>
      </c>
      <c r="F57">
        <v>1</v>
      </c>
      <c r="G57">
        <v>0</v>
      </c>
      <c r="H57">
        <v>0</v>
      </c>
      <c r="I57" t="s">
        <v>17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5</v>
      </c>
      <c r="AE57">
        <v>283</v>
      </c>
      <c r="AF57">
        <v>20.44444444444445</v>
      </c>
      <c r="AG57">
        <v>0</v>
      </c>
      <c r="AH57">
        <f>21.0932633615111*1</f>
        <v>21.093263361511099</v>
      </c>
      <c r="AI57">
        <f>7.03108778717037*1</f>
        <v>7.0310877871703701</v>
      </c>
      <c r="AJ57">
        <v>1</v>
      </c>
      <c r="AK57">
        <v>0</v>
      </c>
      <c r="AL57">
        <v>0</v>
      </c>
    </row>
    <row r="58" spans="1:38" x14ac:dyDescent="0.2">
      <c r="A58" t="s">
        <v>52</v>
      </c>
      <c r="B58" t="s">
        <v>53</v>
      </c>
      <c r="C58" t="s">
        <v>53</v>
      </c>
      <c r="D58" t="s">
        <v>5</v>
      </c>
      <c r="E58">
        <v>0</v>
      </c>
      <c r="F58">
        <v>0</v>
      </c>
      <c r="G58">
        <v>1</v>
      </c>
      <c r="H58">
        <v>0</v>
      </c>
      <c r="I58" t="s">
        <v>11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9</v>
      </c>
      <c r="AE58">
        <v>17</v>
      </c>
      <c r="AF58">
        <v>24.463407207660101</v>
      </c>
      <c r="AG58">
        <v>15.13717792072641</v>
      </c>
      <c r="AH58">
        <f>25.2728047778476*1</f>
        <v>25.2728047778476</v>
      </c>
      <c r="AI58">
        <f>5.8193957330108*1</f>
        <v>5.8193957330107997</v>
      </c>
      <c r="AJ58">
        <v>1</v>
      </c>
      <c r="AK58">
        <v>1</v>
      </c>
      <c r="AL58">
        <v>1</v>
      </c>
    </row>
    <row r="59" spans="1:38" hidden="1" x14ac:dyDescent="0.2">
      <c r="A59" t="s">
        <v>166</v>
      </c>
      <c r="B59" t="s">
        <v>167</v>
      </c>
      <c r="C59" t="s">
        <v>167</v>
      </c>
      <c r="D59" t="s">
        <v>4</v>
      </c>
      <c r="E59">
        <v>0</v>
      </c>
      <c r="F59">
        <v>1</v>
      </c>
      <c r="G59">
        <v>0</v>
      </c>
      <c r="H59">
        <v>0</v>
      </c>
      <c r="I59" t="s">
        <v>18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4.7</v>
      </c>
      <c r="AE59">
        <v>313</v>
      </c>
      <c r="AF59">
        <v>12.29032258064516</v>
      </c>
      <c r="AG59">
        <v>0</v>
      </c>
      <c r="AH59">
        <f>16.8317894975128*1</f>
        <v>16.831789497512801</v>
      </c>
      <c r="AI59">
        <f>4.20794737437822*1</f>
        <v>4.2079473743782199</v>
      </c>
      <c r="AJ59">
        <v>1</v>
      </c>
      <c r="AK59">
        <v>0</v>
      </c>
      <c r="AL59">
        <v>0</v>
      </c>
    </row>
    <row r="60" spans="1:38" hidden="1" x14ac:dyDescent="0.2">
      <c r="A60" t="s">
        <v>168</v>
      </c>
      <c r="B60" t="s">
        <v>169</v>
      </c>
      <c r="C60" t="s">
        <v>170</v>
      </c>
      <c r="D60" t="s">
        <v>5</v>
      </c>
      <c r="E60">
        <v>0</v>
      </c>
      <c r="F60">
        <v>0</v>
      </c>
      <c r="G60">
        <v>1</v>
      </c>
      <c r="H60">
        <v>0</v>
      </c>
      <c r="I60" t="s">
        <v>18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5.4</v>
      </c>
      <c r="AE60">
        <v>314</v>
      </c>
      <c r="AF60">
        <v>11.329729729729729</v>
      </c>
      <c r="AG60">
        <v>0</v>
      </c>
      <c r="AH60">
        <f>15.5162425252237*1</f>
        <v>15.516242525223699</v>
      </c>
      <c r="AI60">
        <f>3.87906063130594*1</f>
        <v>3.8790606313059399</v>
      </c>
      <c r="AJ60">
        <v>1</v>
      </c>
      <c r="AK60">
        <v>0</v>
      </c>
      <c r="AL60">
        <v>0</v>
      </c>
    </row>
    <row r="61" spans="1:38" hidden="1" x14ac:dyDescent="0.2">
      <c r="A61" t="s">
        <v>171</v>
      </c>
      <c r="B61" t="s">
        <v>172</v>
      </c>
      <c r="C61" t="s">
        <v>172</v>
      </c>
      <c r="D61" t="s">
        <v>5</v>
      </c>
      <c r="E61">
        <v>0</v>
      </c>
      <c r="F61">
        <v>0</v>
      </c>
      <c r="G61">
        <v>1</v>
      </c>
      <c r="H61">
        <v>0</v>
      </c>
      <c r="I61" t="s">
        <v>18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6.1</v>
      </c>
      <c r="AE61">
        <v>319</v>
      </c>
      <c r="AF61">
        <v>15.14563106796116</v>
      </c>
      <c r="AG61">
        <v>0</v>
      </c>
      <c r="AH61">
        <f>20.742179244699*1</f>
        <v>20.742179244698999</v>
      </c>
      <c r="AI61">
        <f>5.18554481117475*1</f>
        <v>5.1855448111747497</v>
      </c>
      <c r="AJ61">
        <v>1</v>
      </c>
      <c r="AK61">
        <v>0</v>
      </c>
      <c r="AL61">
        <v>0</v>
      </c>
    </row>
    <row r="62" spans="1:38" hidden="1" x14ac:dyDescent="0.2">
      <c r="A62" t="s">
        <v>173</v>
      </c>
      <c r="B62" t="s">
        <v>174</v>
      </c>
      <c r="C62" t="s">
        <v>174</v>
      </c>
      <c r="D62" t="s">
        <v>5</v>
      </c>
      <c r="E62">
        <v>0</v>
      </c>
      <c r="F62">
        <v>0</v>
      </c>
      <c r="G62">
        <v>1</v>
      </c>
      <c r="H62">
        <v>0</v>
      </c>
      <c r="I62" t="s">
        <v>18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4.9000000000000004</v>
      </c>
      <c r="AE62">
        <v>322</v>
      </c>
      <c r="AF62">
        <v>8.5</v>
      </c>
      <c r="AG62">
        <v>0</v>
      </c>
      <c r="AH62">
        <f>11.64088328765*1</f>
        <v>11.64088328765</v>
      </c>
      <c r="AI62">
        <f>2.9102208219125*1</f>
        <v>2.9102208219125001</v>
      </c>
      <c r="AJ62">
        <v>1</v>
      </c>
      <c r="AK62">
        <v>0</v>
      </c>
      <c r="AL62">
        <v>0</v>
      </c>
    </row>
    <row r="63" spans="1:38" hidden="1" x14ac:dyDescent="0.2">
      <c r="A63" t="s">
        <v>175</v>
      </c>
      <c r="B63" t="s">
        <v>176</v>
      </c>
      <c r="C63" t="s">
        <v>177</v>
      </c>
      <c r="D63" t="s">
        <v>5</v>
      </c>
      <c r="E63">
        <v>0</v>
      </c>
      <c r="F63">
        <v>0</v>
      </c>
      <c r="G63">
        <v>1</v>
      </c>
      <c r="H63">
        <v>0</v>
      </c>
      <c r="I63" t="s">
        <v>18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4.7</v>
      </c>
      <c r="AE63">
        <v>324</v>
      </c>
      <c r="AF63">
        <v>10.450326973350609</v>
      </c>
      <c r="AG63">
        <v>0</v>
      </c>
      <c r="AH63">
        <f>14.3118866605358*1</f>
        <v>14.3118866605358</v>
      </c>
      <c r="AI63">
        <f>3.78445662352983*1</f>
        <v>3.78445662352983</v>
      </c>
      <c r="AJ63">
        <v>1</v>
      </c>
      <c r="AK63">
        <v>0</v>
      </c>
      <c r="AL63">
        <v>0</v>
      </c>
    </row>
    <row r="64" spans="1:38" hidden="1" x14ac:dyDescent="0.2">
      <c r="A64" t="s">
        <v>178</v>
      </c>
      <c r="B64" t="s">
        <v>179</v>
      </c>
      <c r="C64" t="s">
        <v>179</v>
      </c>
      <c r="D64" t="s">
        <v>6</v>
      </c>
      <c r="E64">
        <v>0</v>
      </c>
      <c r="F64">
        <v>0</v>
      </c>
      <c r="G64">
        <v>0</v>
      </c>
      <c r="H64">
        <v>1</v>
      </c>
      <c r="I64" t="s">
        <v>18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5.0999999999999996</v>
      </c>
      <c r="AE64">
        <v>325</v>
      </c>
      <c r="AF64">
        <v>20.522058781538259</v>
      </c>
      <c r="AG64">
        <v>0</v>
      </c>
      <c r="AH64">
        <f>28.1052813056681*1</f>
        <v>28.1052813056681</v>
      </c>
      <c r="AI64">
        <f>7.02632032641704*1</f>
        <v>7.0263203264170402</v>
      </c>
      <c r="AJ64">
        <v>1</v>
      </c>
      <c r="AK64">
        <v>0</v>
      </c>
      <c r="AL64">
        <v>0</v>
      </c>
    </row>
    <row r="65" spans="1:38" hidden="1" x14ac:dyDescent="0.2">
      <c r="A65" t="s">
        <v>180</v>
      </c>
      <c r="B65" t="s">
        <v>181</v>
      </c>
      <c r="C65" t="s">
        <v>181</v>
      </c>
      <c r="D65" t="s">
        <v>4</v>
      </c>
      <c r="E65">
        <v>0</v>
      </c>
      <c r="F65">
        <v>1</v>
      </c>
      <c r="G65">
        <v>0</v>
      </c>
      <c r="H65">
        <v>0</v>
      </c>
      <c r="I65" t="s">
        <v>18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4.5</v>
      </c>
      <c r="AE65">
        <v>327</v>
      </c>
      <c r="AF65">
        <v>7.4091362102787102</v>
      </c>
      <c r="AG65">
        <v>0</v>
      </c>
      <c r="AH65">
        <f>10.1469282219006*1</f>
        <v>10.1469282219006</v>
      </c>
      <c r="AI65">
        <f>0.85405205453405*1</f>
        <v>0.85405205453404998</v>
      </c>
      <c r="AJ65">
        <v>1</v>
      </c>
      <c r="AK65">
        <v>0</v>
      </c>
      <c r="AL65">
        <v>0</v>
      </c>
    </row>
    <row r="66" spans="1:38" hidden="1" x14ac:dyDescent="0.2">
      <c r="A66" t="s">
        <v>182</v>
      </c>
      <c r="B66" t="s">
        <v>183</v>
      </c>
      <c r="C66" t="s">
        <v>183</v>
      </c>
      <c r="D66" t="s">
        <v>4</v>
      </c>
      <c r="E66">
        <v>0</v>
      </c>
      <c r="F66">
        <v>1</v>
      </c>
      <c r="G66">
        <v>0</v>
      </c>
      <c r="H66">
        <v>0</v>
      </c>
      <c r="I66" t="s">
        <v>19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4.3</v>
      </c>
      <c r="AE66">
        <v>351</v>
      </c>
      <c r="AF66">
        <v>11.9</v>
      </c>
      <c r="AG66">
        <v>10.97069662304008</v>
      </c>
      <c r="AH66">
        <f>10.6989772496904*1</f>
        <v>10.698977249690399</v>
      </c>
      <c r="AI66">
        <f>2.64818467995166*1</f>
        <v>2.64818467995166</v>
      </c>
      <c r="AJ66">
        <v>1</v>
      </c>
      <c r="AK66">
        <v>0</v>
      </c>
      <c r="AL66">
        <v>0</v>
      </c>
    </row>
    <row r="67" spans="1:38" hidden="1" x14ac:dyDescent="0.2">
      <c r="A67" t="s">
        <v>103</v>
      </c>
      <c r="B67" t="s">
        <v>184</v>
      </c>
      <c r="C67" t="s">
        <v>184</v>
      </c>
      <c r="D67" t="s">
        <v>6</v>
      </c>
      <c r="E67">
        <v>0</v>
      </c>
      <c r="F67">
        <v>0</v>
      </c>
      <c r="G67">
        <v>0</v>
      </c>
      <c r="H67">
        <v>1</v>
      </c>
      <c r="I67" t="s">
        <v>19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5.8</v>
      </c>
      <c r="AE67">
        <v>352</v>
      </c>
      <c r="AF67">
        <v>13.964558561289939</v>
      </c>
      <c r="AG67">
        <v>13.00169464344094</v>
      </c>
      <c r="AH67">
        <f>12.6004793309239*1</f>
        <v>12.6004793309239</v>
      </c>
      <c r="AI67">
        <f>3.21102693981187*1</f>
        <v>3.21102693981187</v>
      </c>
      <c r="AJ67">
        <v>1</v>
      </c>
      <c r="AK67">
        <v>0</v>
      </c>
      <c r="AL67">
        <v>0</v>
      </c>
    </row>
    <row r="68" spans="1:38" hidden="1" x14ac:dyDescent="0.2">
      <c r="A68" t="s">
        <v>185</v>
      </c>
      <c r="B68" t="s">
        <v>186</v>
      </c>
      <c r="C68" t="s">
        <v>187</v>
      </c>
      <c r="D68" t="s">
        <v>5</v>
      </c>
      <c r="E68">
        <v>0</v>
      </c>
      <c r="F68">
        <v>0</v>
      </c>
      <c r="G68">
        <v>1</v>
      </c>
      <c r="H68">
        <v>0</v>
      </c>
      <c r="I68" t="s">
        <v>19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5.5</v>
      </c>
      <c r="AE68">
        <v>355</v>
      </c>
      <c r="AF68">
        <v>11.32317497019314</v>
      </c>
      <c r="AG68">
        <v>11.26469629267948</v>
      </c>
      <c r="AH68">
        <f>10.4734567918343*1</f>
        <v>10.4734567918343</v>
      </c>
      <c r="AI68">
        <f>1.91827502768869*1</f>
        <v>1.91827502768869</v>
      </c>
      <c r="AJ68">
        <v>1</v>
      </c>
      <c r="AK68">
        <v>0</v>
      </c>
      <c r="AL68">
        <v>0</v>
      </c>
    </row>
    <row r="69" spans="1:38" hidden="1" x14ac:dyDescent="0.2">
      <c r="A69" t="s">
        <v>188</v>
      </c>
      <c r="B69" t="s">
        <v>189</v>
      </c>
      <c r="C69" t="s">
        <v>189</v>
      </c>
      <c r="D69" t="s">
        <v>5</v>
      </c>
      <c r="E69">
        <v>0</v>
      </c>
      <c r="F69">
        <v>0</v>
      </c>
      <c r="G69">
        <v>1</v>
      </c>
      <c r="H69">
        <v>0</v>
      </c>
      <c r="I69" t="s">
        <v>19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5.4</v>
      </c>
      <c r="AE69">
        <v>362</v>
      </c>
      <c r="AF69">
        <v>12.65608465608468</v>
      </c>
      <c r="AG69">
        <v>11.65914938482609</v>
      </c>
      <c r="AH69">
        <f>11.3757053044621*1</f>
        <v>11.3757053044621</v>
      </c>
      <c r="AI69">
        <f>2.93922523892257*1</f>
        <v>2.9392252389225701</v>
      </c>
      <c r="AJ69">
        <v>1</v>
      </c>
      <c r="AK69">
        <v>0</v>
      </c>
      <c r="AL69">
        <v>0</v>
      </c>
    </row>
    <row r="70" spans="1:38" hidden="1" x14ac:dyDescent="0.2">
      <c r="A70" t="s">
        <v>190</v>
      </c>
      <c r="B70" t="s">
        <v>191</v>
      </c>
      <c r="C70" t="s">
        <v>191</v>
      </c>
      <c r="D70" t="s">
        <v>4</v>
      </c>
      <c r="E70">
        <v>0</v>
      </c>
      <c r="F70">
        <v>1</v>
      </c>
      <c r="G70">
        <v>0</v>
      </c>
      <c r="H70">
        <v>0</v>
      </c>
      <c r="I70" t="s">
        <v>19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4.5999999999999996</v>
      </c>
      <c r="AE70">
        <v>363</v>
      </c>
      <c r="AF70">
        <v>11.300745734490789</v>
      </c>
      <c r="AG70">
        <v>11.22884993337901</v>
      </c>
      <c r="AH70">
        <f>10.447907543449*1</f>
        <v>10.447907543449</v>
      </c>
      <c r="AI70">
        <f>2.55115513544943*1</f>
        <v>2.55115513544943</v>
      </c>
      <c r="AJ70">
        <v>1</v>
      </c>
      <c r="AK70">
        <v>0</v>
      </c>
      <c r="AL70">
        <v>0</v>
      </c>
    </row>
    <row r="71" spans="1:38" hidden="1" x14ac:dyDescent="0.2">
      <c r="A71" t="s">
        <v>168</v>
      </c>
      <c r="B71" t="s">
        <v>192</v>
      </c>
      <c r="C71" t="s">
        <v>192</v>
      </c>
      <c r="D71" t="s">
        <v>3</v>
      </c>
      <c r="E71">
        <v>1</v>
      </c>
      <c r="F71">
        <v>0</v>
      </c>
      <c r="G71">
        <v>0</v>
      </c>
      <c r="H71">
        <v>0</v>
      </c>
      <c r="I71" t="s">
        <v>19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4.7</v>
      </c>
      <c r="AE71">
        <v>366</v>
      </c>
      <c r="AF71">
        <v>14.243902439024399</v>
      </c>
      <c r="AG71">
        <v>13.61556678966757</v>
      </c>
      <c r="AH71">
        <f>12.9781043309769*1</f>
        <v>12.978104330976899</v>
      </c>
      <c r="AI71">
        <f>3.26917740671098*1</f>
        <v>3.26917740671098</v>
      </c>
      <c r="AJ71">
        <v>1</v>
      </c>
      <c r="AK71">
        <v>0</v>
      </c>
      <c r="AL71">
        <v>0</v>
      </c>
    </row>
    <row r="72" spans="1:38" hidden="1" x14ac:dyDescent="0.2">
      <c r="A72" t="s">
        <v>193</v>
      </c>
      <c r="B72" t="s">
        <v>194</v>
      </c>
      <c r="C72" t="s">
        <v>194</v>
      </c>
      <c r="D72" t="s">
        <v>4</v>
      </c>
      <c r="E72">
        <v>0</v>
      </c>
      <c r="F72">
        <v>1</v>
      </c>
      <c r="G72">
        <v>0</v>
      </c>
      <c r="H72">
        <v>0</v>
      </c>
      <c r="I72" t="s">
        <v>19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4.5999999999999996</v>
      </c>
      <c r="AE72">
        <v>368</v>
      </c>
      <c r="AF72">
        <v>11.515839128489819</v>
      </c>
      <c r="AG72">
        <v>12.07293846556315</v>
      </c>
      <c r="AH72">
        <f>10.8704988117483*1</f>
        <v>10.8704988117483</v>
      </c>
      <c r="AI72">
        <f>2.87248098215245*1</f>
        <v>2.87248098215245</v>
      </c>
      <c r="AJ72">
        <v>1</v>
      </c>
      <c r="AK72">
        <v>0</v>
      </c>
      <c r="AL72">
        <v>0</v>
      </c>
    </row>
    <row r="73" spans="1:38" hidden="1" x14ac:dyDescent="0.2">
      <c r="A73" t="s">
        <v>195</v>
      </c>
      <c r="B73" t="s">
        <v>196</v>
      </c>
      <c r="C73" t="s">
        <v>196</v>
      </c>
      <c r="D73" t="s">
        <v>5</v>
      </c>
      <c r="E73">
        <v>0</v>
      </c>
      <c r="F73">
        <v>0</v>
      </c>
      <c r="G73">
        <v>1</v>
      </c>
      <c r="H73">
        <v>0</v>
      </c>
      <c r="I73" t="s">
        <v>20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5.3</v>
      </c>
      <c r="AE73">
        <v>384</v>
      </c>
      <c r="AF73">
        <v>11.59364743657391</v>
      </c>
      <c r="AG73">
        <v>9.9218535144527173</v>
      </c>
      <c r="AH73">
        <f>11.9461307827856*1</f>
        <v>11.9461307827856</v>
      </c>
      <c r="AI73">
        <f>3.2260385249965*1</f>
        <v>3.2260385249965</v>
      </c>
      <c r="AJ73">
        <v>1</v>
      </c>
      <c r="AK73">
        <v>0</v>
      </c>
      <c r="AL73">
        <v>0</v>
      </c>
    </row>
    <row r="74" spans="1:38" hidden="1" x14ac:dyDescent="0.2">
      <c r="A74" t="s">
        <v>197</v>
      </c>
      <c r="B74" t="s">
        <v>198</v>
      </c>
      <c r="C74" t="s">
        <v>197</v>
      </c>
      <c r="D74" t="s">
        <v>5</v>
      </c>
      <c r="E74">
        <v>0</v>
      </c>
      <c r="F74">
        <v>0</v>
      </c>
      <c r="G74">
        <v>1</v>
      </c>
      <c r="H74">
        <v>0</v>
      </c>
      <c r="I74" t="s">
        <v>20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5.3</v>
      </c>
      <c r="AE74">
        <v>385</v>
      </c>
      <c r="AF74">
        <v>14.6060606060606</v>
      </c>
      <c r="AG74">
        <v>13.6311279113211</v>
      </c>
      <c r="AH74">
        <f>15.6633787387797*1</f>
        <v>15.6633787387797</v>
      </c>
      <c r="AI74">
        <f>4.30945258215081*1</f>
        <v>4.3094525821508096</v>
      </c>
      <c r="AJ74">
        <v>1</v>
      </c>
      <c r="AK74">
        <v>0</v>
      </c>
      <c r="AL74">
        <v>0</v>
      </c>
    </row>
    <row r="75" spans="1:38" hidden="1" x14ac:dyDescent="0.2">
      <c r="A75" t="s">
        <v>199</v>
      </c>
      <c r="B75" t="s">
        <v>200</v>
      </c>
      <c r="C75" t="s">
        <v>200</v>
      </c>
      <c r="D75" t="s">
        <v>5</v>
      </c>
      <c r="E75">
        <v>0</v>
      </c>
      <c r="F75">
        <v>0</v>
      </c>
      <c r="G75">
        <v>1</v>
      </c>
      <c r="H75">
        <v>0</v>
      </c>
      <c r="I75" t="s">
        <v>20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5.2</v>
      </c>
      <c r="AE75">
        <v>388</v>
      </c>
      <c r="AF75">
        <v>10.96026914261393</v>
      </c>
      <c r="AG75">
        <v>10.44653414259953</v>
      </c>
      <c r="AH75">
        <f>11.8717663305965*1</f>
        <v>11.8717663305965</v>
      </c>
      <c r="AI75">
        <f>3.81916338166025*1</f>
        <v>3.8191633816602502</v>
      </c>
      <c r="AJ75">
        <v>1</v>
      </c>
      <c r="AK75">
        <v>0</v>
      </c>
      <c r="AL75">
        <v>0</v>
      </c>
    </row>
    <row r="76" spans="1:38" hidden="1" x14ac:dyDescent="0.2">
      <c r="A76" t="s">
        <v>201</v>
      </c>
      <c r="B76" t="s">
        <v>202</v>
      </c>
      <c r="C76" t="s">
        <v>202</v>
      </c>
      <c r="D76" t="s">
        <v>3</v>
      </c>
      <c r="E76">
        <v>1</v>
      </c>
      <c r="F76">
        <v>0</v>
      </c>
      <c r="G76">
        <v>0</v>
      </c>
      <c r="H76">
        <v>0</v>
      </c>
      <c r="I76" t="s">
        <v>20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4.8</v>
      </c>
      <c r="AE76">
        <v>393</v>
      </c>
      <c r="AF76">
        <v>14.71253067631296</v>
      </c>
      <c r="AG76">
        <v>15.818723642543651</v>
      </c>
      <c r="AH76">
        <f>16.909583311398*1</f>
        <v>16.909583311397999</v>
      </c>
      <c r="AI76">
        <f>5.07529058725237*1</f>
        <v>5.0752905872523701</v>
      </c>
      <c r="AJ76">
        <v>1</v>
      </c>
      <c r="AK76">
        <v>0</v>
      </c>
      <c r="AL76">
        <v>0</v>
      </c>
    </row>
    <row r="77" spans="1:38" hidden="1" x14ac:dyDescent="0.2">
      <c r="A77" t="s">
        <v>203</v>
      </c>
      <c r="B77" t="s">
        <v>204</v>
      </c>
      <c r="C77" t="s">
        <v>205</v>
      </c>
      <c r="D77" t="s">
        <v>5</v>
      </c>
      <c r="E77">
        <v>0</v>
      </c>
      <c r="F77">
        <v>0</v>
      </c>
      <c r="G77">
        <v>1</v>
      </c>
      <c r="H77">
        <v>0</v>
      </c>
      <c r="I77" t="s">
        <v>20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5</v>
      </c>
      <c r="AE77">
        <v>398</v>
      </c>
      <c r="AF77">
        <v>10.32258064516129</v>
      </c>
      <c r="AG77">
        <v>9.586818552379107</v>
      </c>
      <c r="AH77">
        <f>11.0444814078434*1</f>
        <v>11.044481407843399</v>
      </c>
      <c r="AI77">
        <f>2.85510036446205*1</f>
        <v>2.8551003644620501</v>
      </c>
      <c r="AJ77">
        <v>1</v>
      </c>
      <c r="AK77">
        <v>0</v>
      </c>
      <c r="AL77">
        <v>0</v>
      </c>
    </row>
    <row r="78" spans="1:38" hidden="1" x14ac:dyDescent="0.2">
      <c r="A78" t="s">
        <v>206</v>
      </c>
      <c r="B78" t="s">
        <v>207</v>
      </c>
      <c r="C78" t="s">
        <v>207</v>
      </c>
      <c r="D78" t="s">
        <v>4</v>
      </c>
      <c r="E78">
        <v>0</v>
      </c>
      <c r="F78">
        <v>1</v>
      </c>
      <c r="G78">
        <v>0</v>
      </c>
      <c r="H78">
        <v>0</v>
      </c>
      <c r="I78" t="s">
        <v>20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4.5999999999999996</v>
      </c>
      <c r="AE78">
        <v>401</v>
      </c>
      <c r="AF78">
        <v>10.236559139784941</v>
      </c>
      <c r="AG78">
        <v>10.13309351222242</v>
      </c>
      <c r="AH78">
        <f>11.2918871121674*1</f>
        <v>11.2918871121674</v>
      </c>
      <c r="AI78">
        <f>3.08760781916123*1</f>
        <v>3.0876078191612302</v>
      </c>
      <c r="AJ78">
        <v>1</v>
      </c>
      <c r="AK78">
        <v>0</v>
      </c>
      <c r="AL78">
        <v>0</v>
      </c>
    </row>
    <row r="79" spans="1:38" hidden="1" x14ac:dyDescent="0.2">
      <c r="A79" t="s">
        <v>208</v>
      </c>
      <c r="B79" t="s">
        <v>209</v>
      </c>
      <c r="C79" t="s">
        <v>208</v>
      </c>
      <c r="D79" t="s">
        <v>5</v>
      </c>
      <c r="E79">
        <v>0</v>
      </c>
      <c r="F79">
        <v>0</v>
      </c>
      <c r="G79">
        <v>1</v>
      </c>
      <c r="H79">
        <v>0</v>
      </c>
      <c r="I79" t="s">
        <v>20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5.3</v>
      </c>
      <c r="AE79">
        <v>408</v>
      </c>
      <c r="AF79">
        <v>14.74074074074074</v>
      </c>
      <c r="AG79">
        <v>20.678535645258862</v>
      </c>
      <c r="AH79">
        <f>19.5600594723963*1</f>
        <v>19.560059472396301</v>
      </c>
      <c r="AI79">
        <f>5.74570078802112*1</f>
        <v>5.7457007880211197</v>
      </c>
      <c r="AJ79">
        <v>1</v>
      </c>
      <c r="AK79">
        <v>0</v>
      </c>
      <c r="AL79">
        <v>0</v>
      </c>
    </row>
    <row r="80" spans="1:38" hidden="1" x14ac:dyDescent="0.2">
      <c r="A80" t="s">
        <v>210</v>
      </c>
      <c r="B80" t="s">
        <v>211</v>
      </c>
      <c r="C80" t="s">
        <v>211</v>
      </c>
      <c r="D80" t="s">
        <v>4</v>
      </c>
      <c r="E80">
        <v>0</v>
      </c>
      <c r="F80">
        <v>1</v>
      </c>
      <c r="G80">
        <v>0</v>
      </c>
      <c r="H80">
        <v>0</v>
      </c>
      <c r="I80" t="s">
        <v>20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4.4000000000000004</v>
      </c>
      <c r="AE80">
        <v>409</v>
      </c>
      <c r="AF80">
        <v>9.9934871887362462</v>
      </c>
      <c r="AG80">
        <v>6.689180283326789</v>
      </c>
      <c r="AH80">
        <f>9.28725340641795*1</f>
        <v>9.2872534064179497</v>
      </c>
      <c r="AI80">
        <f>2.27582949896049*1</f>
        <v>2.2758294989604901</v>
      </c>
      <c r="AJ80">
        <v>1</v>
      </c>
      <c r="AK80">
        <v>0</v>
      </c>
      <c r="AL80">
        <v>0</v>
      </c>
    </row>
    <row r="81" spans="1:38" hidden="1" x14ac:dyDescent="0.2">
      <c r="A81" t="s">
        <v>212</v>
      </c>
      <c r="B81" t="s">
        <v>213</v>
      </c>
      <c r="C81" t="s">
        <v>213</v>
      </c>
      <c r="D81" t="s">
        <v>4</v>
      </c>
      <c r="E81">
        <v>0</v>
      </c>
      <c r="F81">
        <v>1</v>
      </c>
      <c r="G81">
        <v>0</v>
      </c>
      <c r="H81">
        <v>0</v>
      </c>
      <c r="I81" t="s">
        <v>20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4.5</v>
      </c>
      <c r="AE81">
        <v>415</v>
      </c>
      <c r="AF81">
        <v>13.050530829147119</v>
      </c>
      <c r="AG81">
        <v>11.30733365561021</v>
      </c>
      <c r="AH81">
        <f>13.522485161115*1</f>
        <v>13.522485161115</v>
      </c>
      <c r="AI81">
        <f>3.60493164310796*1</f>
        <v>3.6049316431079599</v>
      </c>
      <c r="AJ81">
        <v>1</v>
      </c>
      <c r="AK81">
        <v>0</v>
      </c>
      <c r="AL81">
        <v>0</v>
      </c>
    </row>
    <row r="82" spans="1:38" hidden="1" x14ac:dyDescent="0.2">
      <c r="A82" t="s">
        <v>214</v>
      </c>
      <c r="B82" t="s">
        <v>215</v>
      </c>
      <c r="C82" t="s">
        <v>216</v>
      </c>
      <c r="D82" t="s">
        <v>3</v>
      </c>
      <c r="E82">
        <v>1</v>
      </c>
      <c r="F82">
        <v>0</v>
      </c>
      <c r="G82">
        <v>0</v>
      </c>
      <c r="H82">
        <v>0</v>
      </c>
      <c r="I82" t="s">
        <v>21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5.7</v>
      </c>
      <c r="AE82">
        <v>423</v>
      </c>
      <c r="AF82">
        <v>0</v>
      </c>
      <c r="AG82">
        <v>16.81083021061453</v>
      </c>
      <c r="AH82">
        <f>15.9807592843258*1</f>
        <v>15.980759284325799</v>
      </c>
      <c r="AI82">
        <f>3.76591296401717*1</f>
        <v>3.7659129640171698</v>
      </c>
      <c r="AJ82">
        <v>1</v>
      </c>
      <c r="AK82">
        <v>0</v>
      </c>
      <c r="AL82">
        <v>0</v>
      </c>
    </row>
    <row r="83" spans="1:38" hidden="1" x14ac:dyDescent="0.2">
      <c r="A83" t="s">
        <v>217</v>
      </c>
      <c r="B83" t="s">
        <v>218</v>
      </c>
      <c r="C83" t="s">
        <v>217</v>
      </c>
      <c r="D83" t="s">
        <v>6</v>
      </c>
      <c r="E83">
        <v>0</v>
      </c>
      <c r="F83">
        <v>0</v>
      </c>
      <c r="G83">
        <v>0</v>
      </c>
      <c r="H83">
        <v>1</v>
      </c>
      <c r="I83" t="s">
        <v>21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7.8</v>
      </c>
      <c r="AE83">
        <v>425</v>
      </c>
      <c r="AF83">
        <v>0</v>
      </c>
      <c r="AG83">
        <v>14.52620993022893</v>
      </c>
      <c r="AH83">
        <f>13.808947047838*1</f>
        <v>13.808947047838</v>
      </c>
      <c r="AI83">
        <f>3.50900532783869*1</f>
        <v>3.5090053278386901</v>
      </c>
      <c r="AJ83">
        <v>1</v>
      </c>
      <c r="AK83">
        <v>0</v>
      </c>
      <c r="AL83">
        <v>0</v>
      </c>
    </row>
    <row r="84" spans="1:38" hidden="1" x14ac:dyDescent="0.2">
      <c r="A84" t="s">
        <v>219</v>
      </c>
      <c r="B84" t="s">
        <v>220</v>
      </c>
      <c r="C84" t="s">
        <v>221</v>
      </c>
      <c r="D84" t="s">
        <v>5</v>
      </c>
      <c r="E84">
        <v>0</v>
      </c>
      <c r="F84">
        <v>0</v>
      </c>
      <c r="G84">
        <v>1</v>
      </c>
      <c r="H84">
        <v>0</v>
      </c>
      <c r="I84" t="s">
        <v>21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7.9</v>
      </c>
      <c r="AE84">
        <v>426</v>
      </c>
      <c r="AF84">
        <v>0</v>
      </c>
      <c r="AG84">
        <v>17.026675378993559</v>
      </c>
      <c r="AH84">
        <f>16.185946632918*1</f>
        <v>16.185946632918</v>
      </c>
      <c r="AI84">
        <f>3.92324485551205*1</f>
        <v>3.92324485551205</v>
      </c>
      <c r="AJ84">
        <v>1</v>
      </c>
      <c r="AK84">
        <v>0</v>
      </c>
      <c r="AL84">
        <v>0</v>
      </c>
    </row>
    <row r="85" spans="1:38" hidden="1" x14ac:dyDescent="0.2">
      <c r="A85" t="s">
        <v>222</v>
      </c>
      <c r="B85" t="s">
        <v>223</v>
      </c>
      <c r="C85" t="s">
        <v>223</v>
      </c>
      <c r="D85" t="s">
        <v>6</v>
      </c>
      <c r="E85">
        <v>0</v>
      </c>
      <c r="F85">
        <v>0</v>
      </c>
      <c r="G85">
        <v>0</v>
      </c>
      <c r="H85">
        <v>1</v>
      </c>
      <c r="I85" t="s">
        <v>21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7.1</v>
      </c>
      <c r="AE85">
        <v>429</v>
      </c>
      <c r="AF85">
        <v>0</v>
      </c>
      <c r="AG85">
        <v>14.6289027964462</v>
      </c>
      <c r="AH85">
        <f>13.9065692327435*1</f>
        <v>13.9065692327435</v>
      </c>
      <c r="AI85">
        <f>4.22265920926919*1</f>
        <v>4.2226592092691897</v>
      </c>
      <c r="AJ85">
        <v>1</v>
      </c>
      <c r="AK85">
        <v>0</v>
      </c>
      <c r="AL85">
        <v>0</v>
      </c>
    </row>
    <row r="86" spans="1:38" hidden="1" x14ac:dyDescent="0.2">
      <c r="A86" t="s">
        <v>224</v>
      </c>
      <c r="B86" t="s">
        <v>225</v>
      </c>
      <c r="C86" t="s">
        <v>225</v>
      </c>
      <c r="D86" t="s">
        <v>4</v>
      </c>
      <c r="E86">
        <v>0</v>
      </c>
      <c r="F86">
        <v>1</v>
      </c>
      <c r="G86">
        <v>0</v>
      </c>
      <c r="H86">
        <v>0</v>
      </c>
      <c r="I86" t="s">
        <v>21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4.9000000000000004</v>
      </c>
      <c r="AE86">
        <v>434</v>
      </c>
      <c r="AF86">
        <v>0</v>
      </c>
      <c r="AG86">
        <v>10.446974138965009</v>
      </c>
      <c r="AH86">
        <f>9.93113230415965*1</f>
        <v>9.9311323041596502</v>
      </c>
      <c r="AI86">
        <f>2.79214702013467*1</f>
        <v>2.7921470201346699</v>
      </c>
      <c r="AJ86">
        <v>1</v>
      </c>
      <c r="AK86">
        <v>0</v>
      </c>
      <c r="AL86">
        <v>0</v>
      </c>
    </row>
    <row r="87" spans="1:38" hidden="1" x14ac:dyDescent="0.2">
      <c r="A87" t="s">
        <v>226</v>
      </c>
      <c r="B87" t="s">
        <v>227</v>
      </c>
      <c r="C87" t="s">
        <v>228</v>
      </c>
      <c r="D87" t="s">
        <v>5</v>
      </c>
      <c r="E87">
        <v>0</v>
      </c>
      <c r="F87">
        <v>0</v>
      </c>
      <c r="G87">
        <v>1</v>
      </c>
      <c r="H87">
        <v>0</v>
      </c>
      <c r="I87" t="s">
        <v>21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7.8</v>
      </c>
      <c r="AE87">
        <v>435</v>
      </c>
      <c r="AF87">
        <v>0</v>
      </c>
      <c r="AG87">
        <v>11.88922279136403</v>
      </c>
      <c r="AH87">
        <f>11.3021668249639*1</f>
        <v>11.3021668249639</v>
      </c>
      <c r="AI87">
        <f>2.97635885189834*1</f>
        <v>2.9763588518983402</v>
      </c>
      <c r="AJ87">
        <v>1</v>
      </c>
      <c r="AK87">
        <v>0</v>
      </c>
      <c r="AL87">
        <v>0</v>
      </c>
    </row>
    <row r="88" spans="1:38" hidden="1" x14ac:dyDescent="0.2">
      <c r="A88" t="s">
        <v>229</v>
      </c>
      <c r="B88" t="s">
        <v>230</v>
      </c>
      <c r="C88" t="s">
        <v>230</v>
      </c>
      <c r="D88" t="s">
        <v>5</v>
      </c>
      <c r="E88">
        <v>0</v>
      </c>
      <c r="F88">
        <v>0</v>
      </c>
      <c r="G88">
        <v>1</v>
      </c>
      <c r="H88">
        <v>0</v>
      </c>
      <c r="I88" t="s">
        <v>21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5.9</v>
      </c>
      <c r="AE88">
        <v>436</v>
      </c>
      <c r="AF88">
        <v>0</v>
      </c>
      <c r="AG88">
        <v>10.272940045037441</v>
      </c>
      <c r="AH88">
        <f>9.76569151822118*1</f>
        <v>9.7656915182211801</v>
      </c>
      <c r="AI88">
        <f>2.23300726918958*1</f>
        <v>2.2330072691895801</v>
      </c>
      <c r="AJ88">
        <v>1</v>
      </c>
      <c r="AK88">
        <v>0</v>
      </c>
      <c r="AL88">
        <v>0</v>
      </c>
    </row>
    <row r="89" spans="1:38" x14ac:dyDescent="0.2">
      <c r="A89" t="s">
        <v>335</v>
      </c>
      <c r="B89" t="s">
        <v>336</v>
      </c>
      <c r="C89" t="s">
        <v>337</v>
      </c>
      <c r="D89" t="s">
        <v>3</v>
      </c>
      <c r="E89">
        <v>1</v>
      </c>
      <c r="F89">
        <v>0</v>
      </c>
      <c r="G89">
        <v>0</v>
      </c>
      <c r="H89">
        <v>0</v>
      </c>
      <c r="I89" t="s">
        <v>30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1</v>
      </c>
      <c r="AD89">
        <v>5</v>
      </c>
      <c r="AE89">
        <v>832</v>
      </c>
      <c r="AF89">
        <v>15.08827823459357</v>
      </c>
      <c r="AG89">
        <v>14.984342870421189</v>
      </c>
      <c r="AH89">
        <f>17.9123784274265*1</f>
        <v>17.9123784274265</v>
      </c>
      <c r="AI89">
        <f>5.62571131855749*1</f>
        <v>5.6257113185574896</v>
      </c>
      <c r="AJ89">
        <v>1</v>
      </c>
      <c r="AK89">
        <v>1</v>
      </c>
      <c r="AL89">
        <v>1</v>
      </c>
    </row>
    <row r="90" spans="1:38" x14ac:dyDescent="0.2">
      <c r="A90" t="s">
        <v>62</v>
      </c>
      <c r="B90" t="s">
        <v>63</v>
      </c>
      <c r="C90" t="s">
        <v>64</v>
      </c>
      <c r="D90" t="s">
        <v>3</v>
      </c>
      <c r="E90">
        <v>1</v>
      </c>
      <c r="F90">
        <v>0</v>
      </c>
      <c r="G90">
        <v>0</v>
      </c>
      <c r="H90">
        <v>0</v>
      </c>
      <c r="I90" t="s">
        <v>11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5.2</v>
      </c>
      <c r="AE90">
        <v>26</v>
      </c>
      <c r="AF90">
        <v>16.405661333777651</v>
      </c>
      <c r="AG90">
        <v>16.581091609176319</v>
      </c>
      <c r="AH90">
        <f>23.7698122113563*1</f>
        <v>23.7698122113563</v>
      </c>
      <c r="AI90">
        <f>5.59009215304552*1</f>
        <v>5.5900921530455197</v>
      </c>
      <c r="AJ90">
        <v>1</v>
      </c>
      <c r="AK90">
        <v>1</v>
      </c>
      <c r="AL90">
        <v>1</v>
      </c>
    </row>
    <row r="91" spans="1:38" hidden="1" x14ac:dyDescent="0.2">
      <c r="A91" t="s">
        <v>235</v>
      </c>
      <c r="B91" t="s">
        <v>236</v>
      </c>
      <c r="C91" t="s">
        <v>236</v>
      </c>
      <c r="D91" t="s">
        <v>4</v>
      </c>
      <c r="E91">
        <v>0</v>
      </c>
      <c r="F91">
        <v>1</v>
      </c>
      <c r="G91">
        <v>0</v>
      </c>
      <c r="H91">
        <v>0</v>
      </c>
      <c r="I91" t="s">
        <v>22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4.5</v>
      </c>
      <c r="AE91">
        <v>472</v>
      </c>
      <c r="AF91">
        <v>0</v>
      </c>
      <c r="AG91">
        <v>4.2568044195652543</v>
      </c>
      <c r="AH91">
        <f>5.95783526803946*1</f>
        <v>5.9578352680394602</v>
      </c>
      <c r="AI91">
        <f>1.51387482541838*1</f>
        <v>1.51387482541838</v>
      </c>
      <c r="AJ91">
        <v>1</v>
      </c>
      <c r="AK91">
        <v>1</v>
      </c>
      <c r="AL91">
        <v>0</v>
      </c>
    </row>
    <row r="92" spans="1:38" x14ac:dyDescent="0.2">
      <c r="A92" t="s">
        <v>282</v>
      </c>
      <c r="B92" t="s">
        <v>283</v>
      </c>
      <c r="C92" t="s">
        <v>283</v>
      </c>
      <c r="D92" t="s">
        <v>6</v>
      </c>
      <c r="E92">
        <v>0</v>
      </c>
      <c r="F92">
        <v>0</v>
      </c>
      <c r="G92">
        <v>0</v>
      </c>
      <c r="H92">
        <v>1</v>
      </c>
      <c r="I92" t="s">
        <v>25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8.1</v>
      </c>
      <c r="AE92">
        <v>604</v>
      </c>
      <c r="AF92">
        <v>25.222222222222221</v>
      </c>
      <c r="AG92">
        <v>22.43905121644077</v>
      </c>
      <c r="AH92">
        <f>27.7172910229166*1</f>
        <v>27.717291022916601</v>
      </c>
      <c r="AI92">
        <f>5.53433637610573*1</f>
        <v>5.5343363761057303</v>
      </c>
      <c r="AJ92">
        <v>1</v>
      </c>
      <c r="AK92">
        <v>1</v>
      </c>
      <c r="AL92">
        <v>1</v>
      </c>
    </row>
    <row r="93" spans="1:38" hidden="1" x14ac:dyDescent="0.2">
      <c r="A93" t="s">
        <v>239</v>
      </c>
      <c r="B93" t="s">
        <v>240</v>
      </c>
      <c r="C93" t="s">
        <v>240</v>
      </c>
      <c r="D93" t="s">
        <v>6</v>
      </c>
      <c r="E93">
        <v>0</v>
      </c>
      <c r="F93">
        <v>0</v>
      </c>
      <c r="G93">
        <v>0</v>
      </c>
      <c r="H93">
        <v>1</v>
      </c>
      <c r="I93" t="s">
        <v>22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4.8</v>
      </c>
      <c r="AE93">
        <v>479</v>
      </c>
      <c r="AF93">
        <v>0</v>
      </c>
      <c r="AG93">
        <v>11.832763537810949</v>
      </c>
      <c r="AH93">
        <f>16.5611686550403*1</f>
        <v>16.561168655040301</v>
      </c>
      <c r="AI93">
        <f>4.2264833017209*1</f>
        <v>4.2264833017208998</v>
      </c>
      <c r="AJ93">
        <v>1</v>
      </c>
      <c r="AK93">
        <v>0</v>
      </c>
      <c r="AL93">
        <v>0</v>
      </c>
    </row>
    <row r="94" spans="1:38" hidden="1" x14ac:dyDescent="0.2">
      <c r="A94" t="s">
        <v>241</v>
      </c>
      <c r="B94" t="s">
        <v>242</v>
      </c>
      <c r="C94" t="s">
        <v>242</v>
      </c>
      <c r="D94" t="s">
        <v>5</v>
      </c>
      <c r="E94">
        <v>0</v>
      </c>
      <c r="F94">
        <v>0</v>
      </c>
      <c r="G94">
        <v>1</v>
      </c>
      <c r="H94">
        <v>0</v>
      </c>
      <c r="I94" t="s">
        <v>22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4.5</v>
      </c>
      <c r="AE94">
        <v>496</v>
      </c>
      <c r="AF94">
        <v>0</v>
      </c>
      <c r="AG94">
        <v>6.9291391178895676</v>
      </c>
      <c r="AH94">
        <f>9.69804232112935*1</f>
        <v>9.6980423211293498</v>
      </c>
      <c r="AI94">
        <f>2.35394655494918*1</f>
        <v>2.35394655494918</v>
      </c>
      <c r="AJ94">
        <v>1</v>
      </c>
      <c r="AK94">
        <v>0</v>
      </c>
      <c r="AL94">
        <v>0</v>
      </c>
    </row>
    <row r="95" spans="1:38" hidden="1" x14ac:dyDescent="0.2">
      <c r="A95" t="s">
        <v>243</v>
      </c>
      <c r="B95" t="s">
        <v>244</v>
      </c>
      <c r="C95" t="s">
        <v>244</v>
      </c>
      <c r="D95" t="s">
        <v>5</v>
      </c>
      <c r="E95">
        <v>0</v>
      </c>
      <c r="F95">
        <v>0</v>
      </c>
      <c r="G95">
        <v>1</v>
      </c>
      <c r="H95">
        <v>0</v>
      </c>
      <c r="I95" t="s">
        <v>22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4.5999999999999996</v>
      </c>
      <c r="AE95">
        <v>499</v>
      </c>
      <c r="AF95">
        <v>0</v>
      </c>
      <c r="AG95">
        <v>10.32966220244889</v>
      </c>
      <c r="AH95">
        <f>14.4574238585688*1</f>
        <v>14.4574238585688</v>
      </c>
      <c r="AI95">
        <f>3.58477809261003*1</f>
        <v>3.5847780926100299</v>
      </c>
      <c r="AJ95">
        <v>1</v>
      </c>
      <c r="AK95">
        <v>0</v>
      </c>
      <c r="AL95">
        <v>0</v>
      </c>
    </row>
    <row r="96" spans="1:38" hidden="1" x14ac:dyDescent="0.2">
      <c r="A96" t="s">
        <v>245</v>
      </c>
      <c r="B96" t="s">
        <v>246</v>
      </c>
      <c r="C96" t="s">
        <v>246</v>
      </c>
      <c r="D96" t="s">
        <v>4</v>
      </c>
      <c r="E96">
        <v>0</v>
      </c>
      <c r="F96">
        <v>1</v>
      </c>
      <c r="G96">
        <v>0</v>
      </c>
      <c r="H96">
        <v>0</v>
      </c>
      <c r="I96" t="s">
        <v>23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5</v>
      </c>
      <c r="AE96">
        <v>512</v>
      </c>
      <c r="AF96">
        <v>16.400000000000009</v>
      </c>
      <c r="AG96">
        <v>0</v>
      </c>
      <c r="AH96">
        <f>17.27747171392*1</f>
        <v>17.277471713920001</v>
      </c>
      <c r="AI96">
        <f>3.455494342784*1</f>
        <v>3.4554943427840001</v>
      </c>
      <c r="AJ96">
        <v>1</v>
      </c>
      <c r="AK96">
        <v>0</v>
      </c>
      <c r="AL96">
        <v>0</v>
      </c>
    </row>
    <row r="97" spans="1:38" hidden="1" x14ac:dyDescent="0.2">
      <c r="A97" t="s">
        <v>113</v>
      </c>
      <c r="B97" t="s">
        <v>247</v>
      </c>
      <c r="C97" t="s">
        <v>247</v>
      </c>
      <c r="D97" t="s">
        <v>4</v>
      </c>
      <c r="E97">
        <v>0</v>
      </c>
      <c r="F97">
        <v>1</v>
      </c>
      <c r="G97">
        <v>0</v>
      </c>
      <c r="H97">
        <v>0</v>
      </c>
      <c r="I97" t="s">
        <v>23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5</v>
      </c>
      <c r="AE97">
        <v>513</v>
      </c>
      <c r="AF97">
        <v>16.464285714285712</v>
      </c>
      <c r="AG97">
        <v>0</v>
      </c>
      <c r="AH97">
        <f>17.3451969950285*1</f>
        <v>17.345196995028498</v>
      </c>
      <c r="AI97">
        <f>3.46903939900571*1</f>
        <v>3.4690393990057098</v>
      </c>
      <c r="AJ97">
        <v>1</v>
      </c>
      <c r="AK97">
        <v>0</v>
      </c>
      <c r="AL97">
        <v>0</v>
      </c>
    </row>
    <row r="98" spans="1:38" hidden="1" x14ac:dyDescent="0.2">
      <c r="A98" t="s">
        <v>248</v>
      </c>
      <c r="B98" t="s">
        <v>249</v>
      </c>
      <c r="C98" t="s">
        <v>250</v>
      </c>
      <c r="D98" t="s">
        <v>6</v>
      </c>
      <c r="E98">
        <v>0</v>
      </c>
      <c r="F98">
        <v>0</v>
      </c>
      <c r="G98">
        <v>0</v>
      </c>
      <c r="H98">
        <v>1</v>
      </c>
      <c r="I98" t="s">
        <v>23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6.4</v>
      </c>
      <c r="AE98">
        <v>514</v>
      </c>
      <c r="AF98">
        <v>18.833333333333339</v>
      </c>
      <c r="AG98">
        <v>0</v>
      </c>
      <c r="AH98">
        <f>19.8409990210666*1</f>
        <v>19.840999021066601</v>
      </c>
      <c r="AI98">
        <f>3.96819980421333*1</f>
        <v>3.96819980421333</v>
      </c>
      <c r="AJ98">
        <v>1</v>
      </c>
      <c r="AK98">
        <v>0</v>
      </c>
      <c r="AL98">
        <v>0</v>
      </c>
    </row>
    <row r="99" spans="1:38" hidden="1" x14ac:dyDescent="0.2">
      <c r="A99" t="s">
        <v>251</v>
      </c>
      <c r="B99" t="s">
        <v>252</v>
      </c>
      <c r="C99" t="s">
        <v>251</v>
      </c>
      <c r="D99" t="s">
        <v>5</v>
      </c>
      <c r="E99">
        <v>0</v>
      </c>
      <c r="F99">
        <v>0</v>
      </c>
      <c r="G99">
        <v>1</v>
      </c>
      <c r="H99">
        <v>0</v>
      </c>
      <c r="I99" t="s">
        <v>23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6.2</v>
      </c>
      <c r="AE99">
        <v>515</v>
      </c>
      <c r="AF99">
        <v>18.448275862068961</v>
      </c>
      <c r="AG99">
        <v>0</v>
      </c>
      <c r="AH99">
        <f>19.4353392913103*1</f>
        <v>19.435339291310299</v>
      </c>
      <c r="AI99">
        <f>3.88706785826206*1</f>
        <v>3.8870678582620601</v>
      </c>
      <c r="AJ99">
        <v>1</v>
      </c>
      <c r="AK99">
        <v>0</v>
      </c>
      <c r="AL99">
        <v>0</v>
      </c>
    </row>
    <row r="100" spans="1:38" hidden="1" x14ac:dyDescent="0.2">
      <c r="A100" t="s">
        <v>253</v>
      </c>
      <c r="B100" t="s">
        <v>254</v>
      </c>
      <c r="C100" t="s">
        <v>253</v>
      </c>
      <c r="D100" t="s">
        <v>4</v>
      </c>
      <c r="E100">
        <v>0</v>
      </c>
      <c r="F100">
        <v>1</v>
      </c>
      <c r="G100">
        <v>0</v>
      </c>
      <c r="H100">
        <v>0</v>
      </c>
      <c r="I100" t="s">
        <v>23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5.5</v>
      </c>
      <c r="AE100">
        <v>521</v>
      </c>
      <c r="AF100">
        <v>14.8</v>
      </c>
      <c r="AG100">
        <v>0</v>
      </c>
      <c r="AH100">
        <f>15.59186471744*1</f>
        <v>15.59186471744</v>
      </c>
      <c r="AI100">
        <f>3.118372943488*1</f>
        <v>3.1183729434880001</v>
      </c>
      <c r="AJ100">
        <v>1</v>
      </c>
      <c r="AK100">
        <v>0</v>
      </c>
      <c r="AL100">
        <v>0</v>
      </c>
    </row>
    <row r="101" spans="1:38" hidden="1" x14ac:dyDescent="0.2">
      <c r="A101" t="s">
        <v>255</v>
      </c>
      <c r="B101" t="s">
        <v>256</v>
      </c>
      <c r="C101" t="s">
        <v>257</v>
      </c>
      <c r="D101" t="s">
        <v>3</v>
      </c>
      <c r="E101">
        <v>1</v>
      </c>
      <c r="F101">
        <v>0</v>
      </c>
      <c r="G101">
        <v>0</v>
      </c>
      <c r="H101">
        <v>0</v>
      </c>
      <c r="I101" t="s">
        <v>23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5.5</v>
      </c>
      <c r="AE101">
        <v>522</v>
      </c>
      <c r="AF101">
        <v>19.54545454545454</v>
      </c>
      <c r="AG101">
        <v>0</v>
      </c>
      <c r="AH101">
        <f>20.591221832*1</f>
        <v>20.591221831999999</v>
      </c>
      <c r="AI101">
        <f>4.1182443664*1</f>
        <v>4.1182443663999999</v>
      </c>
      <c r="AJ101">
        <v>1</v>
      </c>
      <c r="AK101">
        <v>0</v>
      </c>
      <c r="AL101">
        <v>0</v>
      </c>
    </row>
    <row r="102" spans="1:38" x14ac:dyDescent="0.2">
      <c r="A102" t="s">
        <v>135</v>
      </c>
      <c r="B102" t="s">
        <v>136</v>
      </c>
      <c r="C102" t="s">
        <v>137</v>
      </c>
      <c r="D102" t="s">
        <v>5</v>
      </c>
      <c r="E102">
        <v>0</v>
      </c>
      <c r="F102">
        <v>0</v>
      </c>
      <c r="G102">
        <v>1</v>
      </c>
      <c r="H102">
        <v>0</v>
      </c>
      <c r="I102" t="s">
        <v>15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6.2</v>
      </c>
      <c r="AE102">
        <v>175</v>
      </c>
      <c r="AF102">
        <v>21.251432117490911</v>
      </c>
      <c r="AG102">
        <v>0</v>
      </c>
      <c r="AH102">
        <f>25.1216960285673*1</f>
        <v>25.1216960285673</v>
      </c>
      <c r="AI102">
        <f>5.02433920571347*1</f>
        <v>5.0243392057134697</v>
      </c>
      <c r="AJ102">
        <v>1</v>
      </c>
      <c r="AK102">
        <v>1</v>
      </c>
      <c r="AL102">
        <v>1</v>
      </c>
    </row>
    <row r="103" spans="1:38" hidden="1" x14ac:dyDescent="0.2">
      <c r="A103" t="s">
        <v>260</v>
      </c>
      <c r="B103" t="s">
        <v>261</v>
      </c>
      <c r="C103" t="s">
        <v>261</v>
      </c>
      <c r="D103" t="s">
        <v>6</v>
      </c>
      <c r="E103">
        <v>0</v>
      </c>
      <c r="F103">
        <v>0</v>
      </c>
      <c r="G103">
        <v>0</v>
      </c>
      <c r="H103">
        <v>1</v>
      </c>
      <c r="I103" t="s">
        <v>23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14.1</v>
      </c>
      <c r="AE103">
        <v>525</v>
      </c>
      <c r="AF103">
        <v>38.303571428571431</v>
      </c>
      <c r="AG103">
        <v>0</v>
      </c>
      <c r="AH103">
        <f>40.3529799938571*1</f>
        <v>40.352979993857097</v>
      </c>
      <c r="AI103">
        <f>8.07059599877142*1</f>
        <v>8.0705959987714202</v>
      </c>
      <c r="AJ103">
        <v>1</v>
      </c>
      <c r="AK103">
        <v>0</v>
      </c>
      <c r="AL103">
        <v>0</v>
      </c>
    </row>
    <row r="104" spans="1:38" hidden="1" x14ac:dyDescent="0.2">
      <c r="A104" t="s">
        <v>262</v>
      </c>
      <c r="B104" t="s">
        <v>263</v>
      </c>
      <c r="C104" t="s">
        <v>263</v>
      </c>
      <c r="D104" t="s">
        <v>5</v>
      </c>
      <c r="E104">
        <v>0</v>
      </c>
      <c r="F104">
        <v>0</v>
      </c>
      <c r="G104">
        <v>1</v>
      </c>
      <c r="H104">
        <v>0</v>
      </c>
      <c r="I104" t="s">
        <v>23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4.5999999999999996</v>
      </c>
      <c r="AE104">
        <v>526</v>
      </c>
      <c r="AF104">
        <v>10</v>
      </c>
      <c r="AG104">
        <v>0</v>
      </c>
      <c r="AH104">
        <f>10.535043728*1</f>
        <v>10.535043728</v>
      </c>
      <c r="AI104">
        <f>2.1070087456*1</f>
        <v>2.1070087456</v>
      </c>
      <c r="AJ104">
        <v>1</v>
      </c>
      <c r="AK104">
        <v>0</v>
      </c>
      <c r="AL104">
        <v>0</v>
      </c>
    </row>
    <row r="105" spans="1:38" hidden="1" x14ac:dyDescent="0.2">
      <c r="A105" t="s">
        <v>264</v>
      </c>
      <c r="B105" t="s">
        <v>265</v>
      </c>
      <c r="C105" t="s">
        <v>264</v>
      </c>
      <c r="D105" t="s">
        <v>5</v>
      </c>
      <c r="E105">
        <v>0</v>
      </c>
      <c r="F105">
        <v>0</v>
      </c>
      <c r="G105">
        <v>1</v>
      </c>
      <c r="H105">
        <v>0</v>
      </c>
      <c r="I105" t="s">
        <v>23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5.6</v>
      </c>
      <c r="AE105">
        <v>532</v>
      </c>
      <c r="AF105">
        <v>20.291690081672769</v>
      </c>
      <c r="AG105">
        <v>0</v>
      </c>
      <c r="AH105">
        <f>21.3773842325446*1</f>
        <v>21.3773842325446</v>
      </c>
      <c r="AI105">
        <f>4.1639169494895*1</f>
        <v>4.1639169494894999</v>
      </c>
      <c r="AJ105">
        <v>1</v>
      </c>
      <c r="AK105">
        <v>0</v>
      </c>
      <c r="AL105">
        <v>0</v>
      </c>
    </row>
    <row r="106" spans="1:38" hidden="1" x14ac:dyDescent="0.2">
      <c r="A106" t="s">
        <v>266</v>
      </c>
      <c r="B106" t="s">
        <v>267</v>
      </c>
      <c r="C106" t="s">
        <v>267</v>
      </c>
      <c r="D106" t="s">
        <v>4</v>
      </c>
      <c r="E106">
        <v>0</v>
      </c>
      <c r="F106">
        <v>1</v>
      </c>
      <c r="G106">
        <v>0</v>
      </c>
      <c r="H106">
        <v>0</v>
      </c>
      <c r="I106" t="s">
        <v>23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5.3</v>
      </c>
      <c r="AE106">
        <v>536</v>
      </c>
      <c r="AF106">
        <v>19.026845637583911</v>
      </c>
      <c r="AG106">
        <v>0</v>
      </c>
      <c r="AH106">
        <f>20.0448650797852*1</f>
        <v>20.0448650797852</v>
      </c>
      <c r="AI106">
        <f>4.00897301595705*1</f>
        <v>4.00897301595705</v>
      </c>
      <c r="AJ106">
        <v>1</v>
      </c>
      <c r="AK106">
        <v>0</v>
      </c>
      <c r="AL106">
        <v>0</v>
      </c>
    </row>
    <row r="107" spans="1:38" hidden="1" x14ac:dyDescent="0.2">
      <c r="A107" t="s">
        <v>268</v>
      </c>
      <c r="B107" t="s">
        <v>269</v>
      </c>
      <c r="C107" t="s">
        <v>270</v>
      </c>
      <c r="D107" t="s">
        <v>5</v>
      </c>
      <c r="E107">
        <v>0</v>
      </c>
      <c r="F107">
        <v>0</v>
      </c>
      <c r="G107">
        <v>1</v>
      </c>
      <c r="H107">
        <v>0</v>
      </c>
      <c r="I107" t="s">
        <v>24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8.4</v>
      </c>
      <c r="AE107">
        <v>547</v>
      </c>
      <c r="AF107">
        <v>23.28125</v>
      </c>
      <c r="AG107">
        <v>18.90765681111905</v>
      </c>
      <c r="AH107">
        <f>24.369108625873*1</f>
        <v>24.369108625873</v>
      </c>
      <c r="AI107">
        <f>5.54235387837225*1</f>
        <v>5.5423538783722499</v>
      </c>
      <c r="AJ107">
        <v>1</v>
      </c>
      <c r="AK107">
        <v>0</v>
      </c>
      <c r="AL107">
        <v>0</v>
      </c>
    </row>
    <row r="108" spans="1:38" hidden="1" x14ac:dyDescent="0.2">
      <c r="A108" t="s">
        <v>271</v>
      </c>
      <c r="B108" t="s">
        <v>272</v>
      </c>
      <c r="C108" t="s">
        <v>272</v>
      </c>
      <c r="D108" t="s">
        <v>5</v>
      </c>
      <c r="E108">
        <v>0</v>
      </c>
      <c r="F108">
        <v>0</v>
      </c>
      <c r="G108">
        <v>1</v>
      </c>
      <c r="H108">
        <v>0</v>
      </c>
      <c r="I108" t="s">
        <v>24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5</v>
      </c>
      <c r="AE108">
        <v>555</v>
      </c>
      <c r="AF108">
        <v>28.54556626506756</v>
      </c>
      <c r="AG108">
        <v>14.393204454062889</v>
      </c>
      <c r="AH108">
        <f>22.2909071333632*1</f>
        <v>22.290907133363199</v>
      </c>
      <c r="AI108">
        <f>5.54009999679534*1</f>
        <v>5.5400999967953402</v>
      </c>
      <c r="AJ108">
        <v>1</v>
      </c>
      <c r="AK108">
        <v>0</v>
      </c>
      <c r="AL108">
        <v>0</v>
      </c>
    </row>
    <row r="109" spans="1:38" hidden="1" x14ac:dyDescent="0.2">
      <c r="A109" t="s">
        <v>105</v>
      </c>
      <c r="B109" t="s">
        <v>273</v>
      </c>
      <c r="C109" t="s">
        <v>273</v>
      </c>
      <c r="D109" t="s">
        <v>5</v>
      </c>
      <c r="E109">
        <v>0</v>
      </c>
      <c r="F109">
        <v>0</v>
      </c>
      <c r="G109">
        <v>1</v>
      </c>
      <c r="H109">
        <v>0</v>
      </c>
      <c r="I109" t="s">
        <v>24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8.4</v>
      </c>
      <c r="AE109">
        <v>567</v>
      </c>
      <c r="AF109">
        <v>22.333333333333311</v>
      </c>
      <c r="AG109">
        <v>21.778106186304729</v>
      </c>
      <c r="AH109">
        <f>26.5196665103501*1</f>
        <v>26.519666510350099</v>
      </c>
      <c r="AI109">
        <f>5.75304781717053*1</f>
        <v>5.7530478171705299</v>
      </c>
      <c r="AJ109">
        <v>1</v>
      </c>
      <c r="AK109">
        <v>0</v>
      </c>
      <c r="AL109">
        <v>0</v>
      </c>
    </row>
    <row r="110" spans="1:38" hidden="1" x14ac:dyDescent="0.2">
      <c r="A110" t="s">
        <v>274</v>
      </c>
      <c r="B110" t="s">
        <v>275</v>
      </c>
      <c r="C110" t="s">
        <v>275</v>
      </c>
      <c r="D110" t="s">
        <v>3</v>
      </c>
      <c r="E110">
        <v>1</v>
      </c>
      <c r="F110">
        <v>0</v>
      </c>
      <c r="G110">
        <v>0</v>
      </c>
      <c r="H110">
        <v>0</v>
      </c>
      <c r="I110" t="s">
        <v>24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5</v>
      </c>
      <c r="AE110">
        <v>573</v>
      </c>
      <c r="AF110">
        <v>16.463229729485899</v>
      </c>
      <c r="AG110">
        <v>14.514862877422029</v>
      </c>
      <c r="AH110">
        <f>18.2204969336098*1</f>
        <v>18.220496933609802</v>
      </c>
      <c r="AI110">
        <f>3.79144715684689*1</f>
        <v>3.7914471568468899</v>
      </c>
      <c r="AJ110">
        <v>1</v>
      </c>
      <c r="AK110">
        <v>0</v>
      </c>
      <c r="AL110">
        <v>0</v>
      </c>
    </row>
    <row r="111" spans="1:38" hidden="1" x14ac:dyDescent="0.2">
      <c r="A111" t="s">
        <v>276</v>
      </c>
      <c r="B111" t="s">
        <v>277</v>
      </c>
      <c r="C111" t="s">
        <v>277</v>
      </c>
      <c r="D111" t="s">
        <v>6</v>
      </c>
      <c r="E111">
        <v>0</v>
      </c>
      <c r="F111">
        <v>0</v>
      </c>
      <c r="G111">
        <v>0</v>
      </c>
      <c r="H111">
        <v>1</v>
      </c>
      <c r="I111" t="s">
        <v>24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7</v>
      </c>
      <c r="AE111">
        <v>574</v>
      </c>
      <c r="AF111">
        <v>22.310855600020869</v>
      </c>
      <c r="AG111">
        <v>8.8781951492286932</v>
      </c>
      <c r="AH111">
        <f>15.3750362607178*1</f>
        <v>15.375036260717801</v>
      </c>
      <c r="AI111">
        <f>3.44235882959515*1</f>
        <v>3.4423588295951499</v>
      </c>
      <c r="AJ111">
        <v>1</v>
      </c>
      <c r="AK111">
        <v>0</v>
      </c>
      <c r="AL111">
        <v>0</v>
      </c>
    </row>
    <row r="112" spans="1:38" hidden="1" x14ac:dyDescent="0.2">
      <c r="A112" t="s">
        <v>268</v>
      </c>
      <c r="B112" t="s">
        <v>278</v>
      </c>
      <c r="C112" t="s">
        <v>279</v>
      </c>
      <c r="D112" t="s">
        <v>5</v>
      </c>
      <c r="E112">
        <v>0</v>
      </c>
      <c r="F112">
        <v>0</v>
      </c>
      <c r="G112">
        <v>1</v>
      </c>
      <c r="H112">
        <v>0</v>
      </c>
      <c r="I112" t="s">
        <v>25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5.8</v>
      </c>
      <c r="AE112">
        <v>595</v>
      </c>
      <c r="AF112">
        <v>17.718138172728121</v>
      </c>
      <c r="AG112">
        <v>16.61902511671391</v>
      </c>
      <c r="AH112">
        <f>19.9841522269915*1</f>
        <v>19.984152226991501</v>
      </c>
      <c r="AI112">
        <f>3.94868852658721*1</f>
        <v>3.94868852658721</v>
      </c>
      <c r="AJ112">
        <v>1</v>
      </c>
      <c r="AK112">
        <v>0</v>
      </c>
      <c r="AL112">
        <v>0</v>
      </c>
    </row>
    <row r="113" spans="1:38" x14ac:dyDescent="0.2">
      <c r="A113" t="s">
        <v>333</v>
      </c>
      <c r="B113" t="s">
        <v>334</v>
      </c>
      <c r="C113" t="s">
        <v>334</v>
      </c>
      <c r="D113" t="s">
        <v>4</v>
      </c>
      <c r="E113">
        <v>0</v>
      </c>
      <c r="F113">
        <v>1</v>
      </c>
      <c r="G113">
        <v>0</v>
      </c>
      <c r="H113">
        <v>0</v>
      </c>
      <c r="I113" t="s">
        <v>30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</v>
      </c>
      <c r="AD113">
        <v>4.5999999999999996</v>
      </c>
      <c r="AE113">
        <v>827</v>
      </c>
      <c r="AF113">
        <v>11.766666666666669</v>
      </c>
      <c r="AG113">
        <v>11.665540392509371</v>
      </c>
      <c r="AH113">
        <f>13.960477757096*1</f>
        <v>13.960477757095999</v>
      </c>
      <c r="AI113">
        <f>4.40551899107793*1</f>
        <v>4.4055189910779298</v>
      </c>
      <c r="AJ113">
        <v>1</v>
      </c>
      <c r="AK113">
        <v>1</v>
      </c>
      <c r="AL113">
        <v>1</v>
      </c>
    </row>
    <row r="114" spans="1:38" x14ac:dyDescent="0.2">
      <c r="A114" t="s">
        <v>280</v>
      </c>
      <c r="B114" t="s">
        <v>281</v>
      </c>
      <c r="C114" t="s">
        <v>281</v>
      </c>
      <c r="D114" t="s">
        <v>4</v>
      </c>
      <c r="E114">
        <v>0</v>
      </c>
      <c r="F114">
        <v>1</v>
      </c>
      <c r="G114">
        <v>0</v>
      </c>
      <c r="H114">
        <v>0</v>
      </c>
      <c r="I114" t="s">
        <v>25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4.5</v>
      </c>
      <c r="AE114">
        <v>596</v>
      </c>
      <c r="AF114">
        <v>15.57893363968336</v>
      </c>
      <c r="AG114">
        <v>15.53410173875397</v>
      </c>
      <c r="AH114">
        <f>18.123949596488*1</f>
        <v>18.123949596488</v>
      </c>
      <c r="AI114">
        <f>4.01755951248922*1</f>
        <v>4.0175595124892203</v>
      </c>
      <c r="AJ114">
        <v>1</v>
      </c>
      <c r="AK114">
        <v>0</v>
      </c>
      <c r="AL114">
        <v>1</v>
      </c>
    </row>
    <row r="115" spans="1:38" hidden="1" x14ac:dyDescent="0.2">
      <c r="A115" t="s">
        <v>284</v>
      </c>
      <c r="B115" t="s">
        <v>285</v>
      </c>
      <c r="C115" t="s">
        <v>285</v>
      </c>
      <c r="D115" t="s">
        <v>5</v>
      </c>
      <c r="E115">
        <v>0</v>
      </c>
      <c r="F115">
        <v>0</v>
      </c>
      <c r="G115">
        <v>1</v>
      </c>
      <c r="H115">
        <v>0</v>
      </c>
      <c r="I115" t="s">
        <v>25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4.8</v>
      </c>
      <c r="AE115">
        <v>610</v>
      </c>
      <c r="AF115">
        <v>13.67556548925975</v>
      </c>
      <c r="AG115">
        <v>11.18715238531099</v>
      </c>
      <c r="AH115">
        <f>14.441158102932*1</f>
        <v>14.441158102932</v>
      </c>
      <c r="AI115">
        <f>2.87057329634824*1</f>
        <v>2.87057329634824</v>
      </c>
      <c r="AJ115">
        <v>1</v>
      </c>
      <c r="AK115">
        <v>0</v>
      </c>
      <c r="AL115">
        <v>0</v>
      </c>
    </row>
    <row r="116" spans="1:38" hidden="1" x14ac:dyDescent="0.2">
      <c r="A116" t="s">
        <v>286</v>
      </c>
      <c r="B116" t="s">
        <v>287</v>
      </c>
      <c r="C116" t="s">
        <v>287</v>
      </c>
      <c r="D116" t="s">
        <v>4</v>
      </c>
      <c r="E116">
        <v>0</v>
      </c>
      <c r="F116">
        <v>1</v>
      </c>
      <c r="G116">
        <v>0</v>
      </c>
      <c r="H116">
        <v>0</v>
      </c>
      <c r="I116" t="s">
        <v>25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5.7</v>
      </c>
      <c r="AE116">
        <v>616</v>
      </c>
      <c r="AF116">
        <v>20.368363915026869</v>
      </c>
      <c r="AG116">
        <v>18.145023365020162</v>
      </c>
      <c r="AH116">
        <f>22.3977989842495*1</f>
        <v>22.397798984249501</v>
      </c>
      <c r="AI116">
        <f>4.14761397533975*1</f>
        <v>4.1476139753397501</v>
      </c>
      <c r="AJ116">
        <v>1</v>
      </c>
      <c r="AK116">
        <v>0</v>
      </c>
      <c r="AL116">
        <v>0</v>
      </c>
    </row>
    <row r="117" spans="1:38" hidden="1" x14ac:dyDescent="0.2">
      <c r="A117" t="s">
        <v>288</v>
      </c>
      <c r="B117" t="s">
        <v>289</v>
      </c>
      <c r="C117" t="s">
        <v>289</v>
      </c>
      <c r="D117" t="s">
        <v>4</v>
      </c>
      <c r="E117">
        <v>0</v>
      </c>
      <c r="F117">
        <v>1</v>
      </c>
      <c r="G117">
        <v>0</v>
      </c>
      <c r="H117">
        <v>0</v>
      </c>
      <c r="I117" t="s">
        <v>25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6.6</v>
      </c>
      <c r="AE117">
        <v>619</v>
      </c>
      <c r="AF117">
        <v>22.69339674670011</v>
      </c>
      <c r="AG117">
        <v>20.6149201906493</v>
      </c>
      <c r="AH117">
        <f>0*0</f>
        <v>0</v>
      </c>
      <c r="AI117">
        <f>4.11976089697243*0</f>
        <v>0</v>
      </c>
      <c r="AJ117">
        <v>0</v>
      </c>
      <c r="AK117">
        <v>0</v>
      </c>
      <c r="AL117">
        <v>0</v>
      </c>
    </row>
    <row r="118" spans="1:38" hidden="1" x14ac:dyDescent="0.2">
      <c r="A118" t="s">
        <v>290</v>
      </c>
      <c r="B118" t="s">
        <v>291</v>
      </c>
      <c r="C118" t="s">
        <v>291</v>
      </c>
      <c r="D118" t="s">
        <v>5</v>
      </c>
      <c r="E118">
        <v>0</v>
      </c>
      <c r="F118">
        <v>0</v>
      </c>
      <c r="G118">
        <v>1</v>
      </c>
      <c r="H118">
        <v>0</v>
      </c>
      <c r="I118" t="s">
        <v>26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4.7</v>
      </c>
      <c r="AE118">
        <v>636</v>
      </c>
      <c r="AF118">
        <v>11.2608695652174</v>
      </c>
      <c r="AG118">
        <v>0</v>
      </c>
      <c r="AH118">
        <f>12.6737628394391*1</f>
        <v>12.6737628394391</v>
      </c>
      <c r="AI118">
        <f>3.16844070985978*1</f>
        <v>3.1684407098597802</v>
      </c>
      <c r="AJ118">
        <v>1</v>
      </c>
      <c r="AK118">
        <v>0</v>
      </c>
      <c r="AL118">
        <v>0</v>
      </c>
    </row>
    <row r="119" spans="1:38" hidden="1" x14ac:dyDescent="0.2">
      <c r="A119" t="s">
        <v>292</v>
      </c>
      <c r="B119" t="s">
        <v>293</v>
      </c>
      <c r="C119" t="s">
        <v>293</v>
      </c>
      <c r="D119" t="s">
        <v>5</v>
      </c>
      <c r="E119">
        <v>0</v>
      </c>
      <c r="F119">
        <v>0</v>
      </c>
      <c r="G119">
        <v>1</v>
      </c>
      <c r="H119">
        <v>0</v>
      </c>
      <c r="I119" t="s">
        <v>26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v>0</v>
      </c>
      <c r="AC119">
        <v>0</v>
      </c>
      <c r="AD119">
        <v>5</v>
      </c>
      <c r="AE119">
        <v>637</v>
      </c>
      <c r="AF119">
        <v>10.0931531114416</v>
      </c>
      <c r="AG119">
        <v>0</v>
      </c>
      <c r="AH119">
        <f>11.3595338349066*1</f>
        <v>11.3595338349066</v>
      </c>
      <c r="AI119">
        <f>1.55078154087699*1</f>
        <v>1.5507815408769901</v>
      </c>
      <c r="AJ119">
        <v>1</v>
      </c>
      <c r="AK119">
        <v>0</v>
      </c>
      <c r="AL119">
        <v>0</v>
      </c>
    </row>
    <row r="120" spans="1:38" hidden="1" x14ac:dyDescent="0.2">
      <c r="A120" t="s">
        <v>294</v>
      </c>
      <c r="B120" t="s">
        <v>295</v>
      </c>
      <c r="C120" t="s">
        <v>294</v>
      </c>
      <c r="D120" t="s">
        <v>5</v>
      </c>
      <c r="E120">
        <v>0</v>
      </c>
      <c r="F120">
        <v>0</v>
      </c>
      <c r="G120">
        <v>1</v>
      </c>
      <c r="H120">
        <v>0</v>
      </c>
      <c r="I120" t="s">
        <v>26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5.3</v>
      </c>
      <c r="AE120">
        <v>646</v>
      </c>
      <c r="AF120">
        <v>10.007180606145621</v>
      </c>
      <c r="AG120">
        <v>0</v>
      </c>
      <c r="AH120">
        <f>11.2627744206782*1</f>
        <v>11.2627744206782</v>
      </c>
      <c r="AI120">
        <f>2.66603026703465*1</f>
        <v>2.6660302670346501</v>
      </c>
      <c r="AJ120">
        <v>1</v>
      </c>
      <c r="AK120">
        <v>0</v>
      </c>
      <c r="AL120">
        <v>0</v>
      </c>
    </row>
    <row r="121" spans="1:38" hidden="1" x14ac:dyDescent="0.2">
      <c r="A121" t="s">
        <v>296</v>
      </c>
      <c r="B121" t="s">
        <v>297</v>
      </c>
      <c r="C121" t="s">
        <v>297</v>
      </c>
      <c r="D121" t="s">
        <v>5</v>
      </c>
      <c r="E121">
        <v>0</v>
      </c>
      <c r="F121">
        <v>0</v>
      </c>
      <c r="G121">
        <v>1</v>
      </c>
      <c r="H121">
        <v>0</v>
      </c>
      <c r="I121" t="s">
        <v>26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5.7</v>
      </c>
      <c r="AE121">
        <v>651</v>
      </c>
      <c r="AF121">
        <v>17.14394887155456</v>
      </c>
      <c r="AG121">
        <v>0</v>
      </c>
      <c r="AH121">
        <f>19.2949879111185*1</f>
        <v>19.294987911118501</v>
      </c>
      <c r="AI121">
        <f>4.82374697777964*1</f>
        <v>4.8237469777796402</v>
      </c>
      <c r="AJ121">
        <v>1</v>
      </c>
      <c r="AK121">
        <v>0</v>
      </c>
      <c r="AL121">
        <v>0</v>
      </c>
    </row>
    <row r="122" spans="1:38" hidden="1" x14ac:dyDescent="0.2">
      <c r="A122" t="s">
        <v>298</v>
      </c>
      <c r="B122" t="s">
        <v>299</v>
      </c>
      <c r="C122" t="s">
        <v>299</v>
      </c>
      <c r="D122" t="s">
        <v>6</v>
      </c>
      <c r="E122">
        <v>0</v>
      </c>
      <c r="F122">
        <v>0</v>
      </c>
      <c r="G122">
        <v>0</v>
      </c>
      <c r="H122">
        <v>1</v>
      </c>
      <c r="I122" t="s">
        <v>26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4.9000000000000004</v>
      </c>
      <c r="AE122">
        <v>671</v>
      </c>
      <c r="AF122">
        <v>13.775915217756561</v>
      </c>
      <c r="AG122">
        <v>0</v>
      </c>
      <c r="AH122">
        <f>15.5043694765233*1</f>
        <v>15.5043694765233</v>
      </c>
      <c r="AI122">
        <f>3.63898782394098*1</f>
        <v>3.6389878239409801</v>
      </c>
      <c r="AJ122">
        <v>1</v>
      </c>
      <c r="AK122">
        <v>0</v>
      </c>
      <c r="AL122">
        <v>0</v>
      </c>
    </row>
    <row r="123" spans="1:38" hidden="1" x14ac:dyDescent="0.2">
      <c r="A123" t="s">
        <v>300</v>
      </c>
      <c r="B123" t="s">
        <v>301</v>
      </c>
      <c r="C123" t="s">
        <v>301</v>
      </c>
      <c r="D123" t="s">
        <v>6</v>
      </c>
      <c r="E123">
        <v>0</v>
      </c>
      <c r="F123">
        <v>0</v>
      </c>
      <c r="G123">
        <v>0</v>
      </c>
      <c r="H123">
        <v>1</v>
      </c>
      <c r="I123" t="s">
        <v>27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0</v>
      </c>
      <c r="AC123">
        <v>0</v>
      </c>
      <c r="AD123">
        <v>4.2</v>
      </c>
      <c r="AE123">
        <v>691</v>
      </c>
      <c r="AF123">
        <v>9.5852646229688769</v>
      </c>
      <c r="AG123">
        <v>10.422373513092181</v>
      </c>
      <c r="AH123">
        <f>11.6767342954282*1</f>
        <v>11.676734295428201</v>
      </c>
      <c r="AI123">
        <f>2.97258328163104*1</f>
        <v>2.97258328163104</v>
      </c>
      <c r="AJ123">
        <v>1</v>
      </c>
      <c r="AK123">
        <v>0</v>
      </c>
      <c r="AL123">
        <v>0</v>
      </c>
    </row>
    <row r="124" spans="1:38" hidden="1" x14ac:dyDescent="0.2">
      <c r="A124" t="s">
        <v>302</v>
      </c>
      <c r="B124" t="s">
        <v>303</v>
      </c>
      <c r="C124" t="s">
        <v>303</v>
      </c>
      <c r="D124" t="s">
        <v>4</v>
      </c>
      <c r="E124">
        <v>0</v>
      </c>
      <c r="F124">
        <v>1</v>
      </c>
      <c r="G124">
        <v>0</v>
      </c>
      <c r="H124">
        <v>0</v>
      </c>
      <c r="I124" t="s">
        <v>27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4.5</v>
      </c>
      <c r="AE124">
        <v>698</v>
      </c>
      <c r="AF124">
        <v>13.14093872010052</v>
      </c>
      <c r="AG124">
        <v>8.1778269372026546</v>
      </c>
      <c r="AH124">
        <f>14.5735004172295*1</f>
        <v>14.5735004172295</v>
      </c>
      <c r="AI124">
        <f>0.764892160895948*1</f>
        <v>0.76489216089594803</v>
      </c>
      <c r="AJ124">
        <v>1</v>
      </c>
      <c r="AK124">
        <v>0</v>
      </c>
      <c r="AL124">
        <v>0</v>
      </c>
    </row>
    <row r="125" spans="1:38" hidden="1" x14ac:dyDescent="0.2">
      <c r="A125" t="s">
        <v>304</v>
      </c>
      <c r="B125" t="s">
        <v>305</v>
      </c>
      <c r="C125" t="s">
        <v>305</v>
      </c>
      <c r="D125" t="s">
        <v>3</v>
      </c>
      <c r="E125">
        <v>1</v>
      </c>
      <c r="F125">
        <v>0</v>
      </c>
      <c r="G125">
        <v>0</v>
      </c>
      <c r="H125">
        <v>0</v>
      </c>
      <c r="I125" t="s">
        <v>27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4.4000000000000004</v>
      </c>
      <c r="AE125">
        <v>704</v>
      </c>
      <c r="AF125">
        <v>9.3846153846153815</v>
      </c>
      <c r="AG125">
        <v>10.862053192941181</v>
      </c>
      <c r="AH125">
        <f>11.5867613023964*1</f>
        <v>11.5867613023964</v>
      </c>
      <c r="AI125">
        <f>3.28090509057112*1</f>
        <v>3.2809050905711201</v>
      </c>
      <c r="AJ125">
        <v>1</v>
      </c>
      <c r="AK125">
        <v>0</v>
      </c>
      <c r="AL125">
        <v>0</v>
      </c>
    </row>
    <row r="126" spans="1:38" hidden="1" x14ac:dyDescent="0.2">
      <c r="A126" t="s">
        <v>306</v>
      </c>
      <c r="B126" t="s">
        <v>307</v>
      </c>
      <c r="C126" t="s">
        <v>307</v>
      </c>
      <c r="D126" t="s">
        <v>5</v>
      </c>
      <c r="E126">
        <v>0</v>
      </c>
      <c r="F126">
        <v>0</v>
      </c>
      <c r="G126">
        <v>1</v>
      </c>
      <c r="H126">
        <v>0</v>
      </c>
      <c r="I126" t="s">
        <v>28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0</v>
      </c>
      <c r="AC126">
        <v>0</v>
      </c>
      <c r="AD126">
        <v>5.8</v>
      </c>
      <c r="AE126">
        <v>735</v>
      </c>
      <c r="AF126">
        <v>20.45454545454546</v>
      </c>
      <c r="AG126">
        <v>0</v>
      </c>
      <c r="AH126">
        <f>20.5821747020454*1</f>
        <v>20.5821747020454</v>
      </c>
      <c r="AI126">
        <f>6.86072490068182*1</f>
        <v>6.8607249006818201</v>
      </c>
      <c r="AJ126">
        <v>1</v>
      </c>
      <c r="AK126">
        <v>0</v>
      </c>
      <c r="AL126">
        <v>0</v>
      </c>
    </row>
    <row r="127" spans="1:38" hidden="1" x14ac:dyDescent="0.2">
      <c r="A127" t="s">
        <v>308</v>
      </c>
      <c r="B127" t="s">
        <v>309</v>
      </c>
      <c r="C127" t="s">
        <v>310</v>
      </c>
      <c r="D127" t="s">
        <v>4</v>
      </c>
      <c r="E127">
        <v>0</v>
      </c>
      <c r="F127">
        <v>1</v>
      </c>
      <c r="G127">
        <v>0</v>
      </c>
      <c r="H127">
        <v>0</v>
      </c>
      <c r="I127" t="s">
        <v>28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0</v>
      </c>
      <c r="AD127">
        <v>5.8</v>
      </c>
      <c r="AE127">
        <v>751</v>
      </c>
      <c r="AF127">
        <v>23.79714323910699</v>
      </c>
      <c r="AG127">
        <v>0</v>
      </c>
      <c r="AH127">
        <f>23.9456291338928*1</f>
        <v>23.945629133892801</v>
      </c>
      <c r="AI127">
        <f>8.35727332065429*1</f>
        <v>8.35727332065429</v>
      </c>
      <c r="AJ127">
        <v>1</v>
      </c>
      <c r="AK127">
        <v>0</v>
      </c>
      <c r="AL127">
        <v>0</v>
      </c>
    </row>
    <row r="128" spans="1:38" hidden="1" x14ac:dyDescent="0.2">
      <c r="A128" t="s">
        <v>311</v>
      </c>
      <c r="B128" t="s">
        <v>312</v>
      </c>
      <c r="C128" t="s">
        <v>311</v>
      </c>
      <c r="D128" t="s">
        <v>5</v>
      </c>
      <c r="E128">
        <v>0</v>
      </c>
      <c r="F128">
        <v>0</v>
      </c>
      <c r="G128">
        <v>1</v>
      </c>
      <c r="H128">
        <v>0</v>
      </c>
      <c r="I128" t="s">
        <v>28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0</v>
      </c>
      <c r="AC128">
        <v>0</v>
      </c>
      <c r="AD128">
        <v>9.8000000000000007</v>
      </c>
      <c r="AE128">
        <v>760</v>
      </c>
      <c r="AF128">
        <v>32.234923977971498</v>
      </c>
      <c r="AG128">
        <v>0</v>
      </c>
      <c r="AH128">
        <f>32.436058689064*1</f>
        <v>32.436058689063998</v>
      </c>
      <c r="AI128">
        <f>11.2371761622175*1</f>
        <v>11.2371761622175</v>
      </c>
      <c r="AJ128">
        <v>1</v>
      </c>
      <c r="AK128">
        <v>0</v>
      </c>
      <c r="AL128">
        <v>0</v>
      </c>
    </row>
    <row r="129" spans="1:38" hidden="1" x14ac:dyDescent="0.2">
      <c r="A129" t="s">
        <v>313</v>
      </c>
      <c r="B129" t="s">
        <v>314</v>
      </c>
      <c r="C129" t="s">
        <v>314</v>
      </c>
      <c r="D129" t="s">
        <v>3</v>
      </c>
      <c r="E129">
        <v>1</v>
      </c>
      <c r="F129">
        <v>0</v>
      </c>
      <c r="G129">
        <v>0</v>
      </c>
      <c r="H129">
        <v>0</v>
      </c>
      <c r="I129" t="s">
        <v>28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0</v>
      </c>
      <c r="AD129">
        <v>5.3</v>
      </c>
      <c r="AE129">
        <v>764</v>
      </c>
      <c r="AF129">
        <v>15.15828277682999</v>
      </c>
      <c r="AG129">
        <v>0</v>
      </c>
      <c r="AH129">
        <f>15.2528651877908*1</f>
        <v>15.2528651877908</v>
      </c>
      <c r="AI129">
        <f>5.11406456118496*1</f>
        <v>5.1140645611849598</v>
      </c>
      <c r="AJ129">
        <v>1</v>
      </c>
      <c r="AK129">
        <v>0</v>
      </c>
      <c r="AL129">
        <v>0</v>
      </c>
    </row>
    <row r="130" spans="1:38" hidden="1" x14ac:dyDescent="0.2">
      <c r="A130" t="s">
        <v>315</v>
      </c>
      <c r="B130" t="s">
        <v>316</v>
      </c>
      <c r="C130" t="s">
        <v>316</v>
      </c>
      <c r="D130" t="s">
        <v>3</v>
      </c>
      <c r="E130">
        <v>1</v>
      </c>
      <c r="F130">
        <v>0</v>
      </c>
      <c r="G130">
        <v>0</v>
      </c>
      <c r="H130">
        <v>0</v>
      </c>
      <c r="I130" t="s">
        <v>29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</v>
      </c>
      <c r="AC130">
        <v>0</v>
      </c>
      <c r="AD130">
        <v>4.2</v>
      </c>
      <c r="AE130">
        <v>779</v>
      </c>
      <c r="AF130">
        <v>13.575757575757571</v>
      </c>
      <c r="AG130">
        <v>10.98643032755932</v>
      </c>
      <c r="AH130">
        <f>11.6616233129413*1</f>
        <v>11.6616233129413</v>
      </c>
      <c r="AI130">
        <f>2.91598855481089*1</f>
        <v>2.9159885548108901</v>
      </c>
      <c r="AJ130">
        <v>1</v>
      </c>
      <c r="AK130">
        <v>0</v>
      </c>
      <c r="AL130">
        <v>0</v>
      </c>
    </row>
    <row r="131" spans="1:38" hidden="1" x14ac:dyDescent="0.2">
      <c r="A131" t="s">
        <v>317</v>
      </c>
      <c r="B131" t="s">
        <v>318</v>
      </c>
      <c r="C131" t="s">
        <v>318</v>
      </c>
      <c r="D131" t="s">
        <v>5</v>
      </c>
      <c r="E131">
        <v>0</v>
      </c>
      <c r="F131">
        <v>0</v>
      </c>
      <c r="G131">
        <v>1</v>
      </c>
      <c r="H131">
        <v>0</v>
      </c>
      <c r="I131" t="s">
        <v>29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</v>
      </c>
      <c r="AC131">
        <v>0</v>
      </c>
      <c r="AD131">
        <v>7.7</v>
      </c>
      <c r="AE131">
        <v>781</v>
      </c>
      <c r="AF131">
        <v>17.788834456066731</v>
      </c>
      <c r="AG131">
        <v>15.959312259777249</v>
      </c>
      <c r="AH131">
        <f>15.340416504245*1</f>
        <v>15.340416504245001</v>
      </c>
      <c r="AI131">
        <f>2.33397882590314*1</f>
        <v>2.3339788259031402</v>
      </c>
      <c r="AJ131">
        <v>1</v>
      </c>
      <c r="AK131">
        <v>0</v>
      </c>
      <c r="AL131">
        <v>0</v>
      </c>
    </row>
    <row r="132" spans="1:38" hidden="1" x14ac:dyDescent="0.2">
      <c r="A132" t="s">
        <v>69</v>
      </c>
      <c r="B132" t="s">
        <v>319</v>
      </c>
      <c r="C132" t="s">
        <v>320</v>
      </c>
      <c r="D132" t="s">
        <v>5</v>
      </c>
      <c r="E132">
        <v>0</v>
      </c>
      <c r="F132">
        <v>0</v>
      </c>
      <c r="G132">
        <v>1</v>
      </c>
      <c r="H132">
        <v>0</v>
      </c>
      <c r="I132" t="s">
        <v>29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</v>
      </c>
      <c r="AC132">
        <v>0</v>
      </c>
      <c r="AD132">
        <v>6</v>
      </c>
      <c r="AE132">
        <v>794</v>
      </c>
      <c r="AF132">
        <v>14.395782879842949</v>
      </c>
      <c r="AG132">
        <v>16.186721367729241</v>
      </c>
      <c r="AH132">
        <f>12.5394000331397*1</f>
        <v>12.5394000331397</v>
      </c>
      <c r="AI132">
        <f>3.00221465086937*1</f>
        <v>3.0022146508693699</v>
      </c>
      <c r="AJ132">
        <v>1</v>
      </c>
      <c r="AK132">
        <v>0</v>
      </c>
      <c r="AL132">
        <v>0</v>
      </c>
    </row>
    <row r="133" spans="1:38" hidden="1" x14ac:dyDescent="0.2">
      <c r="A133" t="s">
        <v>321</v>
      </c>
      <c r="B133" t="s">
        <v>322</v>
      </c>
      <c r="C133" t="s">
        <v>322</v>
      </c>
      <c r="D133" t="s">
        <v>4</v>
      </c>
      <c r="E133">
        <v>0</v>
      </c>
      <c r="F133">
        <v>1</v>
      </c>
      <c r="G133">
        <v>0</v>
      </c>
      <c r="H133">
        <v>0</v>
      </c>
      <c r="I133" t="s">
        <v>29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1</v>
      </c>
      <c r="AC133">
        <v>0</v>
      </c>
      <c r="AD133">
        <v>4.5</v>
      </c>
      <c r="AE133">
        <v>798</v>
      </c>
      <c r="AF133">
        <v>11.73311288075122</v>
      </c>
      <c r="AG133">
        <v>12.611521057894279</v>
      </c>
      <c r="AH133">
        <f>10.1978761142007*1</f>
        <v>10.1978761142007</v>
      </c>
      <c r="AI133">
        <f>2.63366547383204*1</f>
        <v>2.63366547383204</v>
      </c>
      <c r="AJ133">
        <v>1</v>
      </c>
      <c r="AK133">
        <v>0</v>
      </c>
      <c r="AL133">
        <v>0</v>
      </c>
    </row>
    <row r="134" spans="1:38" hidden="1" x14ac:dyDescent="0.2">
      <c r="A134" t="s">
        <v>193</v>
      </c>
      <c r="B134" t="s">
        <v>323</v>
      </c>
      <c r="C134" t="s">
        <v>323</v>
      </c>
      <c r="D134" t="s">
        <v>5</v>
      </c>
      <c r="E134">
        <v>0</v>
      </c>
      <c r="F134">
        <v>0</v>
      </c>
      <c r="G134">
        <v>1</v>
      </c>
      <c r="H134">
        <v>0</v>
      </c>
      <c r="I134" t="s">
        <v>29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5.8</v>
      </c>
      <c r="AE134">
        <v>802</v>
      </c>
      <c r="AF134">
        <v>15.19666014564045</v>
      </c>
      <c r="AG134">
        <v>14.09109761506771</v>
      </c>
      <c r="AH134">
        <f>13.1225021037176*1</f>
        <v>13.122502103717601</v>
      </c>
      <c r="AI134">
        <f>3.14118562842604*1</f>
        <v>3.1411856284260402</v>
      </c>
      <c r="AJ134">
        <v>1</v>
      </c>
      <c r="AK134">
        <v>0</v>
      </c>
      <c r="AL134">
        <v>0</v>
      </c>
    </row>
    <row r="135" spans="1:38" hidden="1" x14ac:dyDescent="0.2">
      <c r="A135" t="s">
        <v>324</v>
      </c>
      <c r="B135" t="s">
        <v>325</v>
      </c>
      <c r="C135" t="s">
        <v>325</v>
      </c>
      <c r="D135" t="s">
        <v>5</v>
      </c>
      <c r="E135">
        <v>0</v>
      </c>
      <c r="F135">
        <v>0</v>
      </c>
      <c r="G135">
        <v>1</v>
      </c>
      <c r="H135">
        <v>0</v>
      </c>
      <c r="I135" t="s">
        <v>29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6.8</v>
      </c>
      <c r="AE135">
        <v>804</v>
      </c>
      <c r="AF135">
        <v>11.44906261441173</v>
      </c>
      <c r="AG135">
        <v>17.02325054563843</v>
      </c>
      <c r="AH135">
        <f>10.1312580962071*1</f>
        <v>10.1312580962071</v>
      </c>
      <c r="AI135">
        <f>2.57537332264098*1</f>
        <v>2.5753733226409801</v>
      </c>
      <c r="AJ135">
        <v>1</v>
      </c>
      <c r="AK135">
        <v>0</v>
      </c>
      <c r="AL135">
        <v>0</v>
      </c>
    </row>
    <row r="136" spans="1:38" hidden="1" x14ac:dyDescent="0.2">
      <c r="A136" t="s">
        <v>326</v>
      </c>
      <c r="B136" t="s">
        <v>327</v>
      </c>
      <c r="C136" t="s">
        <v>327</v>
      </c>
      <c r="D136" t="s">
        <v>4</v>
      </c>
      <c r="E136">
        <v>0</v>
      </c>
      <c r="F136">
        <v>1</v>
      </c>
      <c r="G136">
        <v>0</v>
      </c>
      <c r="H136">
        <v>0</v>
      </c>
      <c r="I136" t="s">
        <v>30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4.8</v>
      </c>
      <c r="AE136">
        <v>811</v>
      </c>
      <c r="AF136">
        <v>10.646542795747941</v>
      </c>
      <c r="AG136">
        <v>7.1172144863854383</v>
      </c>
      <c r="AH136">
        <f>11.1624592884785*1</f>
        <v>11.1624592884785</v>
      </c>
      <c r="AI136">
        <f>4.84797956271362*1</f>
        <v>4.8479795627136202</v>
      </c>
      <c r="AJ136">
        <v>1</v>
      </c>
      <c r="AK136">
        <v>0</v>
      </c>
      <c r="AL136">
        <v>0</v>
      </c>
    </row>
    <row r="137" spans="1:38" hidden="1" x14ac:dyDescent="0.2">
      <c r="A137" t="s">
        <v>328</v>
      </c>
      <c r="B137" t="s">
        <v>329</v>
      </c>
      <c r="C137" t="s">
        <v>329</v>
      </c>
      <c r="D137" t="s">
        <v>4</v>
      </c>
      <c r="E137">
        <v>0</v>
      </c>
      <c r="F137">
        <v>1</v>
      </c>
      <c r="G137">
        <v>0</v>
      </c>
      <c r="H137">
        <v>0</v>
      </c>
      <c r="I137" t="s">
        <v>30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</v>
      </c>
      <c r="AD137">
        <v>4.5</v>
      </c>
      <c r="AE137">
        <v>817</v>
      </c>
      <c r="AF137">
        <v>10.793039985762579</v>
      </c>
      <c r="AG137">
        <v>10.051174036332259</v>
      </c>
      <c r="AH137">
        <f>12.5279483100686*1</f>
        <v>12.5279483100686</v>
      </c>
      <c r="AI137">
        <f>3.23189244382111*1</f>
        <v>3.2318924438211099</v>
      </c>
      <c r="AJ137">
        <v>1</v>
      </c>
      <c r="AK137">
        <v>0</v>
      </c>
      <c r="AL137">
        <v>0</v>
      </c>
    </row>
    <row r="138" spans="1:38" hidden="1" x14ac:dyDescent="0.2">
      <c r="A138" t="s">
        <v>330</v>
      </c>
      <c r="B138" t="s">
        <v>331</v>
      </c>
      <c r="C138" t="s">
        <v>332</v>
      </c>
      <c r="D138" t="s">
        <v>5</v>
      </c>
      <c r="E138">
        <v>0</v>
      </c>
      <c r="F138">
        <v>0</v>
      </c>
      <c r="G138">
        <v>1</v>
      </c>
      <c r="H138">
        <v>0</v>
      </c>
      <c r="I138" t="s">
        <v>30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1</v>
      </c>
      <c r="AD138">
        <v>5.4</v>
      </c>
      <c r="AE138">
        <v>822</v>
      </c>
      <c r="AF138">
        <v>16.332583307510859</v>
      </c>
      <c r="AG138">
        <v>11.77286744580956</v>
      </c>
      <c r="AH138">
        <f>17.4891976553185*1</f>
        <v>17.489197655318499</v>
      </c>
      <c r="AI138">
        <f>6.68405562678326*1</f>
        <v>6.6840556267832598</v>
      </c>
      <c r="AJ138">
        <v>1</v>
      </c>
      <c r="AK138">
        <v>0</v>
      </c>
      <c r="AL138">
        <v>0</v>
      </c>
    </row>
    <row r="139" spans="1:38" x14ac:dyDescent="0.2">
      <c r="A139" t="s">
        <v>233</v>
      </c>
      <c r="B139" t="s">
        <v>234</v>
      </c>
      <c r="C139" t="s">
        <v>233</v>
      </c>
      <c r="D139" t="s">
        <v>4</v>
      </c>
      <c r="E139">
        <v>0</v>
      </c>
      <c r="F139">
        <v>1</v>
      </c>
      <c r="G139">
        <v>0</v>
      </c>
      <c r="H139">
        <v>0</v>
      </c>
      <c r="I139" t="s">
        <v>21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6.7</v>
      </c>
      <c r="AE139">
        <v>445</v>
      </c>
      <c r="AF139">
        <v>0</v>
      </c>
      <c r="AG139">
        <v>17.77739665576447</v>
      </c>
      <c r="AH139">
        <f>16.8995994307508*1</f>
        <v>16.899599430750801</v>
      </c>
      <c r="AI139">
        <f>3.94996491830288*1</f>
        <v>3.94996491830288</v>
      </c>
      <c r="AJ139">
        <v>1</v>
      </c>
      <c r="AK139">
        <v>1</v>
      </c>
      <c r="AL139">
        <v>1</v>
      </c>
    </row>
    <row r="140" spans="1:38" x14ac:dyDescent="0.2">
      <c r="A140" t="s">
        <v>89</v>
      </c>
      <c r="B140" t="s">
        <v>134</v>
      </c>
      <c r="C140" t="s">
        <v>134</v>
      </c>
      <c r="D140" t="s">
        <v>4</v>
      </c>
      <c r="E140">
        <v>0</v>
      </c>
      <c r="F140">
        <v>1</v>
      </c>
      <c r="G140">
        <v>0</v>
      </c>
      <c r="H140">
        <v>0</v>
      </c>
      <c r="I140" t="s">
        <v>15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5.2</v>
      </c>
      <c r="AE140">
        <v>170</v>
      </c>
      <c r="AF140">
        <v>15.84656084656087</v>
      </c>
      <c r="AG140">
        <v>0</v>
      </c>
      <c r="AH140">
        <f>18.7325015314074*1</f>
        <v>18.732501531407401</v>
      </c>
      <c r="AI140">
        <f>3.74650030628148*1</f>
        <v>3.7465003062814799</v>
      </c>
      <c r="AJ140">
        <v>1</v>
      </c>
      <c r="AK140">
        <v>1</v>
      </c>
      <c r="AL140">
        <v>1</v>
      </c>
    </row>
    <row r="141" spans="1:38" hidden="1" x14ac:dyDescent="0.2">
      <c r="A141" t="s">
        <v>338</v>
      </c>
      <c r="B141" t="s">
        <v>339</v>
      </c>
      <c r="C141" t="s">
        <v>339</v>
      </c>
      <c r="D141" t="s">
        <v>5</v>
      </c>
      <c r="E141">
        <v>0</v>
      </c>
      <c r="F141">
        <v>0</v>
      </c>
      <c r="G141">
        <v>1</v>
      </c>
      <c r="H141">
        <v>0</v>
      </c>
      <c r="I141" t="s">
        <v>30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4.8</v>
      </c>
      <c r="AE141">
        <v>833</v>
      </c>
      <c r="AF141">
        <v>16.70933023413976</v>
      </c>
      <c r="AG141">
        <v>12.30743333528658</v>
      </c>
      <c r="AH141">
        <f>18.0050092865325*1</f>
        <v>18.005009286532498</v>
      </c>
      <c r="AI141">
        <f>4.89598508032648*1</f>
        <v>4.8959850803264802</v>
      </c>
      <c r="AJ141">
        <v>1</v>
      </c>
      <c r="AK141">
        <v>0</v>
      </c>
      <c r="AL141">
        <v>0</v>
      </c>
    </row>
    <row r="142" spans="1:38" hidden="1" x14ac:dyDescent="0.2">
      <c r="A142" t="s">
        <v>340</v>
      </c>
      <c r="B142" t="s">
        <v>341</v>
      </c>
      <c r="C142" t="s">
        <v>342</v>
      </c>
      <c r="D142" t="s">
        <v>6</v>
      </c>
      <c r="E142">
        <v>0</v>
      </c>
      <c r="F142">
        <v>0</v>
      </c>
      <c r="G142">
        <v>0</v>
      </c>
      <c r="H142">
        <v>1</v>
      </c>
      <c r="I142" t="s">
        <v>30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</v>
      </c>
      <c r="AD142">
        <v>5.6</v>
      </c>
      <c r="AE142">
        <v>838</v>
      </c>
      <c r="AF142">
        <v>13.573882349830701</v>
      </c>
      <c r="AG142">
        <v>12.52822089185811</v>
      </c>
      <c r="AH142">
        <f>15.7076534902405*1</f>
        <v>15.707653490240499</v>
      </c>
      <c r="AI142">
        <f>2.61474804724256*1</f>
        <v>2.6147480472425602</v>
      </c>
      <c r="AJ142">
        <v>1</v>
      </c>
      <c r="AK142">
        <v>0</v>
      </c>
      <c r="AL142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Corridore, Gabe</cp:lastModifiedBy>
  <dcterms:created xsi:type="dcterms:W3CDTF">2024-04-26T17:52:13Z</dcterms:created>
  <dcterms:modified xsi:type="dcterms:W3CDTF">2024-04-26T17:54:22Z</dcterms:modified>
</cp:coreProperties>
</file>