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GitHub/FPL-Predictor/Calibrations/2023-24/"/>
    </mc:Choice>
  </mc:AlternateContent>
  <xr:revisionPtr revIDLastSave="0" documentId="13_ncr:1_{C887B8AA-AE99-6147-980A-CB853B36286C}" xr6:coauthVersionLast="47" xr6:coauthVersionMax="47" xr10:uidLastSave="{00000000-0000-0000-0000-000000000000}"/>
  <bookViews>
    <workbookView xWindow="240" yWindow="760" windowWidth="18920" windowHeight="12340" firstSheet="10" activeTab="19" xr2:uid="{00000000-000D-0000-FFFF-FFFF00000000}"/>
  </bookViews>
  <sheets>
    <sheet name="ARS" sheetId="1" r:id="rId1"/>
    <sheet name="AVL" sheetId="2" r:id="rId2"/>
    <sheet name="BOU" sheetId="3" r:id="rId3"/>
    <sheet name="BRE" sheetId="4" r:id="rId4"/>
    <sheet name="BHA" sheetId="5" r:id="rId5"/>
    <sheet name="BUR" sheetId="6" r:id="rId6"/>
    <sheet name="CHE" sheetId="7" r:id="rId7"/>
    <sheet name="CRY" sheetId="8" r:id="rId8"/>
    <sheet name="EVE" sheetId="9" r:id="rId9"/>
    <sheet name="FUL" sheetId="10" r:id="rId10"/>
    <sheet name="LIV" sheetId="11" r:id="rId11"/>
    <sheet name="LUT" sheetId="12" r:id="rId12"/>
    <sheet name="MCI" sheetId="13" r:id="rId13"/>
    <sheet name="MUN" sheetId="14" r:id="rId14"/>
    <sheet name="NEW" sheetId="15" r:id="rId15"/>
    <sheet name="NFO" sheetId="16" r:id="rId16"/>
    <sheet name="SHU" sheetId="17" r:id="rId17"/>
    <sheet name="TOT" sheetId="18" r:id="rId18"/>
    <sheet name="WHU" sheetId="19" r:id="rId19"/>
    <sheet name="WOL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0" l="1"/>
  <c r="F12" i="20" s="1"/>
  <c r="D11" i="20"/>
  <c r="F11" i="20" s="1"/>
  <c r="F10" i="20"/>
  <c r="D10" i="20"/>
  <c r="F9" i="20"/>
  <c r="D9" i="20"/>
  <c r="D8" i="20"/>
  <c r="F8" i="20" s="1"/>
  <c r="D7" i="20"/>
  <c r="F7" i="20" s="1"/>
  <c r="D6" i="20"/>
  <c r="F6" i="20" s="1"/>
  <c r="F5" i="20"/>
  <c r="D5" i="20"/>
  <c r="I5" i="20" s="1"/>
  <c r="F4" i="20"/>
  <c r="D4" i="20"/>
  <c r="F3" i="20"/>
  <c r="D3" i="20"/>
  <c r="F2" i="20"/>
  <c r="D2" i="20"/>
  <c r="F10" i="19"/>
  <c r="D10" i="19"/>
  <c r="F9" i="19"/>
  <c r="D9" i="19"/>
  <c r="F8" i="19"/>
  <c r="D8" i="19"/>
  <c r="F7" i="19"/>
  <c r="D7" i="19"/>
  <c r="D6" i="19"/>
  <c r="F6" i="19" s="1"/>
  <c r="F5" i="19"/>
  <c r="D5" i="19"/>
  <c r="I5" i="19" s="1"/>
  <c r="F4" i="19"/>
  <c r="D4" i="19"/>
  <c r="D3" i="19"/>
  <c r="F3" i="19" s="1"/>
  <c r="F2" i="19"/>
  <c r="D2" i="19"/>
  <c r="F10" i="18"/>
  <c r="D10" i="18"/>
  <c r="F9" i="18"/>
  <c r="D9" i="18"/>
  <c r="F8" i="18"/>
  <c r="D8" i="18"/>
  <c r="F7" i="18"/>
  <c r="D7" i="18"/>
  <c r="D6" i="18"/>
  <c r="F6" i="18" s="1"/>
  <c r="I5" i="18"/>
  <c r="F5" i="18"/>
  <c r="D5" i="18"/>
  <c r="F4" i="18"/>
  <c r="D4" i="18"/>
  <c r="D3" i="18"/>
  <c r="F3" i="18" s="1"/>
  <c r="F2" i="18"/>
  <c r="I7" i="18" s="1"/>
  <c r="D2" i="18"/>
  <c r="F6" i="17"/>
  <c r="D6" i="17"/>
  <c r="I5" i="17"/>
  <c r="F5" i="17"/>
  <c r="D5" i="17"/>
  <c r="D4" i="17"/>
  <c r="F4" i="17" s="1"/>
  <c r="F3" i="17"/>
  <c r="D3" i="17"/>
  <c r="F2" i="17"/>
  <c r="D2" i="17"/>
  <c r="I5" i="16"/>
  <c r="F5" i="16"/>
  <c r="D5" i="16"/>
  <c r="D4" i="16"/>
  <c r="F4" i="16" s="1"/>
  <c r="I7" i="16" s="1"/>
  <c r="F3" i="16"/>
  <c r="D3" i="16"/>
  <c r="F2" i="16"/>
  <c r="D2" i="16"/>
  <c r="F8" i="15"/>
  <c r="D8" i="15"/>
  <c r="D7" i="15"/>
  <c r="F7" i="15" s="1"/>
  <c r="D6" i="15"/>
  <c r="F6" i="15" s="1"/>
  <c r="F5" i="15"/>
  <c r="D5" i="15"/>
  <c r="I5" i="15" s="1"/>
  <c r="F4" i="15"/>
  <c r="D4" i="15"/>
  <c r="F3" i="15"/>
  <c r="D3" i="15"/>
  <c r="D2" i="15"/>
  <c r="F2" i="15" s="1"/>
  <c r="I7" i="15" s="1"/>
  <c r="F9" i="14"/>
  <c r="D9" i="14"/>
  <c r="F8" i="14"/>
  <c r="D8" i="14"/>
  <c r="D7" i="14"/>
  <c r="F7" i="14" s="1"/>
  <c r="D6" i="14"/>
  <c r="F6" i="14" s="1"/>
  <c r="F5" i="14"/>
  <c r="D5" i="14"/>
  <c r="I5" i="14" s="1"/>
  <c r="F4" i="14"/>
  <c r="D4" i="14"/>
  <c r="F3" i="14"/>
  <c r="D3" i="14"/>
  <c r="F2" i="14"/>
  <c r="D2" i="14"/>
  <c r="D9" i="13"/>
  <c r="F9" i="13" s="1"/>
  <c r="F8" i="13"/>
  <c r="D8" i="13"/>
  <c r="F7" i="13"/>
  <c r="D7" i="13"/>
  <c r="F6" i="13"/>
  <c r="D6" i="13"/>
  <c r="D5" i="13"/>
  <c r="F5" i="13" s="1"/>
  <c r="F4" i="13"/>
  <c r="D4" i="13"/>
  <c r="D3" i="13"/>
  <c r="F3" i="13" s="1"/>
  <c r="I7" i="13" s="1"/>
  <c r="F2" i="13"/>
  <c r="D2" i="13"/>
  <c r="D7" i="12"/>
  <c r="F7" i="12" s="1"/>
  <c r="D6" i="12"/>
  <c r="F6" i="12" s="1"/>
  <c r="D5" i="12"/>
  <c r="I5" i="12" s="1"/>
  <c r="D4" i="12"/>
  <c r="F4" i="12" s="1"/>
  <c r="F3" i="12"/>
  <c r="D3" i="12"/>
  <c r="F2" i="12"/>
  <c r="D2" i="12"/>
  <c r="F14" i="11"/>
  <c r="D14" i="11"/>
  <c r="D13" i="11"/>
  <c r="F13" i="11" s="1"/>
  <c r="D12" i="11"/>
  <c r="F12" i="11" s="1"/>
  <c r="F11" i="11"/>
  <c r="D11" i="11"/>
  <c r="F10" i="11"/>
  <c r="D10" i="11"/>
  <c r="F9" i="11"/>
  <c r="D9" i="11"/>
  <c r="D8" i="11"/>
  <c r="F8" i="11" s="1"/>
  <c r="F7" i="11"/>
  <c r="D7" i="11"/>
  <c r="D6" i="11"/>
  <c r="F6" i="11" s="1"/>
  <c r="F5" i="11"/>
  <c r="D5" i="11"/>
  <c r="I5" i="11" s="1"/>
  <c r="D4" i="11"/>
  <c r="F4" i="11" s="1"/>
  <c r="D3" i="11"/>
  <c r="F3" i="11" s="1"/>
  <c r="I7" i="11" s="1"/>
  <c r="F2" i="11"/>
  <c r="D2" i="11"/>
  <c r="F11" i="10"/>
  <c r="D11" i="10"/>
  <c r="F10" i="10"/>
  <c r="D10" i="10"/>
  <c r="D9" i="10"/>
  <c r="F9" i="10" s="1"/>
  <c r="D8" i="10"/>
  <c r="F8" i="10" s="1"/>
  <c r="D7" i="10"/>
  <c r="F7" i="10" s="1"/>
  <c r="D6" i="10"/>
  <c r="F6" i="10" s="1"/>
  <c r="D5" i="10"/>
  <c r="I5" i="10" s="1"/>
  <c r="D4" i="10"/>
  <c r="F4" i="10" s="1"/>
  <c r="F3" i="10"/>
  <c r="D3" i="10"/>
  <c r="F2" i="10"/>
  <c r="D2" i="10"/>
  <c r="F10" i="9"/>
  <c r="D10" i="9"/>
  <c r="F9" i="9"/>
  <c r="D9" i="9"/>
  <c r="D8" i="9"/>
  <c r="F8" i="9" s="1"/>
  <c r="D7" i="9"/>
  <c r="F7" i="9" s="1"/>
  <c r="D6" i="9"/>
  <c r="F6" i="9" s="1"/>
  <c r="F5" i="9"/>
  <c r="D5" i="9"/>
  <c r="I5" i="9" s="1"/>
  <c r="D4" i="9"/>
  <c r="F4" i="9" s="1"/>
  <c r="F3" i="9"/>
  <c r="D3" i="9"/>
  <c r="D2" i="9"/>
  <c r="F2" i="9" s="1"/>
  <c r="F10" i="8"/>
  <c r="D10" i="8"/>
  <c r="D9" i="8"/>
  <c r="F9" i="8" s="1"/>
  <c r="D8" i="8"/>
  <c r="F8" i="8" s="1"/>
  <c r="D7" i="8"/>
  <c r="F7" i="8" s="1"/>
  <c r="D6" i="8"/>
  <c r="F6" i="8" s="1"/>
  <c r="D5" i="8"/>
  <c r="I5" i="8" s="1"/>
  <c r="D4" i="8"/>
  <c r="F4" i="8" s="1"/>
  <c r="F3" i="8"/>
  <c r="D3" i="8"/>
  <c r="D2" i="8"/>
  <c r="F2" i="8" s="1"/>
  <c r="F8" i="7"/>
  <c r="D8" i="7"/>
  <c r="F7" i="7"/>
  <c r="D7" i="7"/>
  <c r="F6" i="7"/>
  <c r="D6" i="7"/>
  <c r="D5" i="7"/>
  <c r="F5" i="7" s="1"/>
  <c r="F4" i="7"/>
  <c r="D4" i="7"/>
  <c r="D3" i="7"/>
  <c r="F3" i="7" s="1"/>
  <c r="D2" i="7"/>
  <c r="F2" i="7" s="1"/>
  <c r="D5" i="6"/>
  <c r="F5" i="6" s="1"/>
  <c r="F4" i="6"/>
  <c r="D4" i="6"/>
  <c r="D3" i="6"/>
  <c r="F3" i="6" s="1"/>
  <c r="D2" i="6"/>
  <c r="F2" i="6" s="1"/>
  <c r="F8" i="5"/>
  <c r="D8" i="5"/>
  <c r="D7" i="5"/>
  <c r="F7" i="5" s="1"/>
  <c r="D6" i="5"/>
  <c r="F6" i="5" s="1"/>
  <c r="I5" i="5"/>
  <c r="D5" i="5"/>
  <c r="F5" i="5" s="1"/>
  <c r="F4" i="5"/>
  <c r="D4" i="5"/>
  <c r="D3" i="5"/>
  <c r="F3" i="5" s="1"/>
  <c r="F2" i="5"/>
  <c r="D2" i="5"/>
  <c r="D10" i="4"/>
  <c r="F10" i="4" s="1"/>
  <c r="D9" i="4"/>
  <c r="F9" i="4" s="1"/>
  <c r="F8" i="4"/>
  <c r="D8" i="4"/>
  <c r="D7" i="4"/>
  <c r="F7" i="4" s="1"/>
  <c r="D6" i="4"/>
  <c r="F6" i="4" s="1"/>
  <c r="I5" i="4"/>
  <c r="D5" i="4"/>
  <c r="F5" i="4" s="1"/>
  <c r="F4" i="4"/>
  <c r="D4" i="4"/>
  <c r="D3" i="4"/>
  <c r="F3" i="4" s="1"/>
  <c r="F2" i="4"/>
  <c r="D2" i="4"/>
  <c r="D12" i="3"/>
  <c r="F12" i="3" s="1"/>
  <c r="D11" i="3"/>
  <c r="F11" i="3" s="1"/>
  <c r="F10" i="3"/>
  <c r="D10" i="3"/>
  <c r="F9" i="3"/>
  <c r="D9" i="3"/>
  <c r="F8" i="3"/>
  <c r="D8" i="3"/>
  <c r="F7" i="3"/>
  <c r="D7" i="3"/>
  <c r="F6" i="3"/>
  <c r="D6" i="3"/>
  <c r="D5" i="3"/>
  <c r="I5" i="3" s="1"/>
  <c r="F4" i="3"/>
  <c r="D4" i="3"/>
  <c r="D3" i="3"/>
  <c r="F3" i="3" s="1"/>
  <c r="D2" i="3"/>
  <c r="F2" i="3" s="1"/>
  <c r="F11" i="2"/>
  <c r="D11" i="2"/>
  <c r="D10" i="2"/>
  <c r="F10" i="2" s="1"/>
  <c r="F9" i="2"/>
  <c r="D9" i="2"/>
  <c r="D8" i="2"/>
  <c r="F8" i="2" s="1"/>
  <c r="F7" i="2"/>
  <c r="D7" i="2"/>
  <c r="D6" i="2"/>
  <c r="F6" i="2" s="1"/>
  <c r="F5" i="2"/>
  <c r="D5" i="2"/>
  <c r="I5" i="2" s="1"/>
  <c r="D4" i="2"/>
  <c r="F4" i="2" s="1"/>
  <c r="F3" i="2"/>
  <c r="I7" i="2" s="1"/>
  <c r="D3" i="2"/>
  <c r="F2" i="2"/>
  <c r="D2" i="2"/>
  <c r="D13" i="1"/>
  <c r="F13" i="1" s="1"/>
  <c r="D12" i="1"/>
  <c r="F12" i="1" s="1"/>
  <c r="F11" i="1"/>
  <c r="D11" i="1"/>
  <c r="F10" i="1"/>
  <c r="D10" i="1"/>
  <c r="F9" i="1"/>
  <c r="D9" i="1"/>
  <c r="D8" i="1"/>
  <c r="F8" i="1" s="1"/>
  <c r="D7" i="1"/>
  <c r="F7" i="1" s="1"/>
  <c r="F6" i="1"/>
  <c r="D6" i="1"/>
  <c r="I5" i="1"/>
  <c r="F5" i="1"/>
  <c r="D5" i="1"/>
  <c r="D4" i="1"/>
  <c r="F4" i="1" s="1"/>
  <c r="D3" i="1"/>
  <c r="F3" i="1" s="1"/>
  <c r="F2" i="1"/>
  <c r="D2" i="1"/>
  <c r="I7" i="4" l="1"/>
  <c r="I7" i="14"/>
  <c r="I7" i="17"/>
  <c r="I7" i="5"/>
  <c r="I7" i="6"/>
  <c r="I7" i="20"/>
  <c r="I7" i="1"/>
  <c r="I7" i="7"/>
  <c r="I7" i="12"/>
  <c r="I7" i="19"/>
  <c r="I7" i="9"/>
  <c r="F5" i="3"/>
  <c r="I7" i="3" s="1"/>
  <c r="I5" i="6"/>
  <c r="I5" i="7"/>
  <c r="I5" i="13"/>
  <c r="F5" i="8"/>
  <c r="I7" i="8" s="1"/>
  <c r="F5" i="10"/>
  <c r="I7" i="10" s="1"/>
  <c r="F5" i="12"/>
</calcChain>
</file>

<file path=xl/sharedStrings.xml><?xml version="1.0" encoding="utf-8"?>
<sst xmlns="http://schemas.openxmlformats.org/spreadsheetml/2006/main" count="368" uniqueCount="178">
  <si>
    <t>ARIMA</t>
  </si>
  <si>
    <t>LSTM</t>
  </si>
  <si>
    <t>OFF</t>
  </si>
  <si>
    <t>AVG</t>
  </si>
  <si>
    <t>Name</t>
  </si>
  <si>
    <t>ARIMAPP</t>
  </si>
  <si>
    <t>LSTMPP</t>
  </si>
  <si>
    <t>PP</t>
  </si>
  <si>
    <t>AP</t>
  </si>
  <si>
    <t>DIFF</t>
  </si>
  <si>
    <t>Rice</t>
  </si>
  <si>
    <t>G.Jesus</t>
  </si>
  <si>
    <t>Zinchenko</t>
  </si>
  <si>
    <t>Saka</t>
  </si>
  <si>
    <t>Trossard</t>
  </si>
  <si>
    <t>Havertz</t>
  </si>
  <si>
    <t>Ødegaard</t>
  </si>
  <si>
    <t>Raya</t>
  </si>
  <si>
    <t>Saliba</t>
  </si>
  <si>
    <t>White</t>
  </si>
  <si>
    <t>Martinelli</t>
  </si>
  <si>
    <t>Gabriel</t>
  </si>
  <si>
    <t>Digne</t>
  </si>
  <si>
    <t>Tielemans</t>
  </si>
  <si>
    <t>Douglas Luiz</t>
  </si>
  <si>
    <t>McGinn</t>
  </si>
  <si>
    <t>Konsa</t>
  </si>
  <si>
    <t>Watkins</t>
  </si>
  <si>
    <t>Bailey</t>
  </si>
  <si>
    <t>Martinez</t>
  </si>
  <si>
    <t>Diaby</t>
  </si>
  <si>
    <t>Pau</t>
  </si>
  <si>
    <t>Smith</t>
  </si>
  <si>
    <t>L.Cook</t>
  </si>
  <si>
    <t>Solanke</t>
  </si>
  <si>
    <t>Christie</t>
  </si>
  <si>
    <t>Tavernier</t>
  </si>
  <si>
    <t>Senesi</t>
  </si>
  <si>
    <t>Neto</t>
  </si>
  <si>
    <t>Semenyo</t>
  </si>
  <si>
    <t>Zabarnyi</t>
  </si>
  <si>
    <t>Kluivert</t>
  </si>
  <si>
    <t>Kerkez</t>
  </si>
  <si>
    <t>Maupay</t>
  </si>
  <si>
    <t>Nørgaard</t>
  </si>
  <si>
    <t>Janelt</t>
  </si>
  <si>
    <t>Ajer</t>
  </si>
  <si>
    <t>Wissa</t>
  </si>
  <si>
    <t>Jensen</t>
  </si>
  <si>
    <t>Roerslev</t>
  </si>
  <si>
    <t>Lewis-Potter</t>
  </si>
  <si>
    <t>Flekken</t>
  </si>
  <si>
    <t>Dunk</t>
  </si>
  <si>
    <t>Gross</t>
  </si>
  <si>
    <t>Welbeck</t>
  </si>
  <si>
    <t>João Pedro</t>
  </si>
  <si>
    <t>Mitoma</t>
  </si>
  <si>
    <t>Buonanotte</t>
  </si>
  <si>
    <t>Adingra</t>
  </si>
  <si>
    <t>O'Shea</t>
  </si>
  <si>
    <t>Amdouni</t>
  </si>
  <si>
    <t>Bruun Larsen</t>
  </si>
  <si>
    <t>Odobert</t>
  </si>
  <si>
    <t>Sterling</t>
  </si>
  <si>
    <t>Palmer</t>
  </si>
  <si>
    <t>T.Silva</t>
  </si>
  <si>
    <t>Colwill</t>
  </si>
  <si>
    <t>Enzo</t>
  </si>
  <si>
    <t>N.Jackson</t>
  </si>
  <si>
    <t>Gusto</t>
  </si>
  <si>
    <t>Ward</t>
  </si>
  <si>
    <t>J.Ayew</t>
  </si>
  <si>
    <t>Mitchell</t>
  </si>
  <si>
    <t>Eze</t>
  </si>
  <si>
    <t>Johnstone</t>
  </si>
  <si>
    <t>Andersen</t>
  </si>
  <si>
    <t>Mateta</t>
  </si>
  <si>
    <t>Edouard</t>
  </si>
  <si>
    <t>Lerma</t>
  </si>
  <si>
    <t>A.Doucoure</t>
  </si>
  <si>
    <t>Pickford</t>
  </si>
  <si>
    <t>Calvert-Lewin</t>
  </si>
  <si>
    <t>McNeil</t>
  </si>
  <si>
    <t>Garner</t>
  </si>
  <si>
    <t>Branthwaite</t>
  </si>
  <si>
    <t>Harrison</t>
  </si>
  <si>
    <t>Mykolenko</t>
  </si>
  <si>
    <t>Onana</t>
  </si>
  <si>
    <t>Raúl</t>
  </si>
  <si>
    <t>Cairney</t>
  </si>
  <si>
    <t>Iwobi</t>
  </si>
  <si>
    <t>Leno</t>
  </si>
  <si>
    <t>Castagne</t>
  </si>
  <si>
    <t>Robinson</t>
  </si>
  <si>
    <t>J.Palhinha</t>
  </si>
  <si>
    <t>Andreas</t>
  </si>
  <si>
    <t>De Cordova-Reid</t>
  </si>
  <si>
    <t>Willian</t>
  </si>
  <si>
    <t>A.Becker</t>
  </si>
  <si>
    <t>Salah</t>
  </si>
  <si>
    <t>Alexander-Arnold</t>
  </si>
  <si>
    <t>Virgil</t>
  </si>
  <si>
    <t>Elliott</t>
  </si>
  <si>
    <t>Mac Allister</t>
  </si>
  <si>
    <t>Konaté</t>
  </si>
  <si>
    <t>Luis Díaz</t>
  </si>
  <si>
    <t>Darwin</t>
  </si>
  <si>
    <t>Diogo J.</t>
  </si>
  <si>
    <t>Gakpo</t>
  </si>
  <si>
    <t>Szoboszlai</t>
  </si>
  <si>
    <t>Gomez</t>
  </si>
  <si>
    <t>Barkley</t>
  </si>
  <si>
    <t>Chong</t>
  </si>
  <si>
    <t>Kaminski</t>
  </si>
  <si>
    <t>Adebayo</t>
  </si>
  <si>
    <t>Ogbene</t>
  </si>
  <si>
    <t>Morris</t>
  </si>
  <si>
    <t>Ederson M.</t>
  </si>
  <si>
    <t>Walker</t>
  </si>
  <si>
    <t>Aké</t>
  </si>
  <si>
    <t>Foden</t>
  </si>
  <si>
    <t>Rodrigo</t>
  </si>
  <si>
    <t>Haaland</t>
  </si>
  <si>
    <t>J.Alvarez</t>
  </si>
  <si>
    <t>Akanji</t>
  </si>
  <si>
    <t>Rashford</t>
  </si>
  <si>
    <t>McTominay</t>
  </si>
  <si>
    <t>Lindelof</t>
  </si>
  <si>
    <t>Evans</t>
  </si>
  <si>
    <t>B.Fernandes</t>
  </si>
  <si>
    <t>Dalot</t>
  </si>
  <si>
    <t>Garnacho</t>
  </si>
  <si>
    <t>Højlund</t>
  </si>
  <si>
    <t>Trippier</t>
  </si>
  <si>
    <t>Schär</t>
  </si>
  <si>
    <t>Longstaff</t>
  </si>
  <si>
    <t>Burn</t>
  </si>
  <si>
    <t>Gordon</t>
  </si>
  <si>
    <t>Bruno G.</t>
  </si>
  <si>
    <t>Isak</t>
  </si>
  <si>
    <t>Wood</t>
  </si>
  <si>
    <t>Gibbs-White</t>
  </si>
  <si>
    <t>Hudson-Odoi</t>
  </si>
  <si>
    <t>Elanga</t>
  </si>
  <si>
    <t>Archer</t>
  </si>
  <si>
    <t>McAtee</t>
  </si>
  <si>
    <t>Vini Souza</t>
  </si>
  <si>
    <t>Foderingham</t>
  </si>
  <si>
    <t>Hamer</t>
  </si>
  <si>
    <t>Richarlison</t>
  </si>
  <si>
    <t>Romero</t>
  </si>
  <si>
    <t>Kulusevski</t>
  </si>
  <si>
    <t>Johnson</t>
  </si>
  <si>
    <t>Son</t>
  </si>
  <si>
    <t>Sarr</t>
  </si>
  <si>
    <t>Pedro Porro</t>
  </si>
  <si>
    <t>Udogie</t>
  </si>
  <si>
    <t>Vicario</t>
  </si>
  <si>
    <t>Ward-Prowse</t>
  </si>
  <si>
    <t>Zouma</t>
  </si>
  <si>
    <t>Emerson</t>
  </si>
  <si>
    <t>Bowen</t>
  </si>
  <si>
    <t>Areola</t>
  </si>
  <si>
    <t>L.Paquetá</t>
  </si>
  <si>
    <t>Coufal</t>
  </si>
  <si>
    <t>Álvarez</t>
  </si>
  <si>
    <t>Kudus</t>
  </si>
  <si>
    <t>Mario Jr.</t>
  </si>
  <si>
    <t>Kilman</t>
  </si>
  <si>
    <t>Dawson</t>
  </si>
  <si>
    <t>N.Semedo</t>
  </si>
  <si>
    <t>José Sá</t>
  </si>
  <si>
    <t>Toti</t>
  </si>
  <si>
    <t>Hee Chan</t>
  </si>
  <si>
    <t>Aït-Nouri</t>
  </si>
  <si>
    <t>Cunha</t>
  </si>
  <si>
    <t>Sarabia</t>
  </si>
  <si>
    <t>João Gomes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</si>
</sst>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RS" displayName="TableARS" ref="A1:F13" totalsRowShown="0">
  <autoFilter ref="A1:F13" xr:uid="{00000000-0009-0000-0100-000001000000}"/>
  <tableColumns count="6">
    <tableColumn id="1" xr3:uid="{00000000-0010-0000-0000-000001000000}" name="Name"/>
    <tableColumn id="2" xr3:uid="{00000000-0010-0000-0000-000002000000}" name="ARIMAPP"/>
    <tableColumn id="3" xr3:uid="{00000000-0010-0000-0000-000003000000}" name="LSTMPP"/>
    <tableColumn id="4" xr3:uid="{00000000-0010-0000-0000-000004000000}" name="PP">
      <calculatedColumnFormula>TableARS[[#This Row],[ARIMAPP]]*$I$2+TableARS[[#This Row],[LSTMPP]]*$I$3</calculatedColumnFormula>
    </tableColumn>
    <tableColumn id="5" xr3:uid="{00000000-0010-0000-0000-000005000000}" name="AP"/>
    <tableColumn id="6" xr3:uid="{00000000-0010-0000-0000-000006000000}" name="DIFF">
      <calculatedColumnFormula>ABS(TableARS[[#This Row],[PP]]-TableARS[[#This Row],[AP]])</calculatedColumnFormula>
    </tableColumn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FUL" displayName="TableFUL" ref="A1:F11" totalsRowShown="0">
  <autoFilter ref="A1:F11" xr:uid="{00000000-0009-0000-0100-00000A000000}"/>
  <tableColumns count="6">
    <tableColumn id="1" xr3:uid="{00000000-0010-0000-0900-000001000000}" name="Name"/>
    <tableColumn id="2" xr3:uid="{00000000-0010-0000-0900-000002000000}" name="ARIMAPP"/>
    <tableColumn id="3" xr3:uid="{00000000-0010-0000-0900-000003000000}" name="LSTMPP"/>
    <tableColumn id="4" xr3:uid="{00000000-0010-0000-0900-000004000000}" name="PP">
      <calculatedColumnFormula>TableFUL[[#This Row],[ARIMAPP]]*$I$2+TableFUL[[#This Row],[LSTMPP]]*$I$3</calculatedColumnFormula>
    </tableColumn>
    <tableColumn id="5" xr3:uid="{00000000-0010-0000-0900-000005000000}" name="AP"/>
    <tableColumn id="6" xr3:uid="{00000000-0010-0000-0900-000006000000}" name="DIFF">
      <calculatedColumnFormula>ABS(TableFUL[[#This Row],[PP]]-TableFUL[[#This Row],[AP]])</calculatedColumnFormula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LIV" displayName="TableLIV" ref="A1:F14" totalsRowShown="0">
  <autoFilter ref="A1:F14" xr:uid="{00000000-0009-0000-0100-00000B000000}"/>
  <tableColumns count="6">
    <tableColumn id="1" xr3:uid="{00000000-0010-0000-0A00-000001000000}" name="Name"/>
    <tableColumn id="2" xr3:uid="{00000000-0010-0000-0A00-000002000000}" name="ARIMAPP"/>
    <tableColumn id="3" xr3:uid="{00000000-0010-0000-0A00-000003000000}" name="LSTMPP"/>
    <tableColumn id="4" xr3:uid="{00000000-0010-0000-0A00-000004000000}" name="PP">
      <calculatedColumnFormula>TableLIV[[#This Row],[ARIMAPP]]*$I$2+TableLIV[[#This Row],[LSTMPP]]*$I$3</calculatedColumnFormula>
    </tableColumn>
    <tableColumn id="5" xr3:uid="{00000000-0010-0000-0A00-000005000000}" name="AP"/>
    <tableColumn id="6" xr3:uid="{00000000-0010-0000-0A00-000006000000}" name="DIFF">
      <calculatedColumnFormula>ABS(TableLIV[[#This Row],[PP]]-TableLIV[[#This Row],[AP]])</calculatedColumnFormula>
    </tableColumn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LUT" displayName="TableLUT" ref="A1:F7" totalsRowShown="0">
  <autoFilter ref="A1:F7" xr:uid="{00000000-0009-0000-0100-00000C000000}"/>
  <tableColumns count="6">
    <tableColumn id="1" xr3:uid="{00000000-0010-0000-0B00-000001000000}" name="Name"/>
    <tableColumn id="2" xr3:uid="{00000000-0010-0000-0B00-000002000000}" name="ARIMAPP"/>
    <tableColumn id="3" xr3:uid="{00000000-0010-0000-0B00-000003000000}" name="LSTMPP"/>
    <tableColumn id="4" xr3:uid="{00000000-0010-0000-0B00-000004000000}" name="PP">
      <calculatedColumnFormula>TableLUT[[#This Row],[ARIMAPP]]*$I$2+TableLUT[[#This Row],[LSTMPP]]*$I$3</calculatedColumnFormula>
    </tableColumn>
    <tableColumn id="5" xr3:uid="{00000000-0010-0000-0B00-000005000000}" name="AP"/>
    <tableColumn id="6" xr3:uid="{00000000-0010-0000-0B00-000006000000}" name="DIFF">
      <calculatedColumnFormula>ABS(TableLUT[[#This Row],[PP]]-TableLUT[[#This Row],[AP]])</calculatedColumnFormula>
    </tableColumn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MCI" displayName="TableMCI" ref="A1:F9" totalsRowShown="0">
  <autoFilter ref="A1:F9" xr:uid="{00000000-0009-0000-0100-00000D000000}"/>
  <tableColumns count="6">
    <tableColumn id="1" xr3:uid="{00000000-0010-0000-0C00-000001000000}" name="Name"/>
    <tableColumn id="2" xr3:uid="{00000000-0010-0000-0C00-000002000000}" name="ARIMAPP"/>
    <tableColumn id="3" xr3:uid="{00000000-0010-0000-0C00-000003000000}" name="LSTMPP"/>
    <tableColumn id="4" xr3:uid="{00000000-0010-0000-0C00-000004000000}" name="PP">
      <calculatedColumnFormula>TableMCI[[#This Row],[ARIMAPP]]*$I$2+TableMCI[[#This Row],[LSTMPP]]*$I$3</calculatedColumnFormula>
    </tableColumn>
    <tableColumn id="5" xr3:uid="{00000000-0010-0000-0C00-000005000000}" name="AP"/>
    <tableColumn id="6" xr3:uid="{00000000-0010-0000-0C00-000006000000}" name="DIFF">
      <calculatedColumnFormula>ABS(TableMCI[[#This Row],[PP]]-TableMCI[[#This Row],[AP]])</calculatedColumnFormula>
    </tableColumn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MUN" displayName="TableMUN" ref="A1:F9" totalsRowShown="0">
  <autoFilter ref="A1:F9" xr:uid="{00000000-0009-0000-0100-00000E000000}"/>
  <tableColumns count="6">
    <tableColumn id="1" xr3:uid="{00000000-0010-0000-0D00-000001000000}" name="Name"/>
    <tableColumn id="2" xr3:uid="{00000000-0010-0000-0D00-000002000000}" name="ARIMAPP"/>
    <tableColumn id="3" xr3:uid="{00000000-0010-0000-0D00-000003000000}" name="LSTMPP"/>
    <tableColumn id="4" xr3:uid="{00000000-0010-0000-0D00-000004000000}" name="PP">
      <calculatedColumnFormula>TableMUN[[#This Row],[ARIMAPP]]*$I$2+TableMUN[[#This Row],[LSTMPP]]*$I$3</calculatedColumnFormula>
    </tableColumn>
    <tableColumn id="5" xr3:uid="{00000000-0010-0000-0D00-000005000000}" name="AP"/>
    <tableColumn id="6" xr3:uid="{00000000-0010-0000-0D00-000006000000}" name="DIFF">
      <calculatedColumnFormula>ABS(TableMUN[[#This Row],[PP]]-TableMUN[[#This Row],[AP]])</calculatedColumnFormula>
    </tableColumn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NEW" displayName="TableNEW" ref="A1:F8" totalsRowShown="0">
  <autoFilter ref="A1:F8" xr:uid="{00000000-0009-0000-0100-00000F000000}"/>
  <tableColumns count="6">
    <tableColumn id="1" xr3:uid="{00000000-0010-0000-0E00-000001000000}" name="Name"/>
    <tableColumn id="2" xr3:uid="{00000000-0010-0000-0E00-000002000000}" name="ARIMAPP"/>
    <tableColumn id="3" xr3:uid="{00000000-0010-0000-0E00-000003000000}" name="LSTMPP"/>
    <tableColumn id="4" xr3:uid="{00000000-0010-0000-0E00-000004000000}" name="PP">
      <calculatedColumnFormula>TableNEW[[#This Row],[ARIMAPP]]*$I$2+TableNEW[[#This Row],[LSTMPP]]*$I$3</calculatedColumnFormula>
    </tableColumn>
    <tableColumn id="5" xr3:uid="{00000000-0010-0000-0E00-000005000000}" name="AP"/>
    <tableColumn id="6" xr3:uid="{00000000-0010-0000-0E00-000006000000}" name="DIFF">
      <calculatedColumnFormula>ABS(TableNEW[[#This Row],[PP]]-TableNEW[[#This Row],[AP]])</calculatedColumnFormula>
    </tableColumn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NFO" displayName="TableNFO" ref="A1:F5" totalsRowShown="0">
  <autoFilter ref="A1:F5" xr:uid="{00000000-0009-0000-0100-000010000000}"/>
  <tableColumns count="6">
    <tableColumn id="1" xr3:uid="{00000000-0010-0000-0F00-000001000000}" name="Name"/>
    <tableColumn id="2" xr3:uid="{00000000-0010-0000-0F00-000002000000}" name="ARIMAPP"/>
    <tableColumn id="3" xr3:uid="{00000000-0010-0000-0F00-000003000000}" name="LSTMPP"/>
    <tableColumn id="4" xr3:uid="{00000000-0010-0000-0F00-000004000000}" name="PP">
      <calculatedColumnFormula>TableNFO[[#This Row],[ARIMAPP]]*$I$2+TableNFO[[#This Row],[LSTMPP]]*$I$3</calculatedColumnFormula>
    </tableColumn>
    <tableColumn id="5" xr3:uid="{00000000-0010-0000-0F00-000005000000}" name="AP"/>
    <tableColumn id="6" xr3:uid="{00000000-0010-0000-0F00-000006000000}" name="DIFF">
      <calculatedColumnFormula>ABS(TableNFO[[#This Row],[PP]]-TableNFO[[#This Row],[AP]])</calculatedColumnFormula>
    </tableColumn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SHU" displayName="TableSHU" ref="A1:F6" totalsRowShown="0">
  <autoFilter ref="A1:F6" xr:uid="{00000000-0009-0000-0100-000011000000}"/>
  <tableColumns count="6">
    <tableColumn id="1" xr3:uid="{00000000-0010-0000-1000-000001000000}" name="Name"/>
    <tableColumn id="2" xr3:uid="{00000000-0010-0000-1000-000002000000}" name="ARIMAPP"/>
    <tableColumn id="3" xr3:uid="{00000000-0010-0000-1000-000003000000}" name="LSTMPP"/>
    <tableColumn id="4" xr3:uid="{00000000-0010-0000-1000-000004000000}" name="PP">
      <calculatedColumnFormula>TableSHU[[#This Row],[ARIMAPP]]*$I$2+TableSHU[[#This Row],[LSTMPP]]*$I$3</calculatedColumnFormula>
    </tableColumn>
    <tableColumn id="5" xr3:uid="{00000000-0010-0000-1000-000005000000}" name="AP"/>
    <tableColumn id="6" xr3:uid="{00000000-0010-0000-1000-000006000000}" name="DIFF">
      <calculatedColumnFormula>ABS(TableSHU[[#This Row],[PP]]-TableSHU[[#This Row],[AP]])</calculatedColumnFormula>
    </tableColumn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TOT" displayName="TableTOT" ref="A1:F10" totalsRowShown="0">
  <autoFilter ref="A1:F10" xr:uid="{00000000-0009-0000-0100-000012000000}"/>
  <tableColumns count="6">
    <tableColumn id="1" xr3:uid="{00000000-0010-0000-1100-000001000000}" name="Name"/>
    <tableColumn id="2" xr3:uid="{00000000-0010-0000-1100-000002000000}" name="ARIMAPP"/>
    <tableColumn id="3" xr3:uid="{00000000-0010-0000-1100-000003000000}" name="LSTMPP"/>
    <tableColumn id="4" xr3:uid="{00000000-0010-0000-1100-000004000000}" name="PP">
      <calculatedColumnFormula>TableTOT[[#This Row],[ARIMAPP]]*$I$2+TableTOT[[#This Row],[LSTMPP]]*$I$3</calculatedColumnFormula>
    </tableColumn>
    <tableColumn id="5" xr3:uid="{00000000-0010-0000-1100-000005000000}" name="AP"/>
    <tableColumn id="6" xr3:uid="{00000000-0010-0000-1100-000006000000}" name="DIFF">
      <calculatedColumnFormula>ABS(TableTOT[[#This Row],[PP]]-TableTOT[[#This Row],[AP]])</calculatedColumnFormula>
    </tableColumn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WHU" displayName="TableWHU" ref="A1:F10" totalsRowShown="0">
  <autoFilter ref="A1:F10" xr:uid="{00000000-0009-0000-0100-000013000000}"/>
  <tableColumns count="6">
    <tableColumn id="1" xr3:uid="{00000000-0010-0000-1200-000001000000}" name="Name"/>
    <tableColumn id="2" xr3:uid="{00000000-0010-0000-1200-000002000000}" name="ARIMAPP"/>
    <tableColumn id="3" xr3:uid="{00000000-0010-0000-1200-000003000000}" name="LSTMPP"/>
    <tableColumn id="4" xr3:uid="{00000000-0010-0000-1200-000004000000}" name="PP">
      <calculatedColumnFormula>TableWHU[[#This Row],[ARIMAPP]]*$I$2+TableWHU[[#This Row],[LSTMPP]]*$I$3</calculatedColumnFormula>
    </tableColumn>
    <tableColumn id="5" xr3:uid="{00000000-0010-0000-1200-000005000000}" name="AP"/>
    <tableColumn id="6" xr3:uid="{00000000-0010-0000-1200-000006000000}" name="DIFF">
      <calculatedColumnFormula>ABS(TableWHU[[#This Row],[PP]]-TableWHU[[#This Row],[AP]])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VL" displayName="TableAVL" ref="A1:F11" totalsRowShown="0">
  <autoFilter ref="A1:F11" xr:uid="{00000000-0009-0000-0100-000002000000}"/>
  <tableColumns count="6">
    <tableColumn id="1" xr3:uid="{00000000-0010-0000-0100-000001000000}" name="Name"/>
    <tableColumn id="2" xr3:uid="{00000000-0010-0000-0100-000002000000}" name="ARIMAPP"/>
    <tableColumn id="3" xr3:uid="{00000000-0010-0000-0100-000003000000}" name="LSTMPP"/>
    <tableColumn id="4" xr3:uid="{00000000-0010-0000-0100-000004000000}" name="PP">
      <calculatedColumnFormula>TableAVL[[#This Row],[ARIMAPP]]*$I$2+TableAVL[[#This Row],[LSTMPP]]*$I$3</calculatedColumnFormula>
    </tableColumn>
    <tableColumn id="5" xr3:uid="{00000000-0010-0000-0100-000005000000}" name="AP"/>
    <tableColumn id="6" xr3:uid="{00000000-0010-0000-0100-000006000000}" name="DIFF">
      <calculatedColumnFormula>ABS(TableAVL[[#This Row],[PP]]-TableAVL[[#This Row],[AP]])</calculatedColumnFormula>
    </tableColumn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WOL" displayName="TableWOL" ref="A1:F12" totalsRowShown="0">
  <autoFilter ref="A1:F12" xr:uid="{00000000-0009-0000-0100-000014000000}"/>
  <tableColumns count="6">
    <tableColumn id="1" xr3:uid="{00000000-0010-0000-1300-000001000000}" name="Name"/>
    <tableColumn id="2" xr3:uid="{00000000-0010-0000-1300-000002000000}" name="ARIMAPP"/>
    <tableColumn id="3" xr3:uid="{00000000-0010-0000-1300-000003000000}" name="LSTMPP"/>
    <tableColumn id="4" xr3:uid="{00000000-0010-0000-1300-000004000000}" name="PP">
      <calculatedColumnFormula>TableWOL[[#This Row],[ARIMAPP]]*$I$2+TableWOL[[#This Row],[LSTMPP]]*$I$3</calculatedColumnFormula>
    </tableColumn>
    <tableColumn id="5" xr3:uid="{00000000-0010-0000-1300-000005000000}" name="AP"/>
    <tableColumn id="6" xr3:uid="{00000000-0010-0000-1300-000006000000}" name="DIFF">
      <calculatedColumnFormula>ABS(TableWOL[[#This Row],[PP]]-TableWOL[[#This Row],[AP]])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BOU" displayName="TableBOU" ref="A1:F12" totalsRowShown="0">
  <autoFilter ref="A1:F12" xr:uid="{00000000-0009-0000-0100-000003000000}"/>
  <tableColumns count="6">
    <tableColumn id="1" xr3:uid="{00000000-0010-0000-0200-000001000000}" name="Name"/>
    <tableColumn id="2" xr3:uid="{00000000-0010-0000-0200-000002000000}" name="ARIMAPP"/>
    <tableColumn id="3" xr3:uid="{00000000-0010-0000-0200-000003000000}" name="LSTMPP"/>
    <tableColumn id="4" xr3:uid="{00000000-0010-0000-0200-000004000000}" name="PP">
      <calculatedColumnFormula>TableBOU[[#This Row],[ARIMAPP]]*$I$2+TableBOU[[#This Row],[LSTMPP]]*$I$3</calculatedColumnFormula>
    </tableColumn>
    <tableColumn id="5" xr3:uid="{00000000-0010-0000-0200-000005000000}" name="AP"/>
    <tableColumn id="6" xr3:uid="{00000000-0010-0000-0200-000006000000}" name="DIFF">
      <calculatedColumnFormula>ABS(TableBOU[[#This Row],[PP]]-TableBOU[[#This Row],[AP]])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BRE" displayName="TableBRE" ref="A1:F10" totalsRowShown="0">
  <autoFilter ref="A1:F10" xr:uid="{00000000-0009-0000-0100-000004000000}"/>
  <tableColumns count="6">
    <tableColumn id="1" xr3:uid="{00000000-0010-0000-0300-000001000000}" name="Name"/>
    <tableColumn id="2" xr3:uid="{00000000-0010-0000-0300-000002000000}" name="ARIMAPP"/>
    <tableColumn id="3" xr3:uid="{00000000-0010-0000-0300-000003000000}" name="LSTMPP"/>
    <tableColumn id="4" xr3:uid="{00000000-0010-0000-0300-000004000000}" name="PP">
      <calculatedColumnFormula>TableBRE[[#This Row],[ARIMAPP]]*$I$2+TableBRE[[#This Row],[LSTMPP]]*$I$3</calculatedColumnFormula>
    </tableColumn>
    <tableColumn id="5" xr3:uid="{00000000-0010-0000-0300-000005000000}" name="AP"/>
    <tableColumn id="6" xr3:uid="{00000000-0010-0000-0300-000006000000}" name="DIFF">
      <calculatedColumnFormula>ABS(TableBRE[[#This Row],[PP]]-TableBRE[[#This Row],[AP]])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BHA" displayName="TableBHA" ref="A1:F8" totalsRowShown="0">
  <autoFilter ref="A1:F8" xr:uid="{00000000-0009-0000-0100-000005000000}"/>
  <tableColumns count="6">
    <tableColumn id="1" xr3:uid="{00000000-0010-0000-0400-000001000000}" name="Name"/>
    <tableColumn id="2" xr3:uid="{00000000-0010-0000-0400-000002000000}" name="ARIMAPP"/>
    <tableColumn id="3" xr3:uid="{00000000-0010-0000-0400-000003000000}" name="LSTMPP"/>
    <tableColumn id="4" xr3:uid="{00000000-0010-0000-0400-000004000000}" name="PP">
      <calculatedColumnFormula>TableBHA[[#This Row],[ARIMAPP]]*$I$2+TableBHA[[#This Row],[LSTMPP]]*$I$3</calculatedColumnFormula>
    </tableColumn>
    <tableColumn id="5" xr3:uid="{00000000-0010-0000-0400-000005000000}" name="AP"/>
    <tableColumn id="6" xr3:uid="{00000000-0010-0000-0400-000006000000}" name="DIFF">
      <calculatedColumnFormula>ABS(TableBHA[[#This Row],[PP]]-TableBHA[[#This Row],[AP]])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BUR" displayName="TableBUR" ref="A1:F5" totalsRowShown="0">
  <autoFilter ref="A1:F5" xr:uid="{00000000-0009-0000-0100-000006000000}"/>
  <tableColumns count="6">
    <tableColumn id="1" xr3:uid="{00000000-0010-0000-0500-000001000000}" name="Name"/>
    <tableColumn id="2" xr3:uid="{00000000-0010-0000-0500-000002000000}" name="ARIMAPP"/>
    <tableColumn id="3" xr3:uid="{00000000-0010-0000-0500-000003000000}" name="LSTMPP"/>
    <tableColumn id="4" xr3:uid="{00000000-0010-0000-0500-000004000000}" name="PP">
      <calculatedColumnFormula>TableBUR[[#This Row],[ARIMAPP]]*$I$2+TableBUR[[#This Row],[LSTMPP]]*$I$3</calculatedColumnFormula>
    </tableColumn>
    <tableColumn id="5" xr3:uid="{00000000-0010-0000-0500-000005000000}" name="AP"/>
    <tableColumn id="6" xr3:uid="{00000000-0010-0000-0500-000006000000}" name="DIFF">
      <calculatedColumnFormula>ABS(TableBUR[[#This Row],[PP]]-TableBUR[[#This Row],[AP]])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CHE" displayName="TableCHE" ref="A1:F8" totalsRowShown="0">
  <autoFilter ref="A1:F8" xr:uid="{00000000-0009-0000-0100-000007000000}"/>
  <tableColumns count="6">
    <tableColumn id="1" xr3:uid="{00000000-0010-0000-0600-000001000000}" name="Name"/>
    <tableColumn id="2" xr3:uid="{00000000-0010-0000-0600-000002000000}" name="ARIMAPP"/>
    <tableColumn id="3" xr3:uid="{00000000-0010-0000-0600-000003000000}" name="LSTMPP"/>
    <tableColumn id="4" xr3:uid="{00000000-0010-0000-0600-000004000000}" name="PP">
      <calculatedColumnFormula>TableCHE[[#This Row],[ARIMAPP]]*$I$2+TableCHE[[#This Row],[LSTMPP]]*$I$3</calculatedColumnFormula>
    </tableColumn>
    <tableColumn id="5" xr3:uid="{00000000-0010-0000-0600-000005000000}" name="AP"/>
    <tableColumn id="6" xr3:uid="{00000000-0010-0000-0600-000006000000}" name="DIFF">
      <calculatedColumnFormula>ABS(TableCHE[[#This Row],[PP]]-TableCHE[[#This Row],[AP]])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CRY" displayName="TableCRY" ref="A1:F10" totalsRowShown="0">
  <autoFilter ref="A1:F10" xr:uid="{00000000-0009-0000-0100-000008000000}"/>
  <tableColumns count="6">
    <tableColumn id="1" xr3:uid="{00000000-0010-0000-0700-000001000000}" name="Name"/>
    <tableColumn id="2" xr3:uid="{00000000-0010-0000-0700-000002000000}" name="ARIMAPP"/>
    <tableColumn id="3" xr3:uid="{00000000-0010-0000-0700-000003000000}" name="LSTMPP"/>
    <tableColumn id="4" xr3:uid="{00000000-0010-0000-0700-000004000000}" name="PP">
      <calculatedColumnFormula>TableCRY[[#This Row],[ARIMAPP]]*$I$2+TableCRY[[#This Row],[LSTMPP]]*$I$3</calculatedColumnFormula>
    </tableColumn>
    <tableColumn id="5" xr3:uid="{00000000-0010-0000-0700-000005000000}" name="AP"/>
    <tableColumn id="6" xr3:uid="{00000000-0010-0000-0700-000006000000}" name="DIFF">
      <calculatedColumnFormula>ABS(TableCRY[[#This Row],[PP]]-TableCRY[[#This Row],[AP]])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EVE" displayName="TableEVE" ref="A1:F10" totalsRowShown="0">
  <autoFilter ref="A1:F10" xr:uid="{00000000-0009-0000-0100-000009000000}"/>
  <tableColumns count="6">
    <tableColumn id="1" xr3:uid="{00000000-0010-0000-0800-000001000000}" name="Name"/>
    <tableColumn id="2" xr3:uid="{00000000-0010-0000-0800-000002000000}" name="ARIMAPP"/>
    <tableColumn id="3" xr3:uid="{00000000-0010-0000-0800-000003000000}" name="LSTMPP"/>
    <tableColumn id="4" xr3:uid="{00000000-0010-0000-0800-000004000000}" name="PP">
      <calculatedColumnFormula>TableEVE[[#This Row],[ARIMAPP]]*$I$2+TableEVE[[#This Row],[LSTMPP]]*$I$3</calculatedColumnFormula>
    </tableColumn>
    <tableColumn id="5" xr3:uid="{00000000-0010-0000-0800-000005000000}" name="AP"/>
    <tableColumn id="6" xr3:uid="{00000000-0010-0000-0800-000006000000}" name="DIFF">
      <calculatedColumnFormula>ABS(TableEVE[[#This Row],[PP]]-TableEVE[[#This Row],[AP]])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activeCell="I2" sqref="I2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10</v>
      </c>
      <c r="B2">
        <v>28.720970096240531</v>
      </c>
      <c r="C2">
        <v>26.312495815848742</v>
      </c>
      <c r="D2">
        <f>TableARS[[#This Row],[ARIMAPP]]*$I$2+TableARS[[#This Row],[LSTMPP]]*$I$3</f>
        <v>35.887506111741637</v>
      </c>
      <c r="E2">
        <v>57</v>
      </c>
      <c r="F2">
        <f>ABS(TableARS[[#This Row],[PP]]-TableARS[[#This Row],[AP]])</f>
        <v>21.112493888258363</v>
      </c>
      <c r="H2" t="s">
        <v>0</v>
      </c>
      <c r="I2">
        <v>1.24952277</v>
      </c>
    </row>
    <row r="3" spans="1:9" x14ac:dyDescent="0.2">
      <c r="A3" t="s">
        <v>11</v>
      </c>
      <c r="B3">
        <v>40.60000000000003</v>
      </c>
      <c r="C3">
        <v>39.292302610620823</v>
      </c>
      <c r="D3">
        <f>TableARS[[#This Row],[ARIMAPP]]*$I$2+TableARS[[#This Row],[LSTMPP]]*$I$3</f>
        <v>50.730624462000037</v>
      </c>
      <c r="E3">
        <v>33</v>
      </c>
      <c r="F3">
        <f>ABS(TableARS[[#This Row],[PP]]-TableARS[[#This Row],[AP]])</f>
        <v>17.730624462000037</v>
      </c>
      <c r="H3" t="s">
        <v>1</v>
      </c>
      <c r="I3">
        <v>0</v>
      </c>
    </row>
    <row r="4" spans="1:9" x14ac:dyDescent="0.2">
      <c r="A4" t="s">
        <v>12</v>
      </c>
      <c r="B4">
        <v>34.000000000000007</v>
      </c>
      <c r="C4">
        <v>33.758573131387323</v>
      </c>
      <c r="D4">
        <f>TableARS[[#This Row],[ARIMAPP]]*$I$2+TableARS[[#This Row],[LSTMPP]]*$I$3</f>
        <v>42.483774180000012</v>
      </c>
      <c r="E4">
        <v>33</v>
      </c>
      <c r="F4">
        <f>ABS(TableARS[[#This Row],[PP]]-TableARS[[#This Row],[AP]])</f>
        <v>9.4837741800000117</v>
      </c>
    </row>
    <row r="5" spans="1:9" x14ac:dyDescent="0.2">
      <c r="A5" t="s">
        <v>13</v>
      </c>
      <c r="B5">
        <v>50.614519798993122</v>
      </c>
      <c r="C5">
        <v>42.399419793881691</v>
      </c>
      <c r="D5">
        <f>TableARS[[#This Row],[ARIMAPP]]*$I$2+TableARS[[#This Row],[LSTMPP]]*$I$3</f>
        <v>63.243994981457732</v>
      </c>
      <c r="E5">
        <v>81</v>
      </c>
      <c r="F5">
        <f>ABS(TableARS[[#This Row],[PP]]-TableARS[[#This Row],[AP]])</f>
        <v>17.756005018542268</v>
      </c>
      <c r="H5" t="s">
        <v>2</v>
      </c>
      <c r="I5">
        <f>SUM(ABS(TableARS[[#This Row],[PP]]-TableARS[[#This Row],[AP]]))</f>
        <v>17.756005018542268</v>
      </c>
    </row>
    <row r="6" spans="1:9" x14ac:dyDescent="0.2">
      <c r="A6" t="s">
        <v>14</v>
      </c>
      <c r="B6">
        <v>37.947251887107477</v>
      </c>
      <c r="C6">
        <v>39.742997723445256</v>
      </c>
      <c r="D6">
        <f>TableARS[[#This Row],[ARIMAPP]]*$I$2+TableARS[[#This Row],[LSTMPP]]*$I$3</f>
        <v>47.415955291866261</v>
      </c>
      <c r="E6">
        <v>42</v>
      </c>
      <c r="F6">
        <f>ABS(TableARS[[#This Row],[PP]]-TableARS[[#This Row],[AP]])</f>
        <v>5.4159552918662612</v>
      </c>
    </row>
    <row r="7" spans="1:9" x14ac:dyDescent="0.2">
      <c r="A7" t="s">
        <v>15</v>
      </c>
      <c r="B7">
        <v>32.019230769230738</v>
      </c>
      <c r="C7">
        <v>33.966603285606944</v>
      </c>
      <c r="D7">
        <f>TableARS[[#This Row],[ARIMAPP]]*$I$2+TableARS[[#This Row],[LSTMPP]]*$I$3</f>
        <v>40.00875792403842</v>
      </c>
      <c r="E7">
        <v>63</v>
      </c>
      <c r="F7">
        <f>ABS(TableARS[[#This Row],[PP]]-TableARS[[#This Row],[AP]])</f>
        <v>22.99124207596158</v>
      </c>
      <c r="H7" t="s">
        <v>3</v>
      </c>
      <c r="I7">
        <f>AVERAGE(TableARS[DIFF])/10</f>
        <v>1.1768386596790577</v>
      </c>
    </row>
    <row r="8" spans="1:9" x14ac:dyDescent="0.2">
      <c r="A8" t="s">
        <v>16</v>
      </c>
      <c r="B8">
        <v>51.654292425050919</v>
      </c>
      <c r="C8">
        <v>48.334950357578208</v>
      </c>
      <c r="D8">
        <f>TableARS[[#This Row],[ARIMAPP]]*$I$2+TableARS[[#This Row],[LSTMPP]]*$I$3</f>
        <v>64.543214553339638</v>
      </c>
      <c r="E8">
        <v>50</v>
      </c>
      <c r="F8">
        <f>ABS(TableARS[[#This Row],[PP]]-TableARS[[#This Row],[AP]])</f>
        <v>14.543214553339638</v>
      </c>
    </row>
    <row r="9" spans="1:9" x14ac:dyDescent="0.2">
      <c r="A9" t="s">
        <v>17</v>
      </c>
      <c r="B9">
        <v>41.095890410958937</v>
      </c>
      <c r="C9">
        <v>38.612549474934347</v>
      </c>
      <c r="D9">
        <f>TableARS[[#This Row],[ARIMAPP]]*$I$2+TableARS[[#This Row],[LSTMPP]]*$I$3</f>
        <v>51.350250821917847</v>
      </c>
      <c r="E9">
        <v>44</v>
      </c>
      <c r="F9">
        <f>ABS(TableARS[[#This Row],[PP]]-TableARS[[#This Row],[AP]])</f>
        <v>7.3502508219178466</v>
      </c>
    </row>
    <row r="10" spans="1:9" x14ac:dyDescent="0.2">
      <c r="A10" t="s">
        <v>18</v>
      </c>
      <c r="B10">
        <v>43.316343014617033</v>
      </c>
      <c r="C10">
        <v>37.116491039183217</v>
      </c>
      <c r="D10">
        <f>TableARS[[#This Row],[ARIMAPP]]*$I$2+TableARS[[#This Row],[LSTMPP]]*$I$3</f>
        <v>54.124756909894423</v>
      </c>
      <c r="E10">
        <v>44</v>
      </c>
      <c r="F10">
        <f>ABS(TableARS[[#This Row],[PP]]-TableARS[[#This Row],[AP]])</f>
        <v>10.124756909894423</v>
      </c>
    </row>
    <row r="11" spans="1:9" x14ac:dyDescent="0.2">
      <c r="A11" t="s">
        <v>19</v>
      </c>
      <c r="B11">
        <v>39.814814814814817</v>
      </c>
      <c r="C11">
        <v>33.343457446881388</v>
      </c>
      <c r="D11">
        <f>TableARS[[#This Row],[ARIMAPP]]*$I$2+TableARS[[#This Row],[LSTMPP]]*$I$3</f>
        <v>49.749517694444449</v>
      </c>
      <c r="E11">
        <v>57</v>
      </c>
      <c r="F11">
        <f>ABS(TableARS[[#This Row],[PP]]-TableARS[[#This Row],[AP]])</f>
        <v>7.2504823055555505</v>
      </c>
    </row>
    <row r="12" spans="1:9" x14ac:dyDescent="0.2">
      <c r="A12" t="s">
        <v>20</v>
      </c>
      <c r="B12">
        <v>47.000000000000021</v>
      </c>
      <c r="C12">
        <v>52.573097104100043</v>
      </c>
      <c r="D12">
        <f>TableARS[[#This Row],[ARIMAPP]]*$I$2+TableARS[[#This Row],[LSTMPP]]*$I$3</f>
        <v>58.72757019000003</v>
      </c>
      <c r="E12">
        <v>58</v>
      </c>
      <c r="F12">
        <f>ABS(TableARS[[#This Row],[PP]]-TableARS[[#This Row],[AP]])</f>
        <v>0.72757019000002998</v>
      </c>
    </row>
    <row r="13" spans="1:9" x14ac:dyDescent="0.2">
      <c r="A13" t="s">
        <v>21</v>
      </c>
      <c r="B13">
        <v>36.226415094339622</v>
      </c>
      <c r="C13">
        <v>33.616971181647983</v>
      </c>
      <c r="D13">
        <f>TableARS[[#This Row],[ARIMAPP]]*$I$2+TableARS[[#This Row],[LSTMPP]]*$I$3</f>
        <v>45.265730535849059</v>
      </c>
      <c r="E13">
        <v>52</v>
      </c>
      <c r="F13">
        <f>ABS(TableARS[[#This Row],[PP]]-TableARS[[#This Row],[AP]])</f>
        <v>6.7342694641509411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1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88</v>
      </c>
      <c r="B2">
        <v>19.950473142208772</v>
      </c>
      <c r="C2">
        <v>45.286027633913413</v>
      </c>
      <c r="D2">
        <f>TableFUL[[#This Row],[ARIMAPP]]*$I$2+TableFUL[[#This Row],[LSTMPP]]*$I$3</f>
        <v>33.609178511249581</v>
      </c>
      <c r="E2">
        <v>36</v>
      </c>
      <c r="F2">
        <f>ABS(TableFUL[[#This Row],[PP]]-TableFUL[[#This Row],[AP]])</f>
        <v>2.3908214887504187</v>
      </c>
      <c r="H2" t="s">
        <v>0</v>
      </c>
      <c r="I2">
        <v>0.45111345057000002</v>
      </c>
    </row>
    <row r="3" spans="1:9" x14ac:dyDescent="0.2">
      <c r="A3" t="s">
        <v>89</v>
      </c>
      <c r="B3">
        <v>21.54397657971688</v>
      </c>
      <c r="C3">
        <v>18.855842625853491</v>
      </c>
      <c r="D3">
        <f>TableFUL[[#This Row],[ARIMAPP]]*$I$2+TableFUL[[#This Row],[LSTMPP]]*$I$3</f>
        <v>19.965385718731063</v>
      </c>
      <c r="E3">
        <v>20</v>
      </c>
      <c r="F3">
        <f>ABS(TableFUL[[#This Row],[PP]]-TableFUL[[#This Row],[AP]])</f>
        <v>3.4614281268936509E-2</v>
      </c>
      <c r="H3" t="s">
        <v>1</v>
      </c>
      <c r="I3">
        <v>0.54341820242000005</v>
      </c>
    </row>
    <row r="4" spans="1:9" x14ac:dyDescent="0.2">
      <c r="A4" t="s">
        <v>90</v>
      </c>
      <c r="B4">
        <v>27.56097560975611</v>
      </c>
      <c r="C4">
        <v>25.472387814178148</v>
      </c>
      <c r="D4">
        <f>TableFUL[[#This Row],[ARIMAPP]]*$I$2+TableFUL[[#This Row],[LSTMPP]]*$I$3</f>
        <v>26.275286005718492</v>
      </c>
      <c r="E4">
        <v>37</v>
      </c>
      <c r="F4">
        <f>ABS(TableFUL[[#This Row],[PP]]-TableFUL[[#This Row],[AP]])</f>
        <v>10.724713994281508</v>
      </c>
    </row>
    <row r="5" spans="1:9" x14ac:dyDescent="0.2">
      <c r="A5" t="s">
        <v>91</v>
      </c>
      <c r="B5">
        <v>36.315789473684177</v>
      </c>
      <c r="C5">
        <v>34.925355901496651</v>
      </c>
      <c r="D5">
        <f>TableFUL[[#This Row],[ARIMAPP]]*$I$2+TableFUL[[#This Row],[LSTMPP]]*$I$3</f>
        <v>35.361615222517401</v>
      </c>
      <c r="E5">
        <v>35</v>
      </c>
      <c r="F5">
        <f>ABS(TableFUL[[#This Row],[PP]]-TableFUL[[#This Row],[AP]])</f>
        <v>0.36161522251740053</v>
      </c>
      <c r="H5" t="s">
        <v>2</v>
      </c>
      <c r="I5">
        <f>SUM(ABS(TableFUL[[#This Row],[PP]]-TableFUL[[#This Row],[AP]]))</f>
        <v>0.36161522251740053</v>
      </c>
    </row>
    <row r="6" spans="1:9" x14ac:dyDescent="0.2">
      <c r="A6" t="s">
        <v>92</v>
      </c>
      <c r="B6">
        <v>30.46245395772705</v>
      </c>
      <c r="C6">
        <v>31.533458639917729</v>
      </c>
      <c r="D6">
        <f>TableFUL[[#This Row],[ARIMAPP]]*$I$2+TableFUL[[#This Row],[LSTMPP]]*$I$3</f>
        <v>30.877878127889517</v>
      </c>
      <c r="E6">
        <v>35</v>
      </c>
      <c r="F6">
        <f>ABS(TableFUL[[#This Row],[PP]]-TableFUL[[#This Row],[AP]])</f>
        <v>4.1221218721104833</v>
      </c>
    </row>
    <row r="7" spans="1:9" x14ac:dyDescent="0.2">
      <c r="A7" t="s">
        <v>93</v>
      </c>
      <c r="B7">
        <v>23.670886075949369</v>
      </c>
      <c r="C7">
        <v>26.22659680408298</v>
      </c>
      <c r="D7">
        <f>TableFUL[[#This Row],[ARIMAPP]]*$I$2+TableFUL[[#This Row],[LSTMPP]]*$I$3</f>
        <v>24.93026518663978</v>
      </c>
      <c r="E7">
        <v>41</v>
      </c>
      <c r="F7">
        <f>ABS(TableFUL[[#This Row],[PP]]-TableFUL[[#This Row],[AP]])</f>
        <v>16.06973481336022</v>
      </c>
      <c r="H7" t="s">
        <v>3</v>
      </c>
      <c r="I7">
        <f>AVERAGE(TableFUL[DIFF])/10</f>
        <v>0.82705479155548534</v>
      </c>
    </row>
    <row r="8" spans="1:9" x14ac:dyDescent="0.2">
      <c r="A8" t="s">
        <v>94</v>
      </c>
      <c r="B8">
        <v>25.625</v>
      </c>
      <c r="C8">
        <v>26.833340981970281</v>
      </c>
      <c r="D8">
        <f>TableFUL[[#This Row],[ARIMAPP]]*$I$2+TableFUL[[#This Row],[LSTMPP]]*$I$3</f>
        <v>26.141508092201459</v>
      </c>
      <c r="E8">
        <v>29</v>
      </c>
      <c r="F8">
        <f>ABS(TableFUL[[#This Row],[PP]]-TableFUL[[#This Row],[AP]])</f>
        <v>2.8584919077985411</v>
      </c>
    </row>
    <row r="9" spans="1:9" x14ac:dyDescent="0.2">
      <c r="A9" t="s">
        <v>95</v>
      </c>
      <c r="B9">
        <v>35.96153846153846</v>
      </c>
      <c r="C9">
        <v>42.422786531692488</v>
      </c>
      <c r="D9">
        <f>TableFUL[[#This Row],[ARIMAPP]]*$I$2+TableFUL[[#This Row],[LSTMPP]]*$I$3</f>
        <v>39.276048101890105</v>
      </c>
      <c r="E9">
        <v>28</v>
      </c>
      <c r="F9">
        <f>ABS(TableFUL[[#This Row],[PP]]-TableFUL[[#This Row],[AP]])</f>
        <v>11.276048101890105</v>
      </c>
    </row>
    <row r="10" spans="1:9" x14ac:dyDescent="0.2">
      <c r="A10" t="s">
        <v>96</v>
      </c>
      <c r="B10">
        <v>25.2</v>
      </c>
      <c r="C10">
        <v>30.778035482051251</v>
      </c>
      <c r="D10">
        <f>TableFUL[[#This Row],[ARIMAPP]]*$I$2+TableFUL[[#This Row],[LSTMPP]]*$I$3</f>
        <v>28.093403670039272</v>
      </c>
      <c r="E10">
        <v>42</v>
      </c>
      <c r="F10">
        <f>ABS(TableFUL[[#This Row],[PP]]-TableFUL[[#This Row],[AP]])</f>
        <v>13.906596329960728</v>
      </c>
    </row>
    <row r="11" spans="1:9" x14ac:dyDescent="0.2">
      <c r="A11" t="s">
        <v>97</v>
      </c>
      <c r="B11">
        <v>40.792529831731407</v>
      </c>
      <c r="C11">
        <v>45.192932707022493</v>
      </c>
      <c r="D11">
        <f>TableFUL[[#This Row],[ARIMAPP]]*$I$2+TableFUL[[#This Row],[LSTMPP]]*$I$3</f>
        <v>42.960721143610208</v>
      </c>
      <c r="E11">
        <v>22</v>
      </c>
      <c r="F11">
        <f>ABS(TableFUL[[#This Row],[PP]]-TableFUL[[#This Row],[AP]])</f>
        <v>20.960721143610208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4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98</v>
      </c>
      <c r="B2">
        <v>44.733168337584942</v>
      </c>
      <c r="C2">
        <v>41.539716241774521</v>
      </c>
      <c r="D2">
        <f>TableLIV[[#This Row],[ARIMAPP]]*$I$2+TableLIV[[#This Row],[LSTMPP]]*$I$3</f>
        <v>48.97235989557268</v>
      </c>
      <c r="E2">
        <v>38</v>
      </c>
      <c r="F2">
        <f>ABS(TableLIV[[#This Row],[PP]]-TableLIV[[#This Row],[AP]])</f>
        <v>10.97235989557268</v>
      </c>
      <c r="H2" t="s">
        <v>0</v>
      </c>
      <c r="I2">
        <v>0.79821689996</v>
      </c>
    </row>
    <row r="3" spans="1:9" x14ac:dyDescent="0.2">
      <c r="A3" t="s">
        <v>99</v>
      </c>
      <c r="B3">
        <v>69.297297297297305</v>
      </c>
      <c r="C3">
        <v>68.821953036616179</v>
      </c>
      <c r="D3">
        <f>TableLIV[[#This Row],[ARIMAPP]]*$I$2+TableLIV[[#This Row],[LSTMPP]]*$I$3</f>
        <v>77.292366637919415</v>
      </c>
      <c r="E3">
        <v>69</v>
      </c>
      <c r="F3">
        <f>ABS(TableLIV[[#This Row],[PP]]-TableLIV[[#This Row],[AP]])</f>
        <v>8.2923666379194145</v>
      </c>
      <c r="H3" t="s">
        <v>1</v>
      </c>
      <c r="I3">
        <v>0.31934712462999998</v>
      </c>
    </row>
    <row r="4" spans="1:9" x14ac:dyDescent="0.2">
      <c r="A4" t="s">
        <v>100</v>
      </c>
      <c r="B4">
        <v>52.914775325573672</v>
      </c>
      <c r="C4">
        <v>49.539197669457209</v>
      </c>
      <c r="D4">
        <f>TableLIV[[#This Row],[ARIMAPP]]*$I$2+TableLIV[[#This Row],[LSTMPP]]*$I$3</f>
        <v>58.057668254677672</v>
      </c>
      <c r="E4">
        <v>57</v>
      </c>
      <c r="F4">
        <f>ABS(TableLIV[[#This Row],[PP]]-TableLIV[[#This Row],[AP]])</f>
        <v>1.0576682546776723</v>
      </c>
    </row>
    <row r="5" spans="1:9" x14ac:dyDescent="0.2">
      <c r="A5" t="s">
        <v>101</v>
      </c>
      <c r="B5">
        <v>47.898089171974483</v>
      </c>
      <c r="C5">
        <v>48.2099001025326</v>
      </c>
      <c r="D5">
        <f>TableLIV[[#This Row],[ARIMAPP]]*$I$2+TableLIV[[#This Row],[LSTMPP]]*$I$3</f>
        <v>53.628757229304441</v>
      </c>
      <c r="E5">
        <v>36</v>
      </c>
      <c r="F5">
        <f>ABS(TableLIV[[#This Row],[PP]]-TableLIV[[#This Row],[AP]])</f>
        <v>17.628757229304441</v>
      </c>
      <c r="H5" t="s">
        <v>2</v>
      </c>
      <c r="I5">
        <f>SUM(ABS(TableLIV[[#This Row],[PP]]-TableLIV[[#This Row],[AP]]))</f>
        <v>17.628757229304441</v>
      </c>
    </row>
    <row r="6" spans="1:9" x14ac:dyDescent="0.2">
      <c r="A6" t="s">
        <v>102</v>
      </c>
      <c r="B6">
        <v>18.333333333333329</v>
      </c>
      <c r="C6">
        <v>16.478739993810638</v>
      </c>
      <c r="D6">
        <f>TableLIV[[#This Row],[ARIMAPP]]*$I$2+TableLIV[[#This Row],[LSTMPP]]*$I$3</f>
        <v>19.896414733815472</v>
      </c>
      <c r="E6">
        <v>35</v>
      </c>
      <c r="F6">
        <f>ABS(TableLIV[[#This Row],[PP]]-TableLIV[[#This Row],[AP]])</f>
        <v>15.103585266184528</v>
      </c>
    </row>
    <row r="7" spans="1:9" x14ac:dyDescent="0.2">
      <c r="A7" t="s">
        <v>103</v>
      </c>
      <c r="B7">
        <v>28.725490196078429</v>
      </c>
      <c r="C7">
        <v>30.478998080959119</v>
      </c>
      <c r="D7">
        <f>TableLIV[[#This Row],[ARIMAPP]]*$I$2+TableLIV[[#This Row],[LSTMPP]]*$I$3</f>
        <v>32.662552132902675</v>
      </c>
      <c r="E7">
        <v>40</v>
      </c>
      <c r="F7">
        <f>ABS(TableLIV[[#This Row],[PP]]-TableLIV[[#This Row],[AP]])</f>
        <v>7.3374478670973247</v>
      </c>
      <c r="H7" t="s">
        <v>3</v>
      </c>
      <c r="I7">
        <f>AVERAGE(TableLIV[DIFF])/10</f>
        <v>1.1055392309167484</v>
      </c>
    </row>
    <row r="8" spans="1:9" x14ac:dyDescent="0.2">
      <c r="A8" t="s">
        <v>104</v>
      </c>
      <c r="B8">
        <v>28.611111111111111</v>
      </c>
      <c r="C8">
        <v>28.07039437751887</v>
      </c>
      <c r="D8">
        <f>TableLIV[[#This Row],[ARIMAPP]]*$I$2+TableLIV[[#This Row],[LSTMPP]]*$I$3</f>
        <v>31.802072147212993</v>
      </c>
      <c r="E8">
        <v>30</v>
      </c>
      <c r="F8">
        <f>ABS(TableLIV[[#This Row],[PP]]-TableLIV[[#This Row],[AP]])</f>
        <v>1.8020721472129928</v>
      </c>
    </row>
    <row r="9" spans="1:9" x14ac:dyDescent="0.2">
      <c r="A9" t="s">
        <v>105</v>
      </c>
      <c r="B9">
        <v>32.558139534883743</v>
      </c>
      <c r="C9">
        <v>37.072497606479473</v>
      </c>
      <c r="D9">
        <f>TableLIV[[#This Row],[ARIMAPP]]*$I$2+TableLIV[[#This Row],[LSTMPP]]*$I$3</f>
        <v>37.827452721481791</v>
      </c>
      <c r="E9">
        <v>56</v>
      </c>
      <c r="F9">
        <f>ABS(TableLIV[[#This Row],[PP]]-TableLIV[[#This Row],[AP]])</f>
        <v>18.172547278518209</v>
      </c>
    </row>
    <row r="10" spans="1:9" x14ac:dyDescent="0.2">
      <c r="A10" t="s">
        <v>106</v>
      </c>
      <c r="B10">
        <v>36.818181818181813</v>
      </c>
      <c r="C10">
        <v>37.22338678212072</v>
      </c>
      <c r="D10">
        <f>TableLIV[[#This Row],[ARIMAPP]]*$I$2+TableLIV[[#This Row],[LSTMPP]]*$I$3</f>
        <v>41.27607649093332</v>
      </c>
      <c r="E10">
        <v>49</v>
      </c>
      <c r="F10">
        <f>ABS(TableLIV[[#This Row],[PP]]-TableLIV[[#This Row],[AP]])</f>
        <v>7.7239235090666796</v>
      </c>
    </row>
    <row r="11" spans="1:9" x14ac:dyDescent="0.2">
      <c r="A11" t="s">
        <v>107</v>
      </c>
      <c r="B11">
        <v>36.071428571428569</v>
      </c>
      <c r="C11">
        <v>42.323279612668863</v>
      </c>
      <c r="D11">
        <f>TableLIV[[#This Row],[ARIMAPP]]*$I$2+TableLIV[[#This Row],[LSTMPP]]*$I$3</f>
        <v>42.308641540631584</v>
      </c>
      <c r="E11">
        <v>65</v>
      </c>
      <c r="F11">
        <f>ABS(TableLIV[[#This Row],[PP]]-TableLIV[[#This Row],[AP]])</f>
        <v>22.691358459368416</v>
      </c>
    </row>
    <row r="12" spans="1:9" x14ac:dyDescent="0.2">
      <c r="A12" t="s">
        <v>108</v>
      </c>
      <c r="B12">
        <v>14.93301904656907</v>
      </c>
      <c r="C12">
        <v>24.727159255479329</v>
      </c>
      <c r="D12">
        <f>TableLIV[[#This Row],[ARIMAPP]]*$I$2+TableLIV[[#This Row],[LSTMPP]]*$I$3</f>
        <v>19.816335378901414</v>
      </c>
      <c r="E12">
        <v>26</v>
      </c>
      <c r="F12">
        <f>ABS(TableLIV[[#This Row],[PP]]-TableLIV[[#This Row],[AP]])</f>
        <v>6.1836646210985862</v>
      </c>
    </row>
    <row r="13" spans="1:9" x14ac:dyDescent="0.2">
      <c r="A13" t="s">
        <v>109</v>
      </c>
      <c r="B13">
        <v>38.571428571428577</v>
      </c>
      <c r="C13">
        <v>50.744702940731038</v>
      </c>
      <c r="D13">
        <f>TableLIV[[#This Row],[ARIMAPP]]*$I$2+TableLIV[[#This Row],[LSTMPP]]*$I$3</f>
        <v>46.993541115640248</v>
      </c>
      <c r="E13">
        <v>33</v>
      </c>
      <c r="F13">
        <f>ABS(TableLIV[[#This Row],[PP]]-TableLIV[[#This Row],[AP]])</f>
        <v>13.993541115640248</v>
      </c>
    </row>
    <row r="14" spans="1:9" x14ac:dyDescent="0.2">
      <c r="A14" t="s">
        <v>110</v>
      </c>
      <c r="B14">
        <v>22.142857142857149</v>
      </c>
      <c r="C14">
        <v>11.16148918448874</v>
      </c>
      <c r="D14">
        <f>TableLIV[[#This Row],[ARIMAPP]]*$I$2+TableLIV[[#This Row],[LSTMPP]]*$I$3</f>
        <v>21.239192262483897</v>
      </c>
      <c r="E14">
        <v>34</v>
      </c>
      <c r="F14">
        <f>ABS(TableLIV[[#This Row],[PP]]-TableLIV[[#This Row],[AP]])</f>
        <v>12.760807737516103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7"/>
  <sheetViews>
    <sheetView workbookViewId="0">
      <selection activeCell="I2" sqref="I2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111</v>
      </c>
      <c r="B2">
        <v>28.522744772042572</v>
      </c>
      <c r="C2">
        <v>31.084026001283348</v>
      </c>
      <c r="D2">
        <f>TableLUT[[#This Row],[ARIMAPP]]*$I$2+TableLUT[[#This Row],[LSTMPP]]*$I$3</f>
        <v>47.691930525123922</v>
      </c>
      <c r="E2">
        <v>47</v>
      </c>
      <c r="F2">
        <f>ABS(TableLUT[[#This Row],[PP]]-TableLUT[[#This Row],[AP]])</f>
        <v>0.69193052512392228</v>
      </c>
      <c r="H2" t="s">
        <v>0</v>
      </c>
      <c r="I2">
        <v>1.6720666579000001</v>
      </c>
    </row>
    <row r="3" spans="1:9" x14ac:dyDescent="0.2">
      <c r="A3" t="s">
        <v>112</v>
      </c>
      <c r="B3">
        <v>14.444444444444439</v>
      </c>
      <c r="C3">
        <v>14.47014440834087</v>
      </c>
      <c r="D3">
        <f>TableLUT[[#This Row],[ARIMAPP]]*$I$2+TableLUT[[#This Row],[LSTMPP]]*$I$3</f>
        <v>24.152073947444435</v>
      </c>
      <c r="E3">
        <v>36</v>
      </c>
      <c r="F3">
        <f>ABS(TableLUT[[#This Row],[PP]]-TableLUT[[#This Row],[AP]])</f>
        <v>11.847926052555565</v>
      </c>
      <c r="H3" t="s">
        <v>1</v>
      </c>
      <c r="I3">
        <v>0</v>
      </c>
    </row>
    <row r="4" spans="1:9" x14ac:dyDescent="0.2">
      <c r="A4" t="s">
        <v>113</v>
      </c>
      <c r="B4">
        <v>22.35294117647058</v>
      </c>
      <c r="C4">
        <v>18.12198711680141</v>
      </c>
      <c r="D4">
        <f>TableLUT[[#This Row],[ARIMAPP]]*$I$2+TableLUT[[#This Row],[LSTMPP]]*$I$3</f>
        <v>37.375607647176459</v>
      </c>
      <c r="E4">
        <v>23</v>
      </c>
      <c r="F4">
        <f>ABS(TableLUT[[#This Row],[PP]]-TableLUT[[#This Row],[AP]])</f>
        <v>14.375607647176459</v>
      </c>
    </row>
    <row r="5" spans="1:9" x14ac:dyDescent="0.2">
      <c r="A5" t="s">
        <v>114</v>
      </c>
      <c r="B5">
        <v>20.833333333333339</v>
      </c>
      <c r="C5">
        <v>9.5416115342046517</v>
      </c>
      <c r="D5">
        <f>TableLUT[[#This Row],[ARIMAPP]]*$I$2+TableLUT[[#This Row],[LSTMPP]]*$I$3</f>
        <v>34.834722039583347</v>
      </c>
      <c r="E5">
        <v>54</v>
      </c>
      <c r="F5">
        <f>ABS(TableLUT[[#This Row],[PP]]-TableLUT[[#This Row],[AP]])</f>
        <v>19.165277960416653</v>
      </c>
      <c r="H5" t="s">
        <v>2</v>
      </c>
      <c r="I5">
        <f>SUM(ABS(TableLUT[[#This Row],[PP]]-TableLUT[[#This Row],[AP]]))</f>
        <v>19.165277960416653</v>
      </c>
    </row>
    <row r="6" spans="1:9" x14ac:dyDescent="0.2">
      <c r="A6" t="s">
        <v>115</v>
      </c>
      <c r="B6">
        <v>21.333333333333329</v>
      </c>
      <c r="C6">
        <v>12.926013078359251</v>
      </c>
      <c r="D6">
        <f>TableLUT[[#This Row],[ARIMAPP]]*$I$2+TableLUT[[#This Row],[LSTMPP]]*$I$3</f>
        <v>35.670755368533328</v>
      </c>
      <c r="E6">
        <v>37</v>
      </c>
      <c r="F6">
        <f>ABS(TableLUT[[#This Row],[PP]]-TableLUT[[#This Row],[AP]])</f>
        <v>1.3292446314666719</v>
      </c>
    </row>
    <row r="7" spans="1:9" x14ac:dyDescent="0.2">
      <c r="A7" t="s">
        <v>116</v>
      </c>
      <c r="B7">
        <v>31.764705882352938</v>
      </c>
      <c r="C7">
        <v>34.630802095970722</v>
      </c>
      <c r="D7">
        <f>TableLUT[[#This Row],[ARIMAPP]]*$I$2+TableLUT[[#This Row],[LSTMPP]]*$I$3</f>
        <v>53.112705603882354</v>
      </c>
      <c r="E7">
        <v>45</v>
      </c>
      <c r="F7">
        <f>ABS(TableLUT[[#This Row],[PP]]-TableLUT[[#This Row],[AP]])</f>
        <v>8.112705603882354</v>
      </c>
      <c r="H7" t="s">
        <v>3</v>
      </c>
      <c r="I7">
        <f>AVERAGE(TableLUT[DIFF])/10</f>
        <v>0.92537820701036044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9"/>
  <sheetViews>
    <sheetView workbookViewId="0">
      <selection activeCell="I2" sqref="I2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117</v>
      </c>
      <c r="B2">
        <v>39.193548387096733</v>
      </c>
      <c r="C2">
        <v>41.462308577941968</v>
      </c>
      <c r="D2">
        <f>TableMCI[[#This Row],[ARIMAPP]]*$I$2+TableMCI[[#This Row],[LSTMPP]]*$I$3</f>
        <v>38.22333813226448</v>
      </c>
      <c r="E2">
        <v>36</v>
      </c>
      <c r="F2">
        <f>ABS(TableMCI[[#This Row],[PP]]-TableMCI[[#This Row],[AP]])</f>
        <v>2.2233381322644803</v>
      </c>
      <c r="H2" t="s">
        <v>0</v>
      </c>
      <c r="I2">
        <v>0.97524566428000004</v>
      </c>
    </row>
    <row r="3" spans="1:9" x14ac:dyDescent="0.2">
      <c r="A3" t="s">
        <v>118</v>
      </c>
      <c r="B3">
        <v>37.971014492753618</v>
      </c>
      <c r="C3">
        <v>43.950206299385528</v>
      </c>
      <c r="D3">
        <f>TableMCI[[#This Row],[ARIMAPP]]*$I$2+TableMCI[[#This Row],[LSTMPP]]*$I$3</f>
        <v>37.03106725237101</v>
      </c>
      <c r="E3">
        <v>29</v>
      </c>
      <c r="F3">
        <f>ABS(TableMCI[[#This Row],[PP]]-TableMCI[[#This Row],[AP]])</f>
        <v>8.0310672523710096</v>
      </c>
      <c r="H3" t="s">
        <v>1</v>
      </c>
      <c r="I3">
        <v>0</v>
      </c>
    </row>
    <row r="4" spans="1:9" x14ac:dyDescent="0.2">
      <c r="A4" t="s">
        <v>119</v>
      </c>
      <c r="B4">
        <v>32.558139534883743</v>
      </c>
      <c r="C4">
        <v>28.46390185611499</v>
      </c>
      <c r="D4">
        <f>TableMCI[[#This Row],[ARIMAPP]]*$I$2+TableMCI[[#This Row],[LSTMPP]]*$I$3</f>
        <v>31.752184418418629</v>
      </c>
      <c r="E4">
        <v>35</v>
      </c>
      <c r="F4">
        <f>ABS(TableMCI[[#This Row],[PP]]-TableMCI[[#This Row],[AP]])</f>
        <v>3.2478155815813707</v>
      </c>
    </row>
    <row r="5" spans="1:9" x14ac:dyDescent="0.2">
      <c r="A5" t="s">
        <v>120</v>
      </c>
      <c r="B5">
        <v>46.767733612402502</v>
      </c>
      <c r="C5">
        <v>37.841516557555003</v>
      </c>
      <c r="D5">
        <f>TableMCI[[#This Row],[ARIMAPP]]*$I$2+TableMCI[[#This Row],[LSTMPP]]*$I$3</f>
        <v>45.610029433697562</v>
      </c>
      <c r="E5">
        <v>77</v>
      </c>
      <c r="F5">
        <f>ABS(TableMCI[[#This Row],[PP]]-TableMCI[[#This Row],[AP]])</f>
        <v>31.389970566302438</v>
      </c>
      <c r="H5" t="s">
        <v>2</v>
      </c>
      <c r="I5">
        <f>SUM(ABS(TableMCI[[#This Row],[PP]]-TableMCI[[#This Row],[AP]]))</f>
        <v>31.389970566302438</v>
      </c>
    </row>
    <row r="6" spans="1:9" x14ac:dyDescent="0.2">
      <c r="A6" t="s">
        <v>121</v>
      </c>
      <c r="B6">
        <v>30.206896551724171</v>
      </c>
      <c r="C6">
        <v>29.629477397450991</v>
      </c>
      <c r="D6">
        <f>TableMCI[[#This Row],[ARIMAPP]]*$I$2+TableMCI[[#This Row],[LSTMPP]]*$I$3</f>
        <v>29.459144893423481</v>
      </c>
      <c r="E6">
        <v>49</v>
      </c>
      <c r="F6">
        <f>ABS(TableMCI[[#This Row],[PP]]-TableMCI[[#This Row],[AP]])</f>
        <v>19.540855106576519</v>
      </c>
    </row>
    <row r="7" spans="1:9" x14ac:dyDescent="0.2">
      <c r="A7" t="s">
        <v>122</v>
      </c>
      <c r="B7">
        <v>81.818181818181813</v>
      </c>
      <c r="C7">
        <v>87.330236059834789</v>
      </c>
      <c r="D7">
        <f>TableMCI[[#This Row],[ARIMAPP]]*$I$2+TableMCI[[#This Row],[LSTMPP]]*$I$3</f>
        <v>79.792827077454547</v>
      </c>
      <c r="E7">
        <v>51</v>
      </c>
      <c r="F7">
        <f>ABS(TableMCI[[#This Row],[PP]]-TableMCI[[#This Row],[AP]])</f>
        <v>28.792827077454547</v>
      </c>
      <c r="H7" t="s">
        <v>3</v>
      </c>
      <c r="I7">
        <f>AVERAGE(TableMCI[DIFF])/10</f>
        <v>1.377018067886242</v>
      </c>
    </row>
    <row r="8" spans="1:9" x14ac:dyDescent="0.2">
      <c r="A8" t="s">
        <v>123</v>
      </c>
      <c r="B8">
        <v>35.869565217391298</v>
      </c>
      <c r="C8">
        <v>35.456464713529833</v>
      </c>
      <c r="D8">
        <f>TableMCI[[#This Row],[ARIMAPP]]*$I$2+TableMCI[[#This Row],[LSTMPP]]*$I$3</f>
        <v>34.981637957869559</v>
      </c>
      <c r="E8">
        <v>46</v>
      </c>
      <c r="F8">
        <f>ABS(TableMCI[[#This Row],[PP]]-TableMCI[[#This Row],[AP]])</f>
        <v>11.018362042130441</v>
      </c>
    </row>
    <row r="9" spans="1:9" x14ac:dyDescent="0.2">
      <c r="A9" t="s">
        <v>124</v>
      </c>
      <c r="B9">
        <v>31.871754437102901</v>
      </c>
      <c r="C9">
        <v>29.295330797451161</v>
      </c>
      <c r="D9">
        <f>TableMCI[[#This Row],[ARIMAPP]]*$I$2+TableMCI[[#This Row],[LSTMPP]]*$I$3</f>
        <v>31.082790327781456</v>
      </c>
      <c r="E9">
        <v>37</v>
      </c>
      <c r="F9">
        <f>ABS(TableMCI[[#This Row],[PP]]-TableMCI[[#This Row],[AP]])</f>
        <v>5.9172096722185437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9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125</v>
      </c>
      <c r="B2">
        <v>44.449945864843777</v>
      </c>
      <c r="C2">
        <v>42.200554951653082</v>
      </c>
      <c r="D2">
        <f>TableMUN[[#This Row],[ARIMAPP]]*$I$2+TableMUN[[#This Row],[LSTMPP]]*$I$3</f>
        <v>49.76765950968862</v>
      </c>
      <c r="E2">
        <v>48</v>
      </c>
      <c r="F2">
        <f>ABS(TableMUN[[#This Row],[PP]]-TableMUN[[#This Row],[AP]])</f>
        <v>1.7676595096886203</v>
      </c>
      <c r="H2" t="s">
        <v>0</v>
      </c>
      <c r="I2">
        <v>1.1196337109000001</v>
      </c>
    </row>
    <row r="3" spans="1:9" x14ac:dyDescent="0.2">
      <c r="A3" t="s">
        <v>126</v>
      </c>
      <c r="B3">
        <v>25.91240875912408</v>
      </c>
      <c r="C3">
        <v>23.432085097811179</v>
      </c>
      <c r="D3">
        <f>TableMUN[[#This Row],[ARIMAPP]]*$I$2+TableMUN[[#This Row],[LSTMPP]]*$I$3</f>
        <v>29.012407305572541</v>
      </c>
      <c r="E3">
        <v>25</v>
      </c>
      <c r="F3">
        <f>ABS(TableMUN[[#This Row],[PP]]-TableMUN[[#This Row],[AP]])</f>
        <v>4.0124073055725411</v>
      </c>
      <c r="H3" t="s">
        <v>1</v>
      </c>
      <c r="I3">
        <v>3.9613921517999999E-8</v>
      </c>
    </row>
    <row r="4" spans="1:9" x14ac:dyDescent="0.2">
      <c r="A4" t="s">
        <v>127</v>
      </c>
      <c r="B4">
        <v>30.270056540728749</v>
      </c>
      <c r="C4">
        <v>32.971097398049238</v>
      </c>
      <c r="D4">
        <f>TableMUN[[#This Row],[ARIMAPP]]*$I$2+TableMUN[[#This Row],[LSTMPP]]*$I$3</f>
        <v>33.891377039963409</v>
      </c>
      <c r="E4">
        <v>42</v>
      </c>
      <c r="F4">
        <f>ABS(TableMUN[[#This Row],[PP]]-TableMUN[[#This Row],[AP]])</f>
        <v>8.1086229600365911</v>
      </c>
    </row>
    <row r="5" spans="1:9" x14ac:dyDescent="0.2">
      <c r="A5" t="s">
        <v>128</v>
      </c>
      <c r="B5">
        <v>30.793650793650791</v>
      </c>
      <c r="C5">
        <v>34.67267536780998</v>
      </c>
      <c r="D5">
        <f>TableMUN[[#This Row],[ARIMAPP]]*$I$2+TableMUN[[#This Row],[LSTMPP]]*$I$3</f>
        <v>34.477610883774609</v>
      </c>
      <c r="E5">
        <v>20</v>
      </c>
      <c r="F5">
        <f>ABS(TableMUN[[#This Row],[PP]]-TableMUN[[#This Row],[AP]])</f>
        <v>14.477610883774609</v>
      </c>
      <c r="H5" t="s">
        <v>2</v>
      </c>
      <c r="I5">
        <f>SUM(ABS(TableMUN[[#This Row],[PP]]-TableMUN[[#This Row],[AP]]))</f>
        <v>14.477610883774609</v>
      </c>
    </row>
    <row r="6" spans="1:9" x14ac:dyDescent="0.2">
      <c r="A6" t="s">
        <v>129</v>
      </c>
      <c r="B6">
        <v>41.400000000000013</v>
      </c>
      <c r="C6">
        <v>54.787603265807803</v>
      </c>
      <c r="D6">
        <f>TableMUN[[#This Row],[ARIMAPP]]*$I$2+TableMUN[[#This Row],[LSTMPP]]*$I$3</f>
        <v>46.352837801611834</v>
      </c>
      <c r="E6">
        <v>41</v>
      </c>
      <c r="F6">
        <f>ABS(TableMUN[[#This Row],[PP]]-TableMUN[[#This Row],[AP]])</f>
        <v>5.3528378016118339</v>
      </c>
    </row>
    <row r="7" spans="1:9" x14ac:dyDescent="0.2">
      <c r="A7" t="s">
        <v>130</v>
      </c>
      <c r="B7">
        <v>36.585365853658537</v>
      </c>
      <c r="C7">
        <v>41.58515794199004</v>
      </c>
      <c r="D7">
        <f>TableMUN[[#This Row],[ARIMAPP]]*$I$2+TableMUN[[#This Row],[LSTMPP]]*$I$3</f>
        <v>40.962210582717042</v>
      </c>
      <c r="E7">
        <v>27</v>
      </c>
      <c r="F7">
        <f>ABS(TableMUN[[#This Row],[PP]]-TableMUN[[#This Row],[AP]])</f>
        <v>13.962210582717042</v>
      </c>
      <c r="H7" t="s">
        <v>3</v>
      </c>
      <c r="I7">
        <f>AVERAGE(TableMUN[DIFF])/10</f>
        <v>1.2853075477267033</v>
      </c>
    </row>
    <row r="8" spans="1:9" x14ac:dyDescent="0.2">
      <c r="A8" t="s">
        <v>131</v>
      </c>
      <c r="B8">
        <v>25.454545454545439</v>
      </c>
      <c r="C8">
        <v>22.04782399425158</v>
      </c>
      <c r="D8">
        <f>TableMUN[[#This Row],[ARIMAPP]]*$I$2+TableMUN[[#This Row],[LSTMPP]]*$I$3</f>
        <v>28.499768059946209</v>
      </c>
      <c r="E8">
        <v>44</v>
      </c>
      <c r="F8">
        <f>ABS(TableMUN[[#This Row],[PP]]-TableMUN[[#This Row],[AP]])</f>
        <v>15.500231940053791</v>
      </c>
    </row>
    <row r="9" spans="1:9" x14ac:dyDescent="0.2">
      <c r="A9" t="s">
        <v>132</v>
      </c>
      <c r="B9">
        <v>18.18181818089116</v>
      </c>
      <c r="C9">
        <v>15.2607585243075</v>
      </c>
      <c r="D9">
        <f>TableMUN[[#This Row],[ARIMAPP]]*$I$2+TableMUN[[#This Row],[LSTMPP]]*$I$3</f>
        <v>20.356977165318749</v>
      </c>
      <c r="E9">
        <v>60</v>
      </c>
      <c r="F9">
        <f>ABS(TableMUN[[#This Row],[PP]]-TableMUN[[#This Row],[AP]])</f>
        <v>39.643022834681247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8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133</v>
      </c>
      <c r="B2">
        <v>47.763086683688101</v>
      </c>
      <c r="C2">
        <v>35.792494133855442</v>
      </c>
      <c r="D2">
        <f>TableNEW[[#This Row],[ARIMAPP]]*$I$2+TableNEW[[#This Row],[LSTMPP]]*$I$3</f>
        <v>42.744558389944011</v>
      </c>
      <c r="E2">
        <v>25</v>
      </c>
      <c r="F2">
        <f>ABS(TableNEW[[#This Row],[PP]]-TableNEW[[#This Row],[AP]])</f>
        <v>17.744558389944011</v>
      </c>
      <c r="H2" t="s">
        <v>0</v>
      </c>
      <c r="I2">
        <v>0.177091677</v>
      </c>
    </row>
    <row r="3" spans="1:9" x14ac:dyDescent="0.2">
      <c r="A3" t="s">
        <v>134</v>
      </c>
      <c r="B3">
        <v>28.731303806342599</v>
      </c>
      <c r="C3">
        <v>31.937564389660789</v>
      </c>
      <c r="D3">
        <f>TableNEW[[#This Row],[ARIMAPP]]*$I$2+TableNEW[[#This Row],[LSTMPP]]*$I$3</f>
        <v>35.681498806740038</v>
      </c>
      <c r="E3">
        <v>42</v>
      </c>
      <c r="F3">
        <f>ABS(TableNEW[[#This Row],[PP]]-TableNEW[[#This Row],[AP]])</f>
        <v>6.3185011932599622</v>
      </c>
      <c r="H3" t="s">
        <v>1</v>
      </c>
      <c r="I3">
        <v>0.95791349834999995</v>
      </c>
    </row>
    <row r="4" spans="1:9" x14ac:dyDescent="0.2">
      <c r="A4" t="s">
        <v>135</v>
      </c>
      <c r="B4">
        <v>23.440000000000019</v>
      </c>
      <c r="C4">
        <v>20.963734755640481</v>
      </c>
      <c r="D4">
        <f>TableNEW[[#This Row],[ARIMAPP]]*$I$2+TableNEW[[#This Row],[LSTMPP]]*$I$3</f>
        <v>24.232473407137057</v>
      </c>
      <c r="E4">
        <v>34</v>
      </c>
      <c r="F4">
        <f>ABS(TableNEW[[#This Row],[PP]]-TableNEW[[#This Row],[AP]])</f>
        <v>9.7675265928629429</v>
      </c>
    </row>
    <row r="5" spans="1:9" x14ac:dyDescent="0.2">
      <c r="A5" t="s">
        <v>136</v>
      </c>
      <c r="B5">
        <v>33.852451303901027</v>
      </c>
      <c r="C5">
        <v>28.46450213776718</v>
      </c>
      <c r="D5">
        <f>TableNEW[[#This Row],[ARIMAPP]]*$I$2+TableNEW[[#This Row],[LSTMPP]]*$I$3</f>
        <v>33.261518193548284</v>
      </c>
      <c r="E5">
        <v>22</v>
      </c>
      <c r="F5">
        <f>ABS(TableNEW[[#This Row],[PP]]-TableNEW[[#This Row],[AP]])</f>
        <v>11.261518193548284</v>
      </c>
      <c r="H5" t="s">
        <v>2</v>
      </c>
      <c r="I5">
        <f>SUM(ABS(TableNEW[[#This Row],[PP]]-TableNEW[[#This Row],[AP]]))</f>
        <v>11.261518193548284</v>
      </c>
    </row>
    <row r="6" spans="1:9" x14ac:dyDescent="0.2">
      <c r="A6" t="s">
        <v>137</v>
      </c>
      <c r="B6">
        <v>31.523221024643469</v>
      </c>
      <c r="C6">
        <v>21.393300832604631</v>
      </c>
      <c r="D6">
        <f>TableNEW[[#This Row],[ARIMAPP]]*$I$2+TableNEW[[#This Row],[LSTMPP]]*$I$3</f>
        <v>26.075431717510039</v>
      </c>
      <c r="E6">
        <v>46</v>
      </c>
      <c r="F6">
        <f>ABS(TableNEW[[#This Row],[PP]]-TableNEW[[#This Row],[AP]])</f>
        <v>19.924568282489961</v>
      </c>
    </row>
    <row r="7" spans="1:9" x14ac:dyDescent="0.2">
      <c r="A7" t="s">
        <v>138</v>
      </c>
      <c r="B7">
        <v>33.064516129032249</v>
      </c>
      <c r="C7">
        <v>42.777209701220848</v>
      </c>
      <c r="D7">
        <f>TableNEW[[#This Row],[ARIMAPP]]*$I$2+TableNEW[[#This Row],[LSTMPP]]*$I$3</f>
        <v>46.832317205031892</v>
      </c>
      <c r="E7">
        <v>44</v>
      </c>
      <c r="F7">
        <f>ABS(TableNEW[[#This Row],[PP]]-TableNEW[[#This Row],[AP]])</f>
        <v>2.8323172050318917</v>
      </c>
      <c r="H7" t="s">
        <v>3</v>
      </c>
      <c r="I7">
        <f>AVERAGE(TableNEW[DIFF])/10</f>
        <v>1.0536334603830002</v>
      </c>
    </row>
    <row r="8" spans="1:9" x14ac:dyDescent="0.2">
      <c r="A8" t="s">
        <v>139</v>
      </c>
      <c r="B8">
        <v>48.064516129032242</v>
      </c>
      <c r="C8">
        <v>41.321916783743333</v>
      </c>
      <c r="D8">
        <f>TableNEW[[#This Row],[ARIMAPP]]*$I$2+TableNEW[[#This Row],[LSTMPP]]*$I$3</f>
        <v>48.094647630327025</v>
      </c>
      <c r="E8">
        <v>54</v>
      </c>
      <c r="F8">
        <f>ABS(TableNEW[[#This Row],[PP]]-TableNEW[[#This Row],[AP]])</f>
        <v>5.9053523696729755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7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140</v>
      </c>
      <c r="B2">
        <v>33.19701328855021</v>
      </c>
      <c r="C2">
        <v>34.155888319418963</v>
      </c>
      <c r="D2">
        <f>TableNFO[[#This Row],[ARIMAPP]]*$I$2+TableNFO[[#This Row],[LSTMPP]]*$I$3</f>
        <v>56.0906236393648</v>
      </c>
      <c r="E2">
        <v>60</v>
      </c>
      <c r="F2">
        <f>ABS(TableNFO[[#This Row],[PP]]-TableNFO[[#This Row],[AP]])</f>
        <v>3.9093763606351999</v>
      </c>
      <c r="H2" t="s">
        <v>0</v>
      </c>
      <c r="I2">
        <v>4.0544339724999998E-8</v>
      </c>
    </row>
    <row r="3" spans="1:9" x14ac:dyDescent="0.2">
      <c r="A3" t="s">
        <v>141</v>
      </c>
      <c r="B3">
        <v>33.688840901336839</v>
      </c>
      <c r="C3">
        <v>24.127438315567211</v>
      </c>
      <c r="D3">
        <f>TableNFO[[#This Row],[ARIMAPP]]*$I$2+TableNFO[[#This Row],[LSTMPP]]*$I$3</f>
        <v>39.621955179832106</v>
      </c>
      <c r="E3">
        <v>41</v>
      </c>
      <c r="F3">
        <f>ABS(TableNFO[[#This Row],[PP]]-TableNFO[[#This Row],[AP]])</f>
        <v>1.3780448201678936</v>
      </c>
      <c r="H3" t="s">
        <v>1</v>
      </c>
      <c r="I3">
        <v>1.6421948031</v>
      </c>
    </row>
    <row r="4" spans="1:9" x14ac:dyDescent="0.2">
      <c r="A4" t="s">
        <v>142</v>
      </c>
      <c r="B4">
        <v>25.89743589743588</v>
      </c>
      <c r="C4">
        <v>25.28494576939379</v>
      </c>
      <c r="D4">
        <f>TableNFO[[#This Row],[ARIMAPP]]*$I$2+TableNFO[[#This Row],[LSTMPP]]*$I$3</f>
        <v>41.522807589158248</v>
      </c>
      <c r="E4">
        <v>44</v>
      </c>
      <c r="F4">
        <f>ABS(TableNFO[[#This Row],[PP]]-TableNFO[[#This Row],[AP]])</f>
        <v>2.4771924108417522</v>
      </c>
    </row>
    <row r="5" spans="1:9" x14ac:dyDescent="0.2">
      <c r="A5" t="s">
        <v>143</v>
      </c>
      <c r="B5">
        <v>38.473460677549603</v>
      </c>
      <c r="C5">
        <v>23.582999129648741</v>
      </c>
      <c r="D5">
        <f>TableNFO[[#This Row],[ARIMAPP]]*$I$2+TableNFO[[#This Row],[LSTMPP]]*$I$3</f>
        <v>38.727880172102047</v>
      </c>
      <c r="E5">
        <v>29</v>
      </c>
      <c r="F5">
        <f>ABS(TableNFO[[#This Row],[PP]]-TableNFO[[#This Row],[AP]])</f>
        <v>9.7278801721020471</v>
      </c>
      <c r="H5" t="s">
        <v>2</v>
      </c>
      <c r="I5">
        <f>SUM(ABS(TableNFO[[#This Row],[PP]]-TableNFO[[#This Row],[AP]]))</f>
        <v>9.7278801721020471</v>
      </c>
    </row>
    <row r="7" spans="1:9" x14ac:dyDescent="0.2">
      <c r="H7" t="s">
        <v>3</v>
      </c>
      <c r="I7">
        <f>AVERAGE(TableNFO[DIFF])/10</f>
        <v>0.43731234409367231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7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144</v>
      </c>
      <c r="B2">
        <v>21.42857142857142</v>
      </c>
      <c r="C2">
        <v>20.23890888680334</v>
      </c>
      <c r="D2">
        <f>TableSHU[[#This Row],[ARIMAPP]]*$I$2+TableSHU[[#This Row],[LSTMPP]]*$I$3</f>
        <v>26.575430148160311</v>
      </c>
      <c r="E2">
        <v>30</v>
      </c>
      <c r="F2">
        <f>ABS(TableSHU[[#This Row],[PP]]-TableSHU[[#This Row],[AP]])</f>
        <v>3.4245698518396885</v>
      </c>
      <c r="H2" t="s">
        <v>0</v>
      </c>
      <c r="I2">
        <v>0.13589505938999999</v>
      </c>
    </row>
    <row r="3" spans="1:9" x14ac:dyDescent="0.2">
      <c r="A3" t="s">
        <v>145</v>
      </c>
      <c r="B3">
        <v>24.254146669561269</v>
      </c>
      <c r="C3">
        <v>21.557508005917899</v>
      </c>
      <c r="D3">
        <f>TableSHU[[#This Row],[ARIMAPP]]*$I$2+TableSHU[[#This Row],[LSTMPP]]*$I$3</f>
        <v>28.501121920551594</v>
      </c>
      <c r="E3">
        <v>30</v>
      </c>
      <c r="F3">
        <f>ABS(TableSHU[[#This Row],[PP]]-TableSHU[[#This Row],[AP]])</f>
        <v>1.4988780794484065</v>
      </c>
      <c r="H3" t="s">
        <v>1</v>
      </c>
      <c r="I3">
        <v>1.1692030086</v>
      </c>
    </row>
    <row r="4" spans="1:9" x14ac:dyDescent="0.2">
      <c r="A4" t="s">
        <v>146</v>
      </c>
      <c r="B4">
        <v>17.777777758825021</v>
      </c>
      <c r="C4">
        <v>16.221629411715991</v>
      </c>
      <c r="D4">
        <f>TableSHU[[#This Row],[ARIMAPP]]*$I$2+TableSHU[[#This Row],[LSTMPP]]*$I$3</f>
        <v>21.382290076930332</v>
      </c>
      <c r="E4">
        <v>30</v>
      </c>
      <c r="F4">
        <f>ABS(TableSHU[[#This Row],[PP]]-TableSHU[[#This Row],[AP]])</f>
        <v>8.6177099230696683</v>
      </c>
    </row>
    <row r="5" spans="1:9" x14ac:dyDescent="0.2">
      <c r="A5" t="s">
        <v>147</v>
      </c>
      <c r="B5">
        <v>21.333333333333329</v>
      </c>
      <c r="C5">
        <v>18.18278013784553</v>
      </c>
      <c r="D5">
        <f>TableSHU[[#This Row],[ARIMAPP]]*$I$2+TableSHU[[#This Row],[LSTMPP]]*$I$3</f>
        <v>24.158455842201313</v>
      </c>
      <c r="E5">
        <v>26</v>
      </c>
      <c r="F5">
        <f>ABS(TableSHU[[#This Row],[PP]]-TableSHU[[#This Row],[AP]])</f>
        <v>1.8415441577986869</v>
      </c>
      <c r="H5" t="s">
        <v>2</v>
      </c>
      <c r="I5">
        <f>SUM(ABS(TableSHU[[#This Row],[PP]]-TableSHU[[#This Row],[AP]]))</f>
        <v>1.8415441577986869</v>
      </c>
    </row>
    <row r="6" spans="1:9" x14ac:dyDescent="0.2">
      <c r="A6" t="s">
        <v>148</v>
      </c>
      <c r="B6">
        <v>29.411764705882359</v>
      </c>
      <c r="C6">
        <v>26.752263634754222</v>
      </c>
      <c r="D6">
        <f>TableSHU[[#This Row],[ARIMAPP]]*$I$2+TableSHU[[#This Row],[LSTMPP]]*$I$3</f>
        <v>35.275740640085601</v>
      </c>
      <c r="E6">
        <v>25</v>
      </c>
      <c r="F6">
        <f>ABS(TableSHU[[#This Row],[PP]]-TableSHU[[#This Row],[AP]])</f>
        <v>10.275740640085601</v>
      </c>
    </row>
    <row r="7" spans="1:9" x14ac:dyDescent="0.2">
      <c r="H7" t="s">
        <v>3</v>
      </c>
      <c r="I7">
        <f>AVERAGE(TableSHU[DIFF])/10</f>
        <v>0.51316885304484106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10"/>
  <sheetViews>
    <sheetView workbookViewId="0">
      <selection activeCell="I2" sqref="I2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149</v>
      </c>
      <c r="B2">
        <v>30.2189466743202</v>
      </c>
      <c r="C2">
        <v>37.741071134006532</v>
      </c>
      <c r="D2">
        <f>TableTOT[[#This Row],[ARIMAPP]]*$I$2+TableTOT[[#This Row],[LSTMPP]]*$I$3</f>
        <v>31.552750609113026</v>
      </c>
      <c r="E2">
        <v>53</v>
      </c>
      <c r="F2">
        <f>ABS(TableTOT[[#This Row],[PP]]-TableTOT[[#This Row],[AP]])</f>
        <v>21.447249390886974</v>
      </c>
      <c r="H2" t="s">
        <v>0</v>
      </c>
      <c r="I2">
        <v>1.0441380022</v>
      </c>
    </row>
    <row r="3" spans="1:9" x14ac:dyDescent="0.2">
      <c r="A3" t="s">
        <v>150</v>
      </c>
      <c r="B3">
        <v>31.5</v>
      </c>
      <c r="C3">
        <v>31.604992843941851</v>
      </c>
      <c r="D3">
        <f>TableTOT[[#This Row],[ARIMAPP]]*$I$2+TableTOT[[#This Row],[LSTMPP]]*$I$3</f>
        <v>32.890347069299999</v>
      </c>
      <c r="E3">
        <v>28</v>
      </c>
      <c r="F3">
        <f>ABS(TableTOT[[#This Row],[PP]]-TableTOT[[#This Row],[AP]])</f>
        <v>4.8903470692999989</v>
      </c>
      <c r="H3" t="s">
        <v>1</v>
      </c>
      <c r="I3">
        <v>0</v>
      </c>
    </row>
    <row r="4" spans="1:9" x14ac:dyDescent="0.2">
      <c r="A4" t="s">
        <v>151</v>
      </c>
      <c r="B4">
        <v>42.337498748886347</v>
      </c>
      <c r="C4">
        <v>50.154178731951738</v>
      </c>
      <c r="D4">
        <f>TableTOT[[#This Row],[ARIMAPP]]*$I$2+TableTOT[[#This Row],[LSTMPP]]*$I$3</f>
        <v>44.206191361807186</v>
      </c>
      <c r="E4">
        <v>26</v>
      </c>
      <c r="F4">
        <f>ABS(TableTOT[[#This Row],[PP]]-TableTOT[[#This Row],[AP]])</f>
        <v>18.206191361807186</v>
      </c>
    </row>
    <row r="5" spans="1:9" x14ac:dyDescent="0.2">
      <c r="A5" t="s">
        <v>152</v>
      </c>
      <c r="B5">
        <v>30.566037735849051</v>
      </c>
      <c r="C5">
        <v>28.900855365637689</v>
      </c>
      <c r="D5">
        <f>TableTOT[[#This Row],[ARIMAPP]]*$I$2+TableTOT[[#This Row],[LSTMPP]]*$I$3</f>
        <v>31.915161576679239</v>
      </c>
      <c r="E5">
        <v>50</v>
      </c>
      <c r="F5">
        <f>ABS(TableTOT[[#This Row],[PP]]-TableTOT[[#This Row],[AP]])</f>
        <v>18.084838423320761</v>
      </c>
      <c r="H5" t="s">
        <v>2</v>
      </c>
      <c r="I5">
        <f>SUM(ABS(TableTOT[[#This Row],[PP]]-TableTOT[[#This Row],[AP]]))</f>
        <v>18.084838423320761</v>
      </c>
    </row>
    <row r="6" spans="1:9" x14ac:dyDescent="0.2">
      <c r="A6" t="s">
        <v>153</v>
      </c>
      <c r="B6">
        <v>51.568627450980387</v>
      </c>
      <c r="C6">
        <v>47.126198630238029</v>
      </c>
      <c r="D6">
        <f>TableTOT[[#This Row],[ARIMAPP]]*$I$2+TableTOT[[#This Row],[LSTMPP]]*$I$3</f>
        <v>53.844763642862738</v>
      </c>
      <c r="E6">
        <v>65</v>
      </c>
      <c r="F6">
        <f>ABS(TableTOT[[#This Row],[PP]]-TableTOT[[#This Row],[AP]])</f>
        <v>11.155236357137262</v>
      </c>
    </row>
    <row r="7" spans="1:9" x14ac:dyDescent="0.2">
      <c r="A7" t="s">
        <v>154</v>
      </c>
      <c r="B7">
        <v>21.538461538461529</v>
      </c>
      <c r="C7">
        <v>23.139044171667791</v>
      </c>
      <c r="D7">
        <f>TableTOT[[#This Row],[ARIMAPP]]*$I$2+TableTOT[[#This Row],[LSTMPP]]*$I$3</f>
        <v>22.489126201230761</v>
      </c>
      <c r="E7">
        <v>32</v>
      </c>
      <c r="F7">
        <f>ABS(TableTOT[[#This Row],[PP]]-TableTOT[[#This Row],[AP]])</f>
        <v>9.5108737987692393</v>
      </c>
      <c r="H7" t="s">
        <v>3</v>
      </c>
      <c r="I7">
        <f>AVERAGE(TableTOT[DIFF])/10</f>
        <v>1.2357161769095155</v>
      </c>
    </row>
    <row r="8" spans="1:9" x14ac:dyDescent="0.2">
      <c r="A8" t="s">
        <v>155</v>
      </c>
      <c r="B8">
        <v>40.967741935483851</v>
      </c>
      <c r="C8">
        <v>43.61799406778136</v>
      </c>
      <c r="D8">
        <f>TableTOT[[#This Row],[ARIMAPP]]*$I$2+TableTOT[[#This Row],[LSTMPP]]*$I$3</f>
        <v>42.775976219161265</v>
      </c>
      <c r="E8">
        <v>29</v>
      </c>
      <c r="F8">
        <f>ABS(TableTOT[[#This Row],[PP]]-TableTOT[[#This Row],[AP]])</f>
        <v>13.775976219161265</v>
      </c>
    </row>
    <row r="9" spans="1:9" x14ac:dyDescent="0.2">
      <c r="A9" t="s">
        <v>156</v>
      </c>
      <c r="B9">
        <v>30</v>
      </c>
      <c r="C9">
        <v>19.121678172660271</v>
      </c>
      <c r="D9">
        <f>TableTOT[[#This Row],[ARIMAPP]]*$I$2+TableTOT[[#This Row],[LSTMPP]]*$I$3</f>
        <v>31.324140065999998</v>
      </c>
      <c r="E9">
        <v>30</v>
      </c>
      <c r="F9">
        <f>ABS(TableTOT[[#This Row],[PP]]-TableTOT[[#This Row],[AP]])</f>
        <v>1.3241400659999982</v>
      </c>
    </row>
    <row r="10" spans="1:9" x14ac:dyDescent="0.2">
      <c r="A10" t="s">
        <v>157</v>
      </c>
      <c r="B10">
        <v>35.263157894736857</v>
      </c>
      <c r="C10">
        <v>32.027963605841947</v>
      </c>
      <c r="D10">
        <f>TableTOT[[#This Row],[ARIMAPP]]*$I$2+TableTOT[[#This Row],[LSTMPP]]*$I$3</f>
        <v>36.8196032354737</v>
      </c>
      <c r="E10">
        <v>24</v>
      </c>
      <c r="F10">
        <f>ABS(TableTOT[[#This Row],[PP]]-TableTOT[[#This Row],[AP]])</f>
        <v>12.8196032354737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0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158</v>
      </c>
      <c r="B2">
        <v>38.442936403081937</v>
      </c>
      <c r="C2">
        <v>39.994355831658233</v>
      </c>
      <c r="D2">
        <f>TableWHU[[#This Row],[ARIMAPP]]*$I$2+TableWHU[[#This Row],[LSTMPP]]*$I$3</f>
        <v>37.547049250085976</v>
      </c>
      <c r="E2">
        <v>36</v>
      </c>
      <c r="F2">
        <f>ABS(TableWHU[[#This Row],[PP]]-TableWHU[[#This Row],[AP]])</f>
        <v>1.5470492500859763</v>
      </c>
      <c r="H2" t="s">
        <v>0</v>
      </c>
      <c r="I2">
        <v>5.4191537889000005E-10</v>
      </c>
    </row>
    <row r="3" spans="1:9" x14ac:dyDescent="0.2">
      <c r="A3" t="s">
        <v>159</v>
      </c>
      <c r="B3">
        <v>31.616829425197139</v>
      </c>
      <c r="C3">
        <v>34.572957652678937</v>
      </c>
      <c r="D3">
        <f>TableWHU[[#This Row],[ARIMAPP]]*$I$2+TableWHU[[#This Row],[LSTMPP]]*$I$3</f>
        <v>32.457393466598255</v>
      </c>
      <c r="E3">
        <v>21</v>
      </c>
      <c r="F3">
        <f>ABS(TableWHU[[#This Row],[PP]]-TableWHU[[#This Row],[AP]])</f>
        <v>11.457393466598255</v>
      </c>
      <c r="H3" t="s">
        <v>1</v>
      </c>
      <c r="I3">
        <v>0.93880870058999999</v>
      </c>
    </row>
    <row r="4" spans="1:9" x14ac:dyDescent="0.2">
      <c r="A4" t="s">
        <v>160</v>
      </c>
      <c r="B4">
        <v>21.172967518401801</v>
      </c>
      <c r="C4">
        <v>16.76560051482225</v>
      </c>
      <c r="D4">
        <f>TableWHU[[#This Row],[ARIMAPP]]*$I$2+TableWHU[[#This Row],[LSTMPP]]*$I$3</f>
        <v>15.739691645405268</v>
      </c>
      <c r="E4">
        <v>27</v>
      </c>
      <c r="F4">
        <f>ABS(TableWHU[[#This Row],[PP]]-TableWHU[[#This Row],[AP]])</f>
        <v>11.260308354594732</v>
      </c>
    </row>
    <row r="5" spans="1:9" x14ac:dyDescent="0.2">
      <c r="A5" t="s">
        <v>161</v>
      </c>
      <c r="B5">
        <v>45.285714285714263</v>
      </c>
      <c r="C5">
        <v>41.908027444591887</v>
      </c>
      <c r="D5">
        <f>TableWHU[[#This Row],[ARIMAPP]]*$I$2+TableWHU[[#This Row],[LSTMPP]]*$I$3</f>
        <v>39.343620814088389</v>
      </c>
      <c r="E5">
        <v>48</v>
      </c>
      <c r="F5">
        <f>ABS(TableWHU[[#This Row],[PP]]-TableWHU[[#This Row],[AP]])</f>
        <v>8.6563791859116108</v>
      </c>
      <c r="H5" t="s">
        <v>2</v>
      </c>
      <c r="I5">
        <f>SUM(ABS(TableWHU[[#This Row],[PP]]-TableWHU[[#This Row],[AP]]))</f>
        <v>8.6563791859116108</v>
      </c>
    </row>
    <row r="6" spans="1:9" x14ac:dyDescent="0.2">
      <c r="A6" t="s">
        <v>162</v>
      </c>
      <c r="B6">
        <v>35.371294618282711</v>
      </c>
      <c r="C6">
        <v>31.166469895530462</v>
      </c>
      <c r="D6">
        <f>TableWHU[[#This Row],[ARIMAPP]]*$I$2+TableWHU[[#This Row],[LSTMPP]]*$I$3</f>
        <v>29.259353123768552</v>
      </c>
      <c r="E6">
        <v>32</v>
      </c>
      <c r="F6">
        <f>ABS(TableWHU[[#This Row],[PP]]-TableWHU[[#This Row],[AP]])</f>
        <v>2.7406468762314482</v>
      </c>
    </row>
    <row r="7" spans="1:9" x14ac:dyDescent="0.2">
      <c r="A7" t="s">
        <v>163</v>
      </c>
      <c r="B7">
        <v>33.846153846153861</v>
      </c>
      <c r="C7">
        <v>41.550964310510807</v>
      </c>
      <c r="D7">
        <f>TableWHU[[#This Row],[ARIMAPP]]*$I$2+TableWHU[[#This Row],[LSTMPP]]*$I$3</f>
        <v>39.008406830953867</v>
      </c>
      <c r="E7">
        <v>41</v>
      </c>
      <c r="F7">
        <f>ABS(TableWHU[[#This Row],[PP]]-TableWHU[[#This Row],[AP]])</f>
        <v>1.9915931690461335</v>
      </c>
      <c r="H7" t="s">
        <v>3</v>
      </c>
      <c r="I7">
        <f>AVERAGE(TableWHU[DIFF])/10</f>
        <v>0.62401309733580712</v>
      </c>
    </row>
    <row r="8" spans="1:9" x14ac:dyDescent="0.2">
      <c r="A8" t="s">
        <v>164</v>
      </c>
      <c r="B8">
        <v>32.785482715333792</v>
      </c>
      <c r="C8">
        <v>29.217890094093331</v>
      </c>
      <c r="D8">
        <f>TableWHU[[#This Row],[ARIMAPP]]*$I$2+TableWHU[[#This Row],[LSTMPP]]*$I$3</f>
        <v>27.430009450984151</v>
      </c>
      <c r="E8">
        <v>20</v>
      </c>
      <c r="F8">
        <f>ABS(TableWHU[[#This Row],[PP]]-TableWHU[[#This Row],[AP]])</f>
        <v>7.4300094509841514</v>
      </c>
    </row>
    <row r="9" spans="1:9" x14ac:dyDescent="0.2">
      <c r="A9" t="s">
        <v>165</v>
      </c>
      <c r="B9">
        <v>18.666666666666671</v>
      </c>
      <c r="C9">
        <v>19.180991466563</v>
      </c>
      <c r="D9">
        <f>TableWHU[[#This Row],[ARIMAPP]]*$I$2+TableWHU[[#This Row],[LSTMPP]]*$I$3</f>
        <v>18.007281684867642</v>
      </c>
      <c r="E9">
        <v>25</v>
      </c>
      <c r="F9">
        <f>ABS(TableWHU[[#This Row],[PP]]-TableWHU[[#This Row],[AP]])</f>
        <v>6.9927183151323575</v>
      </c>
    </row>
    <row r="10" spans="1:9" x14ac:dyDescent="0.2">
      <c r="A10" t="s">
        <v>166</v>
      </c>
      <c r="B10">
        <v>123.4982891038873</v>
      </c>
      <c r="C10">
        <v>43.762995164927837</v>
      </c>
      <c r="D10">
        <f>TableWHU[[#This Row],[ARIMAPP]]*$I$2+TableWHU[[#This Row],[LSTMPP]]*$I$3</f>
        <v>41.085080691637977</v>
      </c>
      <c r="E10">
        <v>37</v>
      </c>
      <c r="F10">
        <f>ABS(TableWHU[[#This Row],[PP]]-TableWHU[[#This Row],[AP]])</f>
        <v>4.0850806916379767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"/>
  <sheetViews>
    <sheetView workbookViewId="0">
      <selection activeCell="I2" sqref="I2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22</v>
      </c>
      <c r="B2">
        <v>25.535031816086502</v>
      </c>
      <c r="C2">
        <v>36.129500204672077</v>
      </c>
      <c r="D2">
        <f>TableAVL[[#This Row],[ARIMAPP]]*$I$2+TableAVL[[#This Row],[LSTMPP]]*$I$3</f>
        <v>26.804421202694684</v>
      </c>
      <c r="E2">
        <v>23</v>
      </c>
      <c r="F2">
        <f>ABS(TableAVL[[#This Row],[PP]]-TableAVL[[#This Row],[AP]])</f>
        <v>3.8044212026946838</v>
      </c>
      <c r="H2" t="s">
        <v>0</v>
      </c>
      <c r="I2">
        <v>1.0497116822000001</v>
      </c>
    </row>
    <row r="3" spans="1:9" x14ac:dyDescent="0.2">
      <c r="A3" t="s">
        <v>23</v>
      </c>
      <c r="B3">
        <v>23.497127352596291</v>
      </c>
      <c r="C3">
        <v>37.642844676677107</v>
      </c>
      <c r="D3">
        <f>TableAVL[[#This Row],[ARIMAPP]]*$I$2+TableAVL[[#This Row],[LSTMPP]]*$I$3</f>
        <v>24.665209080161489</v>
      </c>
      <c r="E3">
        <v>24</v>
      </c>
      <c r="F3">
        <f>ABS(TableAVL[[#This Row],[PP]]-TableAVL[[#This Row],[AP]])</f>
        <v>0.66520908016148894</v>
      </c>
      <c r="H3" t="s">
        <v>1</v>
      </c>
      <c r="I3">
        <v>0</v>
      </c>
    </row>
    <row r="4" spans="1:9" x14ac:dyDescent="0.2">
      <c r="A4" t="s">
        <v>24</v>
      </c>
      <c r="B4">
        <v>48.479323330477833</v>
      </c>
      <c r="C4">
        <v>23.20269268223284</v>
      </c>
      <c r="D4">
        <f>TableAVL[[#This Row],[ARIMAPP]]*$I$2+TableAVL[[#This Row],[LSTMPP]]*$I$3</f>
        <v>50.889312045153595</v>
      </c>
      <c r="E4">
        <v>46</v>
      </c>
      <c r="F4">
        <f>ABS(TableAVL[[#This Row],[PP]]-TableAVL[[#This Row],[AP]])</f>
        <v>4.889312045153595</v>
      </c>
    </row>
    <row r="5" spans="1:9" x14ac:dyDescent="0.2">
      <c r="A5" t="s">
        <v>25</v>
      </c>
      <c r="B5">
        <v>30.48275862068969</v>
      </c>
      <c r="C5">
        <v>27.785276039519069</v>
      </c>
      <c r="D5">
        <f>TableAVL[[#This Row],[ARIMAPP]]*$I$2+TableAVL[[#This Row],[LSTMPP]]*$I$3</f>
        <v>31.998107829820729</v>
      </c>
      <c r="E5">
        <v>30</v>
      </c>
      <c r="F5">
        <f>ABS(TableAVL[[#This Row],[PP]]-TableAVL[[#This Row],[AP]])</f>
        <v>1.9981078298207287</v>
      </c>
      <c r="H5" t="s">
        <v>2</v>
      </c>
      <c r="I5">
        <f>SUM(ABS(TableAVL[[#This Row],[PP]]-TableAVL[[#This Row],[AP]]))</f>
        <v>1.9981078298207287</v>
      </c>
    </row>
    <row r="6" spans="1:9" x14ac:dyDescent="0.2">
      <c r="A6" t="s">
        <v>26</v>
      </c>
      <c r="B6">
        <v>28.633093525179831</v>
      </c>
      <c r="C6">
        <v>29.478262643077422</v>
      </c>
      <c r="D6">
        <f>TableAVL[[#This Row],[ARIMAPP]]*$I$2+TableAVL[[#This Row],[LSTMPP]]*$I$3</f>
        <v>30.056492770906452</v>
      </c>
      <c r="E6">
        <v>29</v>
      </c>
      <c r="F6">
        <f>ABS(TableAVL[[#This Row],[PP]]-TableAVL[[#This Row],[AP]])</f>
        <v>1.056492770906452</v>
      </c>
    </row>
    <row r="7" spans="1:9" x14ac:dyDescent="0.2">
      <c r="A7" t="s">
        <v>27</v>
      </c>
      <c r="B7">
        <v>45.609756097561011</v>
      </c>
      <c r="C7">
        <v>41.577284030924787</v>
      </c>
      <c r="D7">
        <f>TableAVL[[#This Row],[ARIMAPP]]*$I$2+TableAVL[[#This Row],[LSTMPP]]*$I$3</f>
        <v>47.877093797902482</v>
      </c>
      <c r="E7">
        <v>68</v>
      </c>
      <c r="F7">
        <f>ABS(TableAVL[[#This Row],[PP]]-TableAVL[[#This Row],[AP]])</f>
        <v>20.122906202097518</v>
      </c>
      <c r="H7" t="s">
        <v>3</v>
      </c>
      <c r="I7">
        <f>AVERAGE(TableAVL[DIFF])/10</f>
        <v>0.72912928439579661</v>
      </c>
    </row>
    <row r="8" spans="1:9" x14ac:dyDescent="0.2">
      <c r="A8" t="s">
        <v>28</v>
      </c>
      <c r="B8">
        <v>30.88235294117646</v>
      </c>
      <c r="C8">
        <v>27.31463828536555</v>
      </c>
      <c r="D8">
        <f>TableAVL[[#This Row],[ARIMAPP]]*$I$2+TableAVL[[#This Row],[LSTMPP]]*$I$3</f>
        <v>32.417566656176461</v>
      </c>
      <c r="E8">
        <v>44</v>
      </c>
      <c r="F8">
        <f>ABS(TableAVL[[#This Row],[PP]]-TableAVL[[#This Row],[AP]])</f>
        <v>11.582433343823539</v>
      </c>
    </row>
    <row r="9" spans="1:9" x14ac:dyDescent="0.2">
      <c r="A9" t="s">
        <v>29</v>
      </c>
      <c r="B9">
        <v>34.259259259259267</v>
      </c>
      <c r="C9">
        <v>42.830230154741948</v>
      </c>
      <c r="D9">
        <f>TableAVL[[#This Row],[ARIMAPP]]*$I$2+TableAVL[[#This Row],[LSTMPP]]*$I$3</f>
        <v>35.962344667962974</v>
      </c>
      <c r="E9">
        <v>40</v>
      </c>
      <c r="F9">
        <f>ABS(TableAVL[[#This Row],[PP]]-TableAVL[[#This Row],[AP]])</f>
        <v>4.0376553320370263</v>
      </c>
    </row>
    <row r="10" spans="1:9" x14ac:dyDescent="0.2">
      <c r="A10" t="s">
        <v>30</v>
      </c>
      <c r="B10">
        <v>42.5</v>
      </c>
      <c r="C10">
        <v>53.802605112800862</v>
      </c>
      <c r="D10">
        <f>TableAVL[[#This Row],[ARIMAPP]]*$I$2+TableAVL[[#This Row],[LSTMPP]]*$I$3</f>
        <v>44.612746493500005</v>
      </c>
      <c r="E10">
        <v>31</v>
      </c>
      <c r="F10">
        <f>ABS(TableAVL[[#This Row],[PP]]-TableAVL[[#This Row],[AP]])</f>
        <v>13.612746493500005</v>
      </c>
    </row>
    <row r="11" spans="1:9" x14ac:dyDescent="0.2">
      <c r="A11" t="s">
        <v>31</v>
      </c>
      <c r="B11">
        <v>35.384615384615387</v>
      </c>
      <c r="C11">
        <v>31.92469844186904</v>
      </c>
      <c r="D11">
        <f>TableAVL[[#This Row],[ARIMAPP]]*$I$2+TableAVL[[#This Row],[LSTMPP]]*$I$3</f>
        <v>37.14364413938462</v>
      </c>
      <c r="E11">
        <v>26</v>
      </c>
      <c r="F11">
        <f>ABS(TableAVL[[#This Row],[PP]]-TableAVL[[#This Row],[AP]])</f>
        <v>11.14364413938462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2"/>
  <sheetViews>
    <sheetView tabSelected="1"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167</v>
      </c>
      <c r="B2">
        <v>21.60493827160494</v>
      </c>
      <c r="C2">
        <v>17.228650235371092</v>
      </c>
      <c r="D2">
        <f>TableWOL[[#This Row],[ARIMAPP]]*$I$2+TableWOL[[#This Row],[LSTMPP]]*$I$3</f>
        <v>24.054553482485197</v>
      </c>
      <c r="E2">
        <v>28</v>
      </c>
      <c r="F2">
        <f>ABS(TableWOL[[#This Row],[PP]]-TableWOL[[#This Row],[AP]])</f>
        <v>3.945446517514803</v>
      </c>
      <c r="H2" t="s">
        <v>0</v>
      </c>
      <c r="I2">
        <v>0.62493877229999995</v>
      </c>
    </row>
    <row r="3" spans="1:9" x14ac:dyDescent="0.2">
      <c r="A3" t="s">
        <v>168</v>
      </c>
      <c r="B3">
        <v>29.245283018867941</v>
      </c>
      <c r="C3">
        <v>33.273905206851367</v>
      </c>
      <c r="D3">
        <f>TableWOL[[#This Row],[ARIMAPP]]*$I$2+TableWOL[[#This Row],[LSTMPP]]*$I$3</f>
        <v>38.65724483715497</v>
      </c>
      <c r="E3">
        <v>37</v>
      </c>
      <c r="F3">
        <f>ABS(TableWOL[[#This Row],[PP]]-TableWOL[[#This Row],[AP]])</f>
        <v>1.6572448371549697</v>
      </c>
      <c r="H3" t="s">
        <v>1</v>
      </c>
      <c r="I3">
        <v>0.61251402397999999</v>
      </c>
    </row>
    <row r="4" spans="1:9" x14ac:dyDescent="0.2">
      <c r="A4" t="s">
        <v>169</v>
      </c>
      <c r="B4">
        <v>26.598450343323549</v>
      </c>
      <c r="C4">
        <v>23.545624331398489</v>
      </c>
      <c r="D4">
        <f>TableWOL[[#This Row],[ARIMAPP]]*$I$2+TableWOL[[#This Row],[LSTMPP]]*$I$3</f>
        <v>31.044428008985417</v>
      </c>
      <c r="E4">
        <v>41</v>
      </c>
      <c r="F4">
        <f>ABS(TableWOL[[#This Row],[PP]]-TableWOL[[#This Row],[AP]])</f>
        <v>9.9555719910145832</v>
      </c>
    </row>
    <row r="5" spans="1:9" x14ac:dyDescent="0.2">
      <c r="A5" t="s">
        <v>170</v>
      </c>
      <c r="B5">
        <v>27.818181818181799</v>
      </c>
      <c r="C5">
        <v>29.84845782373381</v>
      </c>
      <c r="D5">
        <f>TableWOL[[#This Row],[ARIMAPP]]*$I$2+TableWOL[[#This Row],[LSTMPP]]*$I$3</f>
        <v>35.667259404285218</v>
      </c>
      <c r="E5">
        <v>26</v>
      </c>
      <c r="F5">
        <f>ABS(TableWOL[[#This Row],[PP]]-TableWOL[[#This Row],[AP]])</f>
        <v>9.6672594042852182</v>
      </c>
      <c r="H5" t="s">
        <v>2</v>
      </c>
      <c r="I5">
        <f>SUM(ABS(TableWOL[[#This Row],[PP]]-TableWOL[[#This Row],[AP]]))</f>
        <v>9.6672594042852182</v>
      </c>
    </row>
    <row r="6" spans="1:9" x14ac:dyDescent="0.2">
      <c r="A6" t="s">
        <v>171</v>
      </c>
      <c r="B6">
        <v>38.424234839597261</v>
      </c>
      <c r="C6">
        <v>40.112458631799967</v>
      </c>
      <c r="D6">
        <f>TableWOL[[#This Row],[ARIMAPP]]*$I$2+TableWOL[[#This Row],[LSTMPP]]*$I$3</f>
        <v>48.582237595519885</v>
      </c>
      <c r="E6">
        <v>33</v>
      </c>
      <c r="F6">
        <f>ABS(TableWOL[[#This Row],[PP]]-TableWOL[[#This Row],[AP]])</f>
        <v>15.582237595519885</v>
      </c>
    </row>
    <row r="7" spans="1:9" x14ac:dyDescent="0.2">
      <c r="A7" t="s">
        <v>172</v>
      </c>
      <c r="B7">
        <v>23.24324324324326</v>
      </c>
      <c r="C7">
        <v>20.896222927116089</v>
      </c>
      <c r="D7">
        <f>TableWOL[[#This Row],[ARIMAPP]]*$I$2+TableWOL[[#This Row],[LSTMPP]]*$I$3</f>
        <v>27.324833487773724</v>
      </c>
      <c r="E7">
        <v>25</v>
      </c>
      <c r="F7">
        <f>ABS(TableWOL[[#This Row],[PP]]-TableWOL[[#This Row],[AP]])</f>
        <v>2.3248334877737236</v>
      </c>
      <c r="H7" t="s">
        <v>3</v>
      </c>
      <c r="I7">
        <f>AVERAGE(TableWOL[DIFF])/10</f>
        <v>0.99897077246485766</v>
      </c>
    </row>
    <row r="8" spans="1:9" x14ac:dyDescent="0.2">
      <c r="A8" t="s">
        <v>173</v>
      </c>
      <c r="B8">
        <v>46.641307192213262</v>
      </c>
      <c r="C8">
        <v>24.946004377925991</v>
      </c>
      <c r="D8">
        <f>TableWOL[[#This Row],[ARIMAPP]]*$I$2+TableWOL[[#This Row],[LSTMPP]]*$I$3</f>
        <v>44.427738778915057</v>
      </c>
      <c r="E8">
        <v>49</v>
      </c>
      <c r="F8">
        <f>ABS(TableWOL[[#This Row],[PP]]-TableWOL[[#This Row],[AP]])</f>
        <v>4.5722612210849434</v>
      </c>
    </row>
    <row r="9" spans="1:9" x14ac:dyDescent="0.2">
      <c r="A9" t="s">
        <v>174</v>
      </c>
      <c r="B9">
        <v>15.977812547458591</v>
      </c>
      <c r="C9">
        <v>17.326332990566399</v>
      </c>
      <c r="D9">
        <f>TableWOL[[#This Row],[ARIMAPP]]*$I$2+TableWOL[[#This Row],[LSTMPP]]*$I$3</f>
        <v>20.597776498317558</v>
      </c>
      <c r="E9">
        <v>38</v>
      </c>
      <c r="F9">
        <f>ABS(TableWOL[[#This Row],[PP]]-TableWOL[[#This Row],[AP]])</f>
        <v>17.402223501682442</v>
      </c>
    </row>
    <row r="10" spans="1:9" x14ac:dyDescent="0.2">
      <c r="A10" t="s">
        <v>175</v>
      </c>
      <c r="B10">
        <v>41.020070406774572</v>
      </c>
      <c r="C10">
        <v>25.792961913516301</v>
      </c>
      <c r="D10">
        <f>TableWOL[[#This Row],[ARIMAPP]]*$I$2+TableWOL[[#This Row],[LSTMPP]]*$I$3</f>
        <v>41.433583331680012</v>
      </c>
      <c r="E10">
        <v>57</v>
      </c>
      <c r="F10">
        <f>ABS(TableWOL[[#This Row],[PP]]-TableWOL[[#This Row],[AP]])</f>
        <v>15.566416668319988</v>
      </c>
    </row>
    <row r="11" spans="1:9" x14ac:dyDescent="0.2">
      <c r="A11" t="s">
        <v>176</v>
      </c>
      <c r="B11">
        <v>56.675123325908068</v>
      </c>
      <c r="C11">
        <v>23.74364805282687</v>
      </c>
      <c r="D11">
        <f>TableWOL[[#This Row],[ARIMAPP]]*$I$2+TableWOL[[#This Row],[LSTMPP]]*$I$3</f>
        <v>49.961799404045955</v>
      </c>
      <c r="E11">
        <v>36</v>
      </c>
      <c r="F11">
        <f>ABS(TableWOL[[#This Row],[PP]]-TableWOL[[#This Row],[AP]])</f>
        <v>13.961799404045955</v>
      </c>
    </row>
    <row r="12" spans="1:9" x14ac:dyDescent="0.2">
      <c r="A12" t="s">
        <v>177</v>
      </c>
      <c r="B12">
        <v>18.461538461538449</v>
      </c>
      <c r="C12">
        <v>15.038314415213881</v>
      </c>
      <c r="D12">
        <f>TableWOL[[#This Row],[ARIMAPP]]*$I$2+TableWOL[[#This Row],[LSTMPP]]*$I$3</f>
        <v>20.748509657262161</v>
      </c>
      <c r="E12">
        <v>36</v>
      </c>
      <c r="F12">
        <f>ABS(TableWOL[[#This Row],[PP]]-TableWOL[[#This Row],[AP]])</f>
        <v>15.251490342737839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32</v>
      </c>
      <c r="B2">
        <v>23.085106382978719</v>
      </c>
      <c r="C2">
        <v>20.743112320201689</v>
      </c>
      <c r="D2">
        <f>TableBOU[[#This Row],[ARIMAPP]]*$I$2+TableBOU[[#This Row],[LSTMPP]]*$I$3</f>
        <v>23.608147545465087</v>
      </c>
      <c r="E2">
        <v>24</v>
      </c>
      <c r="F2">
        <f>ABS(TableBOU[[#This Row],[PP]]-TableBOU[[#This Row],[AP]])</f>
        <v>0.39185245453491291</v>
      </c>
      <c r="H2" t="s">
        <v>0</v>
      </c>
      <c r="I2">
        <v>0.73212166937000001</v>
      </c>
    </row>
    <row r="3" spans="1:9" x14ac:dyDescent="0.2">
      <c r="A3" t="s">
        <v>33</v>
      </c>
      <c r="B3">
        <v>17.19675014844022</v>
      </c>
      <c r="C3">
        <v>15.258955840358441</v>
      </c>
      <c r="D3">
        <f>TableBOU[[#This Row],[ARIMAPP]]*$I$2+TableBOU[[#This Row],[LSTMPP]]*$I$3</f>
        <v>17.523916979145188</v>
      </c>
      <c r="E3">
        <v>27</v>
      </c>
      <c r="F3">
        <f>ABS(TableBOU[[#This Row],[PP]]-TableBOU[[#This Row],[AP]])</f>
        <v>9.4760830208548121</v>
      </c>
      <c r="H3" t="s">
        <v>1</v>
      </c>
      <c r="I3">
        <v>0.32333821555999998</v>
      </c>
    </row>
    <row r="4" spans="1:9" x14ac:dyDescent="0.2">
      <c r="A4" t="s">
        <v>34</v>
      </c>
      <c r="B4">
        <v>59.234959464602838</v>
      </c>
      <c r="C4">
        <v>26.086287429351088</v>
      </c>
      <c r="D4">
        <f>TableBOU[[#This Row],[ARIMAPP]]*$I$2+TableBOU[[#This Row],[LSTMPP]]*$I$3</f>
        <v>51.801891036280956</v>
      </c>
      <c r="E4">
        <v>49</v>
      </c>
      <c r="F4">
        <f>ABS(TableBOU[[#This Row],[PP]]-TableBOU[[#This Row],[AP]])</f>
        <v>2.8018910362809564</v>
      </c>
    </row>
    <row r="5" spans="1:9" x14ac:dyDescent="0.2">
      <c r="A5" t="s">
        <v>35</v>
      </c>
      <c r="B5">
        <v>21.25</v>
      </c>
      <c r="C5">
        <v>19.209742045028559</v>
      </c>
      <c r="D5">
        <f>TableBOU[[#This Row],[ARIMAPP]]*$I$2+TableBOU[[#This Row],[LSTMPP]]*$I$3</f>
        <v>21.768829188319938</v>
      </c>
      <c r="E5">
        <v>20</v>
      </c>
      <c r="F5">
        <f>ABS(TableBOU[[#This Row],[PP]]-TableBOU[[#This Row],[AP]])</f>
        <v>1.7688291883199376</v>
      </c>
      <c r="H5" t="s">
        <v>2</v>
      </c>
      <c r="I5">
        <f>SUM(ABS(TableBOU[[#This Row],[PP]]-TableBOU[[#This Row],[AP]]))</f>
        <v>1.7688291883199376</v>
      </c>
    </row>
    <row r="6" spans="1:9" x14ac:dyDescent="0.2">
      <c r="A6" t="s">
        <v>36</v>
      </c>
      <c r="B6">
        <v>38.108108108108127</v>
      </c>
      <c r="C6">
        <v>44.304398291300593</v>
      </c>
      <c r="D6">
        <f>TableBOU[[#This Row],[ARIMAPP]]*$I$2+TableBOU[[#This Row],[LSTMPP]]*$I$3</f>
        <v>42.225076809609199</v>
      </c>
      <c r="E6">
        <v>23</v>
      </c>
      <c r="F6">
        <f>ABS(TableBOU[[#This Row],[PP]]-TableBOU[[#This Row],[AP]])</f>
        <v>19.225076809609199</v>
      </c>
    </row>
    <row r="7" spans="1:9" x14ac:dyDescent="0.2">
      <c r="A7" t="s">
        <v>37</v>
      </c>
      <c r="B7">
        <v>22.558139534883729</v>
      </c>
      <c r="C7">
        <v>23.40314030789153</v>
      </c>
      <c r="D7">
        <f>TableBOU[[#This Row],[ARIMAPP]]*$I$2+TableBOU[[#This Row],[LSTMPP]]*$I$3</f>
        <v>24.082432399814426</v>
      </c>
      <c r="E7">
        <v>39</v>
      </c>
      <c r="F7">
        <f>ABS(TableBOU[[#This Row],[PP]]-TableBOU[[#This Row],[AP]])</f>
        <v>14.917567600185574</v>
      </c>
      <c r="H7" t="s">
        <v>3</v>
      </c>
      <c r="I7">
        <f>AVERAGE(TableBOU[DIFF])/10</f>
        <v>0.98850497159112438</v>
      </c>
    </row>
    <row r="8" spans="1:9" x14ac:dyDescent="0.2">
      <c r="A8" t="s">
        <v>38</v>
      </c>
      <c r="B8">
        <v>36.930053359617759</v>
      </c>
      <c r="C8">
        <v>35.610022832247658</v>
      </c>
      <c r="D8">
        <f>TableBOU[[#This Row],[ARIMAPP]]*$I$2+TableBOU[[#This Row],[LSTMPP]]*$I$3</f>
        <v>38.551373554196346</v>
      </c>
      <c r="E8">
        <v>26</v>
      </c>
      <c r="F8">
        <f>ABS(TableBOU[[#This Row],[PP]]-TableBOU[[#This Row],[AP]])</f>
        <v>12.551373554196346</v>
      </c>
    </row>
    <row r="9" spans="1:9" x14ac:dyDescent="0.2">
      <c r="A9" t="s">
        <v>39</v>
      </c>
      <c r="B9">
        <v>24.166666666666671</v>
      </c>
      <c r="C9">
        <v>24.954302089536888</v>
      </c>
      <c r="D9">
        <f>TableBOU[[#This Row],[ARIMAPP]]*$I$2+TableBOU[[#This Row],[LSTMPP]]*$I$3</f>
        <v>25.761619851284372</v>
      </c>
      <c r="E9">
        <v>42</v>
      </c>
      <c r="F9">
        <f>ABS(TableBOU[[#This Row],[PP]]-TableBOU[[#This Row],[AP]])</f>
        <v>16.238380148715628</v>
      </c>
    </row>
    <row r="10" spans="1:9" x14ac:dyDescent="0.2">
      <c r="A10" t="s">
        <v>40</v>
      </c>
      <c r="B10">
        <v>20.869565217391301</v>
      </c>
      <c r="C10">
        <v>16.119544213700031</v>
      </c>
      <c r="D10">
        <f>TableBOU[[#This Row],[ARIMAPP]]*$I$2+TableBOU[[#This Row],[LSTMPP]]*$I$3</f>
        <v>20.491125587680898</v>
      </c>
      <c r="E10">
        <v>23</v>
      </c>
      <c r="F10">
        <f>ABS(TableBOU[[#This Row],[PP]]-TableBOU[[#This Row],[AP]])</f>
        <v>2.508874412319102</v>
      </c>
    </row>
    <row r="11" spans="1:9" x14ac:dyDescent="0.2">
      <c r="A11" t="s">
        <v>41</v>
      </c>
      <c r="B11">
        <v>23.07692307692308</v>
      </c>
      <c r="C11">
        <v>24.957018362166771</v>
      </c>
      <c r="D11">
        <f>TableBOU[[#This Row],[ARIMAPP]]*$I$2+TableBOU[[#This Row],[LSTMPP]]*$I$3</f>
        <v>24.964673229921161</v>
      </c>
      <c r="E11">
        <v>33</v>
      </c>
      <c r="F11">
        <f>ABS(TableBOU[[#This Row],[PP]]-TableBOU[[#This Row],[AP]])</f>
        <v>8.0353267700788393</v>
      </c>
    </row>
    <row r="12" spans="1:9" x14ac:dyDescent="0.2">
      <c r="A12" t="s">
        <v>42</v>
      </c>
      <c r="B12">
        <v>12.5347958117669</v>
      </c>
      <c r="C12">
        <v>12.3793362260515</v>
      </c>
      <c r="D12">
        <f>TableBOU[[#This Row],[ARIMAPP]]*$I$2+TableBOU[[#This Row],[LSTMPP]]*$I$3</f>
        <v>13.179708120071624</v>
      </c>
      <c r="E12">
        <v>34</v>
      </c>
      <c r="F12">
        <f>ABS(TableBOU[[#This Row],[PP]]-TableBOU[[#This Row],[AP]])</f>
        <v>20.820291879928376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43</v>
      </c>
      <c r="B2">
        <v>21.822225940954311</v>
      </c>
      <c r="C2">
        <v>31.703798176011659</v>
      </c>
      <c r="D2">
        <f>TableBRE[[#This Row],[ARIMAPP]]*$I$2+TableBRE[[#This Row],[LSTMPP]]*$I$3</f>
        <v>28.846081576310166</v>
      </c>
      <c r="E2">
        <v>30</v>
      </c>
      <c r="F2">
        <f>ABS(TableBRE[[#This Row],[PP]]-TableBRE[[#This Row],[AP]])</f>
        <v>1.1539184236898343</v>
      </c>
      <c r="H2" t="s">
        <v>0</v>
      </c>
      <c r="I2">
        <v>0.31500871138999997</v>
      </c>
    </row>
    <row r="3" spans="1:9" x14ac:dyDescent="0.2">
      <c r="A3" t="s">
        <v>44</v>
      </c>
      <c r="B3">
        <v>29.85294117647058</v>
      </c>
      <c r="C3">
        <v>31.164072920481608</v>
      </c>
      <c r="D3">
        <f>TableBRE[[#This Row],[ARIMAPP]]*$I$2+TableBRE[[#This Row],[LSTMPP]]*$I$3</f>
        <v>31.001777515480111</v>
      </c>
      <c r="E3">
        <v>23</v>
      </c>
      <c r="F3">
        <f>ABS(TableBRE[[#This Row],[PP]]-TableBRE[[#This Row],[AP]])</f>
        <v>8.0017775154801107</v>
      </c>
      <c r="H3" t="s">
        <v>1</v>
      </c>
      <c r="I3">
        <v>0.69303653086000006</v>
      </c>
    </row>
    <row r="4" spans="1:9" x14ac:dyDescent="0.2">
      <c r="A4" t="s">
        <v>45</v>
      </c>
      <c r="B4">
        <v>23.81183184888647</v>
      </c>
      <c r="C4">
        <v>26.902873793606481</v>
      </c>
      <c r="D4">
        <f>TableBRE[[#This Row],[ARIMAPP]]*$I$2+TableBRE[[#This Row],[LSTMPP]]*$I$3</f>
        <v>26.145608790638533</v>
      </c>
      <c r="E4">
        <v>20</v>
      </c>
      <c r="F4">
        <f>ABS(TableBRE[[#This Row],[PP]]-TableBRE[[#This Row],[AP]])</f>
        <v>6.1456087906385335</v>
      </c>
    </row>
    <row r="5" spans="1:9" x14ac:dyDescent="0.2">
      <c r="A5" t="s">
        <v>46</v>
      </c>
      <c r="B5">
        <v>30</v>
      </c>
      <c r="C5">
        <v>23.892415617072029</v>
      </c>
      <c r="D5">
        <f>TableBRE[[#This Row],[ARIMAPP]]*$I$2+TableBRE[[#This Row],[LSTMPP]]*$I$3</f>
        <v>26.008578174820887</v>
      </c>
      <c r="E5">
        <v>24</v>
      </c>
      <c r="F5">
        <f>ABS(TableBRE[[#This Row],[PP]]-TableBRE[[#This Row],[AP]])</f>
        <v>2.0085781748208866</v>
      </c>
      <c r="H5" t="s">
        <v>2</v>
      </c>
      <c r="I5">
        <f>SUM(ABS(TableBRE[[#This Row],[PP]]-TableBRE[[#This Row],[AP]]))</f>
        <v>2.0085781748208866</v>
      </c>
    </row>
    <row r="6" spans="1:9" x14ac:dyDescent="0.2">
      <c r="A6" t="s">
        <v>47</v>
      </c>
      <c r="B6">
        <v>30.85858245133705</v>
      </c>
      <c r="C6">
        <v>31.551094798413509</v>
      </c>
      <c r="D6">
        <f>TableBRE[[#This Row],[ARIMAPP]]*$I$2+TableBRE[[#This Row],[LSTMPP]]*$I$3</f>
        <v>31.586783577245242</v>
      </c>
      <c r="E6">
        <v>33</v>
      </c>
      <c r="F6">
        <f>ABS(TableBRE[[#This Row],[PP]]-TableBRE[[#This Row],[AP]])</f>
        <v>1.4132164227547577</v>
      </c>
    </row>
    <row r="7" spans="1:9" x14ac:dyDescent="0.2">
      <c r="A7" t="s">
        <v>48</v>
      </c>
      <c r="B7">
        <v>35.701149396441352</v>
      </c>
      <c r="C7">
        <v>25.286214849574371</v>
      </c>
      <c r="D7">
        <f>TableBRE[[#This Row],[ARIMAPP]]*$I$2+TableBRE[[#This Row],[LSTMPP]]*$I$3</f>
        <v>28.770443684444508</v>
      </c>
      <c r="E7">
        <v>21</v>
      </c>
      <c r="F7">
        <f>ABS(TableBRE[[#This Row],[PP]]-TableBRE[[#This Row],[AP]])</f>
        <v>7.7704436844445084</v>
      </c>
      <c r="H7" t="s">
        <v>3</v>
      </c>
      <c r="I7">
        <f>AVERAGE(TableBRE[DIFF])/10</f>
        <v>0.63282173141285492</v>
      </c>
    </row>
    <row r="8" spans="1:9" x14ac:dyDescent="0.2">
      <c r="A8" t="s">
        <v>49</v>
      </c>
      <c r="B8">
        <v>18.148148148148149</v>
      </c>
      <c r="C8">
        <v>18.180214854913331</v>
      </c>
      <c r="D8">
        <f>TableBRE[[#This Row],[ARIMAPP]]*$I$2+TableBRE[[#This Row],[LSTMPP]]*$I$3</f>
        <v>18.316377795601539</v>
      </c>
      <c r="E8">
        <v>33</v>
      </c>
      <c r="F8">
        <f>ABS(TableBRE[[#This Row],[PP]]-TableBRE[[#This Row],[AP]])</f>
        <v>14.683622204398461</v>
      </c>
    </row>
    <row r="9" spans="1:9" x14ac:dyDescent="0.2">
      <c r="A9" t="s">
        <v>50</v>
      </c>
      <c r="B9">
        <v>29.445929121877789</v>
      </c>
      <c r="C9">
        <v>16.073717303277189</v>
      </c>
      <c r="D9">
        <f>TableBRE[[#This Row],[ARIMAPP]]*$I$2+TableBRE[[#This Row],[LSTMPP]]*$I$3</f>
        <v>20.415397466251576</v>
      </c>
      <c r="E9">
        <v>25</v>
      </c>
      <c r="F9">
        <f>ABS(TableBRE[[#This Row],[PP]]-TableBRE[[#This Row],[AP]])</f>
        <v>4.5846025337484235</v>
      </c>
    </row>
    <row r="10" spans="1:9" x14ac:dyDescent="0.2">
      <c r="A10" t="s">
        <v>51</v>
      </c>
      <c r="B10">
        <v>22.570789315588609</v>
      </c>
      <c r="C10">
        <v>21.207852704706742</v>
      </c>
      <c r="D10">
        <f>TableBRE[[#This Row],[ARIMAPP]]*$I$2+TableBRE[[#This Row],[LSTMPP]]*$I$3</f>
        <v>21.807811922818576</v>
      </c>
      <c r="E10">
        <v>33</v>
      </c>
      <c r="F10">
        <f>ABS(TableBRE[[#This Row],[PP]]-TableBRE[[#This Row],[AP]])</f>
        <v>11.192188077181424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52</v>
      </c>
      <c r="B2">
        <v>31.028571428571421</v>
      </c>
      <c r="C2">
        <v>34.181024051035948</v>
      </c>
      <c r="D2">
        <f>TableBHA[[#This Row],[ARIMAPP]]*$I$2+TableBHA[[#This Row],[LSTMPP]]*$I$3</f>
        <v>46.229924305939818</v>
      </c>
      <c r="E2">
        <v>45</v>
      </c>
      <c r="F2">
        <f>ABS(TableBHA[[#This Row],[PP]]-TableBHA[[#This Row],[AP]])</f>
        <v>1.2299243059398179</v>
      </c>
      <c r="H2" t="s">
        <v>0</v>
      </c>
      <c r="I2">
        <v>1.0365939450999999</v>
      </c>
    </row>
    <row r="3" spans="1:9" x14ac:dyDescent="0.2">
      <c r="A3" t="s">
        <v>53</v>
      </c>
      <c r="B3">
        <v>35.24691358024694</v>
      </c>
      <c r="C3">
        <v>28.791308275450451</v>
      </c>
      <c r="D3">
        <f>TableBHA[[#This Row],[ARIMAPP]]*$I$2+TableBHA[[#This Row],[LSTMPP]]*$I$3</f>
        <v>48.384700550350914</v>
      </c>
      <c r="E3">
        <v>54</v>
      </c>
      <c r="F3">
        <f>ABS(TableBHA[[#This Row],[PP]]-TableBHA[[#This Row],[AP]])</f>
        <v>5.6152994496490862</v>
      </c>
      <c r="H3" t="s">
        <v>1</v>
      </c>
      <c r="I3">
        <v>0.41151180892</v>
      </c>
    </row>
    <row r="4" spans="1:9" x14ac:dyDescent="0.2">
      <c r="A4" t="s">
        <v>54</v>
      </c>
      <c r="B4">
        <v>30.093457943925198</v>
      </c>
      <c r="C4">
        <v>33.30371274390918</v>
      </c>
      <c r="D4">
        <f>TableBHA[[#This Row],[ARIMAPP]]*$I$2+TableBHA[[#This Row],[LSTMPP]]*$I$3</f>
        <v>44.899567366792482</v>
      </c>
      <c r="E4">
        <v>34</v>
      </c>
      <c r="F4">
        <f>ABS(TableBHA[[#This Row],[PP]]-TableBHA[[#This Row],[AP]])</f>
        <v>10.899567366792482</v>
      </c>
    </row>
    <row r="5" spans="1:9" x14ac:dyDescent="0.2">
      <c r="A5" t="s">
        <v>55</v>
      </c>
      <c r="B5">
        <v>19.920099083028251</v>
      </c>
      <c r="C5">
        <v>23.520810413125059</v>
      </c>
      <c r="D5">
        <f>TableBHA[[#This Row],[ARIMAPP]]*$I$2+TableBHA[[#This Row],[LSTMPP]]*$I$3</f>
        <v>30.328145335628612</v>
      </c>
      <c r="E5">
        <v>41</v>
      </c>
      <c r="F5">
        <f>ABS(TableBHA[[#This Row],[PP]]-TableBHA[[#This Row],[AP]])</f>
        <v>10.671854664371388</v>
      </c>
      <c r="H5" t="s">
        <v>2</v>
      </c>
      <c r="I5">
        <f>SUM(ABS(TableBHA[[#This Row],[PP]]-TableBHA[[#This Row],[AP]]))</f>
        <v>10.671854664371388</v>
      </c>
    </row>
    <row r="6" spans="1:9" x14ac:dyDescent="0.2">
      <c r="A6" t="s">
        <v>56</v>
      </c>
      <c r="B6">
        <v>15.086647067872811</v>
      </c>
      <c r="C6">
        <v>26.027926640303129</v>
      </c>
      <c r="D6">
        <f>TableBHA[[#This Row],[ARIMAPP]]*$I$2+TableBHA[[#This Row],[LSTMPP]]*$I$3</f>
        <v>26.349526176605821</v>
      </c>
      <c r="E6">
        <v>30</v>
      </c>
      <c r="F6">
        <f>ABS(TableBHA[[#This Row],[PP]]-TableBHA[[#This Row],[AP]])</f>
        <v>3.6504738233941794</v>
      </c>
    </row>
    <row r="7" spans="1:9" x14ac:dyDescent="0.2">
      <c r="A7" t="s">
        <v>57</v>
      </c>
      <c r="B7">
        <v>20.5</v>
      </c>
      <c r="C7">
        <v>12.05804935360052</v>
      </c>
      <c r="D7">
        <f>TableBHA[[#This Row],[ARIMAPP]]*$I$2+TableBHA[[#This Row],[LSTMPP]]*$I$3</f>
        <v>26.212205576096785</v>
      </c>
      <c r="E7">
        <v>27</v>
      </c>
      <c r="F7">
        <f>ABS(TableBHA[[#This Row],[PP]]-TableBHA[[#This Row],[AP]])</f>
        <v>0.78779442390321464</v>
      </c>
      <c r="H7" t="s">
        <v>3</v>
      </c>
      <c r="I7">
        <f>AVERAGE(TableBHA[DIFF])/10</f>
        <v>0.52349305508323041</v>
      </c>
    </row>
    <row r="8" spans="1:9" x14ac:dyDescent="0.2">
      <c r="A8" t="s">
        <v>58</v>
      </c>
      <c r="B8">
        <v>30.494276880339971</v>
      </c>
      <c r="C8">
        <v>29.596761948040172</v>
      </c>
      <c r="D8">
        <f>TableBHA[[#This Row],[ARIMAPP]]*$I$2+TableBHA[[#This Row],[LSTMPP]]*$I$3</f>
        <v>43.789599821775965</v>
      </c>
      <c r="E8">
        <v>40</v>
      </c>
      <c r="F8">
        <f>ABS(TableBHA[[#This Row],[PP]]-TableBHA[[#This Row],[AP]])</f>
        <v>3.7895998217759654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"/>
  <sheetViews>
    <sheetView workbookViewId="0">
      <selection activeCell="I2" sqref="I2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59</v>
      </c>
      <c r="B2">
        <v>15.23809523809523</v>
      </c>
      <c r="C2">
        <v>10.218296655294299</v>
      </c>
      <c r="D2">
        <f>TableBUR[[#This Row],[ARIMAPP]]*$I$2+TableBUR[[#This Row],[LSTMPP]]*$I$3</f>
        <v>14.024601890285707</v>
      </c>
      <c r="E2">
        <v>21</v>
      </c>
      <c r="F2">
        <f>ABS(TableBUR[[#This Row],[PP]]-TableBUR[[#This Row],[AP]])</f>
        <v>6.975398109714293</v>
      </c>
      <c r="H2" t="s">
        <v>0</v>
      </c>
      <c r="I2">
        <v>0.92036449904999995</v>
      </c>
    </row>
    <row r="3" spans="1:9" x14ac:dyDescent="0.2">
      <c r="A3" t="s">
        <v>60</v>
      </c>
      <c r="B3">
        <v>27.64705882352942</v>
      </c>
      <c r="C3">
        <v>30.378017443486961</v>
      </c>
      <c r="D3">
        <f>TableBUR[[#This Row],[ARIMAPP]]*$I$2+TableBUR[[#This Row],[LSTMPP]]*$I$3</f>
        <v>25.445371444323534</v>
      </c>
      <c r="E3">
        <v>25</v>
      </c>
      <c r="F3">
        <f>ABS(TableBUR[[#This Row],[PP]]-TableBUR[[#This Row],[AP]])</f>
        <v>0.44537144432353415</v>
      </c>
      <c r="H3" t="s">
        <v>1</v>
      </c>
      <c r="I3">
        <v>0</v>
      </c>
    </row>
    <row r="4" spans="1:9" x14ac:dyDescent="0.2">
      <c r="A4" t="s">
        <v>61</v>
      </c>
      <c r="B4">
        <v>20.769230769230781</v>
      </c>
      <c r="C4">
        <v>21.527134701290009</v>
      </c>
      <c r="D4">
        <f>TableBUR[[#This Row],[ARIMAPP]]*$I$2+TableBUR[[#This Row],[LSTMPP]]*$I$3</f>
        <v>19.115262672576932</v>
      </c>
      <c r="E4">
        <v>21</v>
      </c>
      <c r="F4">
        <f>ABS(TableBUR[[#This Row],[PP]]-TableBUR[[#This Row],[AP]])</f>
        <v>1.8847373274230677</v>
      </c>
    </row>
    <row r="5" spans="1:9" x14ac:dyDescent="0.2">
      <c r="A5" t="s">
        <v>62</v>
      </c>
      <c r="B5">
        <v>33.636363636363633</v>
      </c>
      <c r="C5">
        <v>31.935333150167551</v>
      </c>
      <c r="D5">
        <f>TableBUR[[#This Row],[ARIMAPP]]*$I$2+TableBUR[[#This Row],[LSTMPP]]*$I$3</f>
        <v>30.957714968045451</v>
      </c>
      <c r="E5">
        <v>27</v>
      </c>
      <c r="F5">
        <f>ABS(TableBUR[[#This Row],[PP]]-TableBUR[[#This Row],[AP]])</f>
        <v>3.9577149680454511</v>
      </c>
      <c r="H5" t="s">
        <v>2</v>
      </c>
      <c r="I5">
        <f>SUM(ABS(TableBUR[[#This Row],[PP]]-TableBUR[[#This Row],[AP]]))</f>
        <v>3.9577149680454511</v>
      </c>
    </row>
    <row r="7" spans="1:9" x14ac:dyDescent="0.2">
      <c r="H7" t="s">
        <v>3</v>
      </c>
      <c r="I7">
        <f>AVERAGE(TableBUR[DIFF])/10</f>
        <v>0.33158054623765865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8"/>
  <sheetViews>
    <sheetView workbookViewId="0">
      <selection activeCell="I2" sqref="I2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63</v>
      </c>
      <c r="B2">
        <v>43.201681639372516</v>
      </c>
      <c r="C2">
        <v>58.115239348918969</v>
      </c>
      <c r="D2">
        <f>TableCHE[[#This Row],[ARIMAPP]]*$I$2+TableCHE[[#This Row],[LSTMPP]]*$I$3</f>
        <v>45.103983581008301</v>
      </c>
      <c r="E2">
        <v>35</v>
      </c>
      <c r="F2">
        <f>ABS(TableCHE[[#This Row],[PP]]-TableCHE[[#This Row],[AP]])</f>
        <v>10.103983581008301</v>
      </c>
      <c r="H2" t="s">
        <v>0</v>
      </c>
      <c r="I2">
        <v>1.0440330530999999</v>
      </c>
    </row>
    <row r="3" spans="1:9" x14ac:dyDescent="0.2">
      <c r="A3" t="s">
        <v>64</v>
      </c>
      <c r="B3">
        <v>64.237267978995348</v>
      </c>
      <c r="C3">
        <v>34.284571701205088</v>
      </c>
      <c r="D3">
        <f>TableCHE[[#This Row],[ARIMAPP]]*$I$2+TableCHE[[#This Row],[LSTMPP]]*$I$3</f>
        <v>67.065831010913371</v>
      </c>
      <c r="E3">
        <v>84</v>
      </c>
      <c r="F3">
        <f>ABS(TableCHE[[#This Row],[PP]]-TableCHE[[#This Row],[AP]])</f>
        <v>16.934168989086629</v>
      </c>
      <c r="H3" t="s">
        <v>1</v>
      </c>
      <c r="I3">
        <v>0</v>
      </c>
    </row>
    <row r="4" spans="1:9" x14ac:dyDescent="0.2">
      <c r="A4" t="s">
        <v>65</v>
      </c>
      <c r="B4">
        <v>27.998750921758528</v>
      </c>
      <c r="C4">
        <v>34.329404428809987</v>
      </c>
      <c r="D4">
        <f>TableCHE[[#This Row],[ARIMAPP]]*$I$2+TableCHE[[#This Row],[LSTMPP]]*$I$3</f>
        <v>29.231621407829994</v>
      </c>
      <c r="E4">
        <v>29</v>
      </c>
      <c r="F4">
        <f>ABS(TableCHE[[#This Row],[PP]]-TableCHE[[#This Row],[AP]])</f>
        <v>0.2316214078299943</v>
      </c>
    </row>
    <row r="5" spans="1:9" x14ac:dyDescent="0.2">
      <c r="A5" t="s">
        <v>66</v>
      </c>
      <c r="B5">
        <v>28.275862068965509</v>
      </c>
      <c r="C5">
        <v>17.63061099393175</v>
      </c>
      <c r="D5">
        <f>TableCHE[[#This Row],[ARIMAPP]]*$I$2+TableCHE[[#This Row],[LSTMPP]]*$I$3</f>
        <v>29.520934604896542</v>
      </c>
      <c r="E5">
        <v>23</v>
      </c>
      <c r="F5">
        <f>ABS(TableCHE[[#This Row],[PP]]-TableCHE[[#This Row],[AP]])</f>
        <v>6.5209346048965422</v>
      </c>
      <c r="H5" t="s">
        <v>2</v>
      </c>
      <c r="I5">
        <f>SUM(ABS(TableCHE[[#This Row],[PP]]-TableCHE[[#This Row],[AP]]))</f>
        <v>6.5209346048965422</v>
      </c>
    </row>
    <row r="6" spans="1:9" x14ac:dyDescent="0.2">
      <c r="A6" t="s">
        <v>67</v>
      </c>
      <c r="B6">
        <v>38.872743287926752</v>
      </c>
      <c r="C6">
        <v>24.709160566215321</v>
      </c>
      <c r="D6">
        <f>TableCHE[[#This Row],[ARIMAPP]]*$I$2+TableCHE[[#This Row],[LSTMPP]]*$I$3</f>
        <v>40.584428857266694</v>
      </c>
      <c r="E6">
        <v>26</v>
      </c>
      <c r="F6">
        <f>ABS(TableCHE[[#This Row],[PP]]-TableCHE[[#This Row],[AP]])</f>
        <v>14.584428857266694</v>
      </c>
    </row>
    <row r="7" spans="1:9" x14ac:dyDescent="0.2">
      <c r="A7" t="s">
        <v>68</v>
      </c>
      <c r="B7">
        <v>34.666666666666679</v>
      </c>
      <c r="C7">
        <v>37.583565992039759</v>
      </c>
      <c r="D7">
        <f>TableCHE[[#This Row],[ARIMAPP]]*$I$2+TableCHE[[#This Row],[LSTMPP]]*$I$3</f>
        <v>36.193145840800007</v>
      </c>
      <c r="E7">
        <v>37</v>
      </c>
      <c r="F7">
        <f>ABS(TableCHE[[#This Row],[PP]]-TableCHE[[#This Row],[AP]])</f>
        <v>0.80685415919999315</v>
      </c>
      <c r="H7" t="s">
        <v>3</v>
      </c>
      <c r="I7">
        <f>AVERAGE(TableCHE[DIFF])/10</f>
        <v>0.75006923868333741</v>
      </c>
    </row>
    <row r="8" spans="1:9" x14ac:dyDescent="0.2">
      <c r="A8" t="s">
        <v>69</v>
      </c>
      <c r="B8">
        <v>23.63636363636363</v>
      </c>
      <c r="C8">
        <v>28.850707471715939</v>
      </c>
      <c r="D8">
        <f>TableCHE[[#This Row],[ARIMAPP]]*$I$2+TableCHE[[#This Row],[LSTMPP]]*$I$3</f>
        <v>24.677144891454535</v>
      </c>
      <c r="E8">
        <v>28</v>
      </c>
      <c r="F8">
        <f>ABS(TableCHE[[#This Row],[PP]]-TableCHE[[#This Row],[AP]])</f>
        <v>3.3228551085454647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"/>
  <sheetViews>
    <sheetView workbookViewId="0">
      <selection activeCell="I2" sqref="I2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70</v>
      </c>
      <c r="B2">
        <v>24.934856920583812</v>
      </c>
      <c r="C2">
        <v>24.918432117091498</v>
      </c>
      <c r="D2">
        <f>TableCRY[[#This Row],[ARIMAPP]]*$I$2+TableCRY[[#This Row],[LSTMPP]]*$I$3</f>
        <v>24.488226101065148</v>
      </c>
      <c r="E2">
        <v>22</v>
      </c>
      <c r="F2">
        <f>ABS(TableCRY[[#This Row],[PP]]-TableCRY[[#This Row],[AP]])</f>
        <v>2.4882261010651483</v>
      </c>
      <c r="H2" t="s">
        <v>0</v>
      </c>
      <c r="I2">
        <v>0.98208809374999995</v>
      </c>
    </row>
    <row r="3" spans="1:9" x14ac:dyDescent="0.2">
      <c r="A3" t="s">
        <v>71</v>
      </c>
      <c r="B3">
        <v>27.48538011695906</v>
      </c>
      <c r="C3">
        <v>26.37217188488804</v>
      </c>
      <c r="D3">
        <f>TableCRY[[#This Row],[ARIMAPP]]*$I$2+TableCRY[[#This Row],[LSTMPP]]*$I$3</f>
        <v>26.993064565058475</v>
      </c>
      <c r="E3">
        <v>43</v>
      </c>
      <c r="F3">
        <f>ABS(TableCRY[[#This Row],[PP]]-TableCRY[[#This Row],[AP]])</f>
        <v>16.006935434941525</v>
      </c>
      <c r="H3" t="s">
        <v>1</v>
      </c>
      <c r="I3">
        <v>0</v>
      </c>
    </row>
    <row r="4" spans="1:9" x14ac:dyDescent="0.2">
      <c r="A4" t="s">
        <v>72</v>
      </c>
      <c r="B4">
        <v>30.09964457140617</v>
      </c>
      <c r="C4">
        <v>27.76385893938685</v>
      </c>
      <c r="D4">
        <f>TableCRY[[#This Row],[ARIMAPP]]*$I$2+TableCRY[[#This Row],[LSTMPP]]*$I$3</f>
        <v>29.560502559684821</v>
      </c>
      <c r="E4">
        <v>21</v>
      </c>
      <c r="F4">
        <f>ABS(TableCRY[[#This Row],[PP]]-TableCRY[[#This Row],[AP]])</f>
        <v>8.5605025596848208</v>
      </c>
    </row>
    <row r="5" spans="1:9" x14ac:dyDescent="0.2">
      <c r="A5" t="s">
        <v>73</v>
      </c>
      <c r="B5">
        <v>36.966292134831463</v>
      </c>
      <c r="C5">
        <v>31.241608720949039</v>
      </c>
      <c r="D5">
        <f>TableCRY[[#This Row],[ARIMAPP]]*$I$2+TableCRY[[#This Row],[LSTMPP]]*$I$3</f>
        <v>36.304155375702244</v>
      </c>
      <c r="E5">
        <v>44</v>
      </c>
      <c r="F5">
        <f>ABS(TableCRY[[#This Row],[PP]]-TableCRY[[#This Row],[AP]])</f>
        <v>7.6958446242977558</v>
      </c>
      <c r="H5" t="s">
        <v>2</v>
      </c>
      <c r="I5">
        <f>SUM(ABS(TableCRY[[#This Row],[PP]]-TableCRY[[#This Row],[AP]]))</f>
        <v>7.6958446242977558</v>
      </c>
    </row>
    <row r="6" spans="1:9" x14ac:dyDescent="0.2">
      <c r="A6" t="s">
        <v>74</v>
      </c>
      <c r="B6">
        <v>37.454545454545453</v>
      </c>
      <c r="C6">
        <v>39.439050637549833</v>
      </c>
      <c r="D6">
        <f>TableCRY[[#This Row],[ARIMAPP]]*$I$2+TableCRY[[#This Row],[LSTMPP]]*$I$3</f>
        <v>36.783663147727268</v>
      </c>
      <c r="E6">
        <v>28</v>
      </c>
      <c r="F6">
        <f>ABS(TableCRY[[#This Row],[PP]]-TableCRY[[#This Row],[AP]])</f>
        <v>8.7836631477272675</v>
      </c>
    </row>
    <row r="7" spans="1:9" x14ac:dyDescent="0.2">
      <c r="A7" t="s">
        <v>75</v>
      </c>
      <c r="B7">
        <v>28.193086611734309</v>
      </c>
      <c r="C7">
        <v>30.962032854421441</v>
      </c>
      <c r="D7">
        <f>TableCRY[[#This Row],[ARIMAPP]]*$I$2+TableCRY[[#This Row],[LSTMPP]]*$I$3</f>
        <v>27.688094687446792</v>
      </c>
      <c r="E7">
        <v>20</v>
      </c>
      <c r="F7">
        <f>ABS(TableCRY[[#This Row],[PP]]-TableCRY[[#This Row],[AP]])</f>
        <v>7.6880946874467924</v>
      </c>
      <c r="H7" t="s">
        <v>3</v>
      </c>
      <c r="I7">
        <f>AVERAGE(TableCRY[DIFF])/10</f>
        <v>0.94971666009448408</v>
      </c>
    </row>
    <row r="8" spans="1:9" x14ac:dyDescent="0.2">
      <c r="A8" t="s">
        <v>76</v>
      </c>
      <c r="B8">
        <v>22.3943661971831</v>
      </c>
      <c r="C8">
        <v>21.259051545342391</v>
      </c>
      <c r="D8">
        <f>TableCRY[[#This Row],[ARIMAPP]]*$I$2+TableCRY[[#This Row],[LSTMPP]]*$I$3</f>
        <v>21.993240409330987</v>
      </c>
      <c r="E8">
        <v>44</v>
      </c>
      <c r="F8">
        <f>ABS(TableCRY[[#This Row],[PP]]-TableCRY[[#This Row],[AP]])</f>
        <v>22.006759590669013</v>
      </c>
    </row>
    <row r="9" spans="1:9" x14ac:dyDescent="0.2">
      <c r="A9" t="s">
        <v>77</v>
      </c>
      <c r="B9">
        <v>29.452054794520571</v>
      </c>
      <c r="C9">
        <v>25.626252594057959</v>
      </c>
      <c r="D9">
        <f>TableCRY[[#This Row],[ARIMAPP]]*$I$2+TableCRY[[#This Row],[LSTMPP]]*$I$3</f>
        <v>28.924512350171252</v>
      </c>
      <c r="E9">
        <v>20</v>
      </c>
      <c r="F9">
        <f>ABS(TableCRY[[#This Row],[PP]]-TableCRY[[#This Row],[AP]])</f>
        <v>8.924512350171252</v>
      </c>
    </row>
    <row r="10" spans="1:9" x14ac:dyDescent="0.2">
      <c r="A10" t="s">
        <v>78</v>
      </c>
      <c r="B10">
        <v>26.8</v>
      </c>
      <c r="C10">
        <v>28.875474111389021</v>
      </c>
      <c r="D10">
        <f>TableCRY[[#This Row],[ARIMAPP]]*$I$2+TableCRY[[#This Row],[LSTMPP]]*$I$3</f>
        <v>26.319960912500001</v>
      </c>
      <c r="E10">
        <v>23</v>
      </c>
      <c r="F10">
        <f>ABS(TableCRY[[#This Row],[PP]]-TableCRY[[#This Row],[AP]])</f>
        <v>3.3199609125000009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"/>
  <sheetViews>
    <sheetView workbookViewId="0">
      <selection activeCell="I3" sqref="I3"/>
    </sheetView>
  </sheetViews>
  <sheetFormatPr baseColWidth="10" defaultColWidth="8.83203125" defaultRowHeight="15" x14ac:dyDescent="0.2"/>
  <cols>
    <col min="2" max="3" width="0" hidden="1" customWidth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9" x14ac:dyDescent="0.2">
      <c r="A2" t="s">
        <v>79</v>
      </c>
      <c r="B2">
        <v>31.6875</v>
      </c>
      <c r="C2">
        <v>28.21278930716954</v>
      </c>
      <c r="D2">
        <f>TableEVE[[#This Row],[ARIMAPP]]*$I$2+TableEVE[[#This Row],[LSTMPP]]*$I$3</f>
        <v>28.940142137095801</v>
      </c>
      <c r="E2">
        <v>36</v>
      </c>
      <c r="F2">
        <f>ABS(TableEVE[[#This Row],[PP]]-TableEVE[[#This Row],[AP]])</f>
        <v>7.0598578629041988</v>
      </c>
      <c r="H2" t="s">
        <v>0</v>
      </c>
      <c r="I2">
        <v>0.91329834888999994</v>
      </c>
    </row>
    <row r="3" spans="1:9" x14ac:dyDescent="0.2">
      <c r="A3" t="s">
        <v>80</v>
      </c>
      <c r="B3">
        <v>35.235602094240797</v>
      </c>
      <c r="C3">
        <v>36.325378785096873</v>
      </c>
      <c r="D3">
        <f>TableEVE[[#This Row],[ARIMAPP]]*$I$2+TableEVE[[#This Row],[LSTMPP]]*$I$3</f>
        <v>32.180618124654579</v>
      </c>
      <c r="E3">
        <v>36</v>
      </c>
      <c r="F3">
        <f>ABS(TableEVE[[#This Row],[PP]]-TableEVE[[#This Row],[AP]])</f>
        <v>3.819381875345421</v>
      </c>
      <c r="H3" t="s">
        <v>1</v>
      </c>
      <c r="I3">
        <v>2.5046935997999998E-8</v>
      </c>
    </row>
    <row r="4" spans="1:9" x14ac:dyDescent="0.2">
      <c r="A4" t="s">
        <v>81</v>
      </c>
      <c r="B4">
        <v>33.924301991550507</v>
      </c>
      <c r="C4">
        <v>35.359952357551542</v>
      </c>
      <c r="D4">
        <f>TableEVE[[#This Row],[ARIMAPP]]*$I$2+TableEVE[[#This Row],[LSTMPP]]*$I$3</f>
        <v>30.983009881787279</v>
      </c>
      <c r="E4">
        <v>21</v>
      </c>
      <c r="F4">
        <f>ABS(TableEVE[[#This Row],[PP]]-TableEVE[[#This Row],[AP]])</f>
        <v>9.9830098817872788</v>
      </c>
    </row>
    <row r="5" spans="1:9" x14ac:dyDescent="0.2">
      <c r="A5" t="s">
        <v>82</v>
      </c>
      <c r="B5">
        <v>31.885714285714279</v>
      </c>
      <c r="C5">
        <v>29.561195676808989</v>
      </c>
      <c r="D5">
        <f>TableEVE[[#This Row],[ARIMAPP]]*$I$2+TableEVE[[#This Row],[LSTMPP]]*$I$3</f>
        <v>29.121170950738513</v>
      </c>
      <c r="E5">
        <v>28</v>
      </c>
      <c r="F5">
        <f>ABS(TableEVE[[#This Row],[PP]]-TableEVE[[#This Row],[AP]])</f>
        <v>1.121170950738513</v>
      </c>
      <c r="H5" t="s">
        <v>2</v>
      </c>
      <c r="I5">
        <f>SUM(ABS(TableEVE[[#This Row],[PP]]-TableEVE[[#This Row],[AP]]))</f>
        <v>1.121170950738513</v>
      </c>
    </row>
    <row r="6" spans="1:9" x14ac:dyDescent="0.2">
      <c r="A6" t="s">
        <v>83</v>
      </c>
      <c r="B6">
        <v>20.139334588917809</v>
      </c>
      <c r="C6">
        <v>24.47130115196849</v>
      </c>
      <c r="D6">
        <f>TableEVE[[#This Row],[ARIMAPP]]*$I$2+TableEVE[[#This Row],[LSTMPP]]*$I$3</f>
        <v>18.393221640733014</v>
      </c>
      <c r="E6">
        <v>24</v>
      </c>
      <c r="F6">
        <f>ABS(TableEVE[[#This Row],[PP]]-TableEVE[[#This Row],[AP]])</f>
        <v>5.6067783592669862</v>
      </c>
    </row>
    <row r="7" spans="1:9" x14ac:dyDescent="0.2">
      <c r="A7" t="s">
        <v>84</v>
      </c>
      <c r="B7">
        <v>23.84615384615384</v>
      </c>
      <c r="C7">
        <v>21.3001756645284</v>
      </c>
      <c r="D7">
        <f>TableEVE[[#This Row],[ARIMAPP]]*$I$2+TableEVE[[#This Row],[LSTMPP]]*$I$3</f>
        <v>21.77865346857336</v>
      </c>
      <c r="E7">
        <v>35</v>
      </c>
      <c r="F7">
        <f>ABS(TableEVE[[#This Row],[PP]]-TableEVE[[#This Row],[AP]])</f>
        <v>13.22134653142664</v>
      </c>
      <c r="H7" t="s">
        <v>3</v>
      </c>
      <c r="I7">
        <f>AVERAGE(TableEVE[DIFF])/10</f>
        <v>0.62508594799433115</v>
      </c>
    </row>
    <row r="8" spans="1:9" x14ac:dyDescent="0.2">
      <c r="A8" t="s">
        <v>85</v>
      </c>
      <c r="B8">
        <v>39.649122807017577</v>
      </c>
      <c r="C8">
        <v>39.540657542516243</v>
      </c>
      <c r="D8">
        <f>TableEVE[[#This Row],[ARIMAPP]]*$I$2+TableEVE[[#This Row],[LSTMPP]]*$I$3</f>
        <v>36.211479384958317</v>
      </c>
      <c r="E8">
        <v>28</v>
      </c>
      <c r="F8">
        <f>ABS(TableEVE[[#This Row],[PP]]-TableEVE[[#This Row],[AP]])</f>
        <v>8.2114793849583165</v>
      </c>
    </row>
    <row r="9" spans="1:9" x14ac:dyDescent="0.2">
      <c r="A9" t="s">
        <v>86</v>
      </c>
      <c r="B9">
        <v>29.241727531316879</v>
      </c>
      <c r="C9">
        <v>24.027199501014088</v>
      </c>
      <c r="D9">
        <f>TableEVE[[#This Row],[ARIMAPP]]*$I$2+TableEVE[[#This Row],[LSTMPP]]*$I$3</f>
        <v>26.706422074850689</v>
      </c>
      <c r="E9">
        <v>22</v>
      </c>
      <c r="F9">
        <f>ABS(TableEVE[[#This Row],[PP]]-TableEVE[[#This Row],[AP]])</f>
        <v>4.7064220748506891</v>
      </c>
    </row>
    <row r="10" spans="1:9" x14ac:dyDescent="0.2">
      <c r="A10" t="s">
        <v>87</v>
      </c>
      <c r="B10">
        <v>20.225275858582538</v>
      </c>
      <c r="C10">
        <v>22.130452283342571</v>
      </c>
      <c r="D10">
        <f>TableEVE[[#This Row],[ARIMAPP]]*$I$2+TableEVE[[#This Row],[LSTMPP]]*$I$3</f>
        <v>18.471711601788233</v>
      </c>
      <c r="E10">
        <v>21</v>
      </c>
      <c r="F10">
        <f>ABS(TableEVE[[#This Row],[PP]]-TableEVE[[#This Row],[AP]])</f>
        <v>2.5282883982117674</v>
      </c>
    </row>
  </sheetData>
  <conditionalFormatting sqref="I7">
    <cfRule type="colorScale" priority="1">
      <colorScale>
        <cfvo type="num" val="0"/>
        <cfvo type="num" val="1"/>
        <cfvo type="num" val="2"/>
        <color rgb="FF00FF00"/>
        <color rgb="FFFFFF0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ARS</vt:lpstr>
      <vt:lpstr>AVL</vt:lpstr>
      <vt:lpstr>BOU</vt:lpstr>
      <vt:lpstr>BRE</vt:lpstr>
      <vt:lpstr>BHA</vt:lpstr>
      <vt:lpstr>BUR</vt:lpstr>
      <vt:lpstr>CHE</vt:lpstr>
      <vt:lpstr>CRY</vt:lpstr>
      <vt:lpstr>EVE</vt:lpstr>
      <vt:lpstr>FUL</vt:lpstr>
      <vt:lpstr>LIV</vt:lpstr>
      <vt:lpstr>LUT</vt:lpstr>
      <vt:lpstr>MCI</vt:lpstr>
      <vt:lpstr>MUN</vt:lpstr>
      <vt:lpstr>NEW</vt:lpstr>
      <vt:lpstr>NFO</vt:lpstr>
      <vt:lpstr>SHU</vt:lpstr>
      <vt:lpstr>TOT</vt:lpstr>
      <vt:lpstr>WHU</vt:lpstr>
      <vt:lpstr>WOL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Corridore, Gabe</cp:lastModifiedBy>
  <dcterms:created xsi:type="dcterms:W3CDTF">2024-04-01T17:37:31Z</dcterms:created>
  <dcterms:modified xsi:type="dcterms:W3CDTF">2024-04-01T17:42:39Z</dcterms:modified>
</cp:coreProperties>
</file>