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Predictions/2023-24/"/>
    </mc:Choice>
  </mc:AlternateContent>
  <xr:revisionPtr revIDLastSave="0" documentId="13_ncr:1_{03497C11-7EA2-7344-800A-BE13B8E087FB}" xr6:coauthVersionLast="47" xr6:coauthVersionMax="47" xr10:uidLastSave="{00000000-0000-0000-0000-000000000000}"/>
  <bookViews>
    <workbookView xWindow="240" yWindow="760" windowWidth="23600" windowHeight="16180" xr2:uid="{00000000-000D-0000-FFFF-FFFF00000000}"/>
  </bookViews>
  <sheets>
    <sheet name="Sheet1" sheetId="1" r:id="rId1"/>
  </sheets>
  <definedNames>
    <definedName name="solver_adj" localSheetId="0" hidden="1">Sheet1!$AJ$2:$AJ$135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Sheet1!$AJ$2:$AJ$135</definedName>
    <definedName name="solver_lhs2" localSheetId="0" hidden="1">Sheet1!$AM$4:$AM$7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Sheet1!$AM$2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hs1" localSheetId="0" hidden="1">"binary"</definedName>
    <definedName name="solver_rhs2" localSheetId="0" hidden="1">Sheet1!$AN$4:$AN$7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2" i="1" l="1"/>
  <c r="AG32" i="1"/>
  <c r="AH132" i="1"/>
  <c r="AG132" i="1"/>
  <c r="AH134" i="1"/>
  <c r="AG134" i="1"/>
  <c r="AH124" i="1"/>
  <c r="AG124" i="1"/>
  <c r="AH4" i="1"/>
  <c r="AG4" i="1"/>
  <c r="AH130" i="1"/>
  <c r="AG130" i="1"/>
  <c r="AH78" i="1"/>
  <c r="AG78" i="1"/>
  <c r="AH128" i="1"/>
  <c r="AG128" i="1"/>
  <c r="AH127" i="1"/>
  <c r="AG127" i="1"/>
  <c r="AH126" i="1"/>
  <c r="AG126" i="1"/>
  <c r="AH125" i="1"/>
  <c r="AG125" i="1"/>
  <c r="AH80" i="1"/>
  <c r="AG80" i="1"/>
  <c r="AH123" i="1"/>
  <c r="AG123" i="1"/>
  <c r="AH122" i="1"/>
  <c r="AG122" i="1"/>
  <c r="AH121" i="1"/>
  <c r="AG121" i="1"/>
  <c r="AH120" i="1"/>
  <c r="AG120" i="1"/>
  <c r="AH119" i="1"/>
  <c r="AG119" i="1"/>
  <c r="AH118" i="1"/>
  <c r="AG118" i="1"/>
  <c r="AH117" i="1"/>
  <c r="AG117" i="1"/>
  <c r="AH116" i="1"/>
  <c r="AG116" i="1"/>
  <c r="AH115" i="1"/>
  <c r="AG115" i="1"/>
  <c r="AH114" i="1"/>
  <c r="AG114" i="1"/>
  <c r="AH113" i="1"/>
  <c r="AG113" i="1"/>
  <c r="AH112" i="1"/>
  <c r="AG112" i="1"/>
  <c r="AH111" i="1"/>
  <c r="AG111" i="1"/>
  <c r="AH110" i="1"/>
  <c r="AG110" i="1"/>
  <c r="AH109" i="1"/>
  <c r="AG109" i="1"/>
  <c r="AH108" i="1"/>
  <c r="AG108" i="1"/>
  <c r="AH107" i="1"/>
  <c r="AG107" i="1"/>
  <c r="AH106" i="1"/>
  <c r="AG106" i="1"/>
  <c r="AH105" i="1"/>
  <c r="AG105" i="1"/>
  <c r="AH104" i="1"/>
  <c r="AG104" i="1"/>
  <c r="AH103" i="1"/>
  <c r="AG103" i="1"/>
  <c r="AH102" i="1"/>
  <c r="AG102" i="1"/>
  <c r="AH101" i="1"/>
  <c r="AG101" i="1"/>
  <c r="AH100" i="1"/>
  <c r="AG100" i="1"/>
  <c r="AH99" i="1"/>
  <c r="AG99" i="1"/>
  <c r="AH98" i="1"/>
  <c r="AG98" i="1"/>
  <c r="AH97" i="1"/>
  <c r="AG97" i="1"/>
  <c r="AH96" i="1"/>
  <c r="AG96" i="1"/>
  <c r="AH95" i="1"/>
  <c r="AG95" i="1"/>
  <c r="AH94" i="1"/>
  <c r="AG94" i="1"/>
  <c r="AH93" i="1"/>
  <c r="AG93" i="1"/>
  <c r="AH92" i="1"/>
  <c r="AG92" i="1"/>
  <c r="AH91" i="1"/>
  <c r="AG91" i="1"/>
  <c r="AH90" i="1"/>
  <c r="AG90" i="1"/>
  <c r="AH89" i="1"/>
  <c r="AG89" i="1"/>
  <c r="AH88" i="1"/>
  <c r="AG88" i="1"/>
  <c r="AH87" i="1"/>
  <c r="AG87" i="1"/>
  <c r="AH86" i="1"/>
  <c r="AG86" i="1"/>
  <c r="AH85" i="1"/>
  <c r="AG85" i="1"/>
  <c r="AH84" i="1"/>
  <c r="AG84" i="1"/>
  <c r="AH83" i="1"/>
  <c r="AG83" i="1"/>
  <c r="AH82" i="1"/>
  <c r="AG82" i="1"/>
  <c r="AH81" i="1"/>
  <c r="AG81" i="1"/>
  <c r="AH135" i="1"/>
  <c r="AG135" i="1"/>
  <c r="AH79" i="1"/>
  <c r="AG79" i="1"/>
  <c r="AH46" i="1"/>
  <c r="AG46" i="1"/>
  <c r="AH34" i="1"/>
  <c r="AG34" i="1"/>
  <c r="AH77" i="1"/>
  <c r="AG77" i="1"/>
  <c r="AH76" i="1"/>
  <c r="AG76" i="1"/>
  <c r="AH75" i="1"/>
  <c r="AG75" i="1"/>
  <c r="AH74" i="1"/>
  <c r="AG74" i="1"/>
  <c r="AH73" i="1"/>
  <c r="AG73" i="1"/>
  <c r="AH72" i="1"/>
  <c r="AG72" i="1"/>
  <c r="AH71" i="1"/>
  <c r="AG71" i="1"/>
  <c r="AH70" i="1"/>
  <c r="AG70" i="1"/>
  <c r="AH69" i="1"/>
  <c r="AG69" i="1"/>
  <c r="AH68" i="1"/>
  <c r="AG68" i="1"/>
  <c r="AH67" i="1"/>
  <c r="AG67" i="1"/>
  <c r="AH66" i="1"/>
  <c r="AG66" i="1"/>
  <c r="AH65" i="1"/>
  <c r="AG65" i="1"/>
  <c r="AH64" i="1"/>
  <c r="AG64" i="1"/>
  <c r="AH63" i="1"/>
  <c r="AG63" i="1"/>
  <c r="AH62" i="1"/>
  <c r="AG62" i="1"/>
  <c r="AH61" i="1"/>
  <c r="AG61" i="1"/>
  <c r="AH60" i="1"/>
  <c r="AG60" i="1"/>
  <c r="AH59" i="1"/>
  <c r="AG59" i="1"/>
  <c r="AH58" i="1"/>
  <c r="AG58" i="1"/>
  <c r="AH57" i="1"/>
  <c r="AG57" i="1"/>
  <c r="AH56" i="1"/>
  <c r="AG56" i="1"/>
  <c r="AH55" i="1"/>
  <c r="AG55" i="1"/>
  <c r="AH54" i="1"/>
  <c r="AG54" i="1"/>
  <c r="AH53" i="1"/>
  <c r="AG53" i="1"/>
  <c r="AH52" i="1"/>
  <c r="AG52" i="1"/>
  <c r="AH50" i="1"/>
  <c r="AG50" i="1"/>
  <c r="AH49" i="1"/>
  <c r="AG49" i="1"/>
  <c r="AH48" i="1"/>
  <c r="AG48" i="1"/>
  <c r="AH47" i="1"/>
  <c r="AG47" i="1"/>
  <c r="AH45" i="1"/>
  <c r="AG45" i="1"/>
  <c r="AH44" i="1"/>
  <c r="AG44" i="1"/>
  <c r="AH43" i="1"/>
  <c r="AG43" i="1"/>
  <c r="AH42" i="1"/>
  <c r="AG42" i="1"/>
  <c r="AH41" i="1"/>
  <c r="AG41" i="1"/>
  <c r="AH40" i="1"/>
  <c r="AG40" i="1"/>
  <c r="AH39" i="1"/>
  <c r="AG39" i="1"/>
  <c r="AH38" i="1"/>
  <c r="AG38" i="1"/>
  <c r="AH37" i="1"/>
  <c r="AG37" i="1"/>
  <c r="AH36" i="1"/>
  <c r="AG36" i="1"/>
  <c r="AH35" i="1"/>
  <c r="AG35" i="1"/>
  <c r="AH51" i="1"/>
  <c r="AG51" i="1"/>
  <c r="AH33" i="1"/>
  <c r="AG33" i="1"/>
  <c r="AH31" i="1"/>
  <c r="AG31" i="1"/>
  <c r="AH30" i="1"/>
  <c r="AG30" i="1"/>
  <c r="AH29" i="1"/>
  <c r="AG29" i="1"/>
  <c r="AH28" i="1"/>
  <c r="AG28" i="1"/>
  <c r="AH27" i="1"/>
  <c r="AG27" i="1"/>
  <c r="AH26" i="1"/>
  <c r="AG26" i="1"/>
  <c r="AH25" i="1"/>
  <c r="AG25" i="1"/>
  <c r="AH24" i="1"/>
  <c r="AG24" i="1"/>
  <c r="AH23" i="1"/>
  <c r="AG23" i="1"/>
  <c r="AH22" i="1"/>
  <c r="AG22" i="1"/>
  <c r="AH21" i="1"/>
  <c r="AG21" i="1"/>
  <c r="AH20" i="1"/>
  <c r="AG20" i="1"/>
  <c r="AH19" i="1"/>
  <c r="AG19" i="1"/>
  <c r="AH18" i="1"/>
  <c r="AG18" i="1"/>
  <c r="AH17" i="1"/>
  <c r="AG17" i="1"/>
  <c r="AH16" i="1"/>
  <c r="AG16" i="1"/>
  <c r="AH15" i="1"/>
  <c r="AG15" i="1"/>
  <c r="AH14" i="1"/>
  <c r="AG14" i="1"/>
  <c r="AH13" i="1"/>
  <c r="AG13" i="1"/>
  <c r="AH12" i="1"/>
  <c r="AG12" i="1"/>
  <c r="AH11" i="1"/>
  <c r="AG11" i="1"/>
  <c r="AH129" i="1"/>
  <c r="AG129" i="1"/>
  <c r="AH10" i="1"/>
  <c r="AG10" i="1"/>
  <c r="AH131" i="1"/>
  <c r="AG131" i="1"/>
  <c r="AH8" i="1"/>
  <c r="AG8" i="1"/>
  <c r="AH7" i="1"/>
  <c r="AG7" i="1"/>
  <c r="AH6" i="1"/>
  <c r="AG6" i="1"/>
  <c r="AH2" i="1"/>
  <c r="AG2" i="1"/>
  <c r="AM7" i="1"/>
  <c r="AM6" i="1"/>
  <c r="AM5" i="1"/>
  <c r="AM4" i="1"/>
  <c r="AH9" i="1"/>
  <c r="AG9" i="1"/>
  <c r="AH3" i="1"/>
  <c r="AG3" i="1"/>
  <c r="AH5" i="1"/>
  <c r="AG5" i="1"/>
  <c r="AM2" i="1" l="1"/>
</calcChain>
</file>

<file path=xl/sharedStrings.xml><?xml version="1.0" encoding="utf-8"?>
<sst xmlns="http://schemas.openxmlformats.org/spreadsheetml/2006/main" count="712" uniqueCount="328">
  <si>
    <t>Total Points</t>
  </si>
  <si>
    <t>MAX</t>
  </si>
  <si>
    <t>GKP</t>
  </si>
  <si>
    <t>DEF</t>
  </si>
  <si>
    <t>MID</t>
  </si>
  <si>
    <t>FWD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</si>
  <si>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</si>
  <si>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</si>
  <si>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</si>
  <si>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</si>
  <si>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</si>
  <si>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</si>
  <si>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</si>
  <si>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</si>
  <si>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</si>
  <si>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</si>
  <si>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</si>
  <si>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</si>
  <si>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</si>
  <si>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</si>
  <si>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</si>
  <si>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</si>
  <si>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</si>
  <si>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</si>
  <si>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</si>
  <si>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</si>
  <si>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</si>
  <si>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</si>
  <si>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</si>
  <si>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</si>
  <si>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</si>
  <si>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</si>
  <si>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</si>
  <si>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</si>
  <si>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</si>
  <si>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</si>
  <si>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</si>
  <si>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Selected</t>
  </si>
  <si>
    <t>Gabriel</t>
  </si>
  <si>
    <t>dos Santos Magalhães</t>
  </si>
  <si>
    <t>Kai</t>
  </si>
  <si>
    <t>Havertz</t>
  </si>
  <si>
    <t>Martinelli Silva</t>
  </si>
  <si>
    <t>Martinelli</t>
  </si>
  <si>
    <t>Benjamin</t>
  </si>
  <si>
    <t>White</t>
  </si>
  <si>
    <t>Leon</t>
  </si>
  <si>
    <t>Bailey</t>
  </si>
  <si>
    <t>Douglas Luiz</t>
  </si>
  <si>
    <t>Soares de Paulo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</si>
  <si>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</si>
  <si>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</si>
  <si>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</si>
  <si>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</si>
  <si>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</si>
  <si>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</si>
  <si>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</si>
  <si>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</si>
  <si>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Ollie</t>
  </si>
  <si>
    <t>Watkins</t>
  </si>
  <si>
    <t>Pau</t>
  </si>
  <si>
    <t>Torres</t>
  </si>
  <si>
    <t>Moussa</t>
  </si>
  <si>
    <t>Diaby</t>
  </si>
  <si>
    <t>Ryan</t>
  </si>
  <si>
    <t>Christie</t>
  </si>
  <si>
    <t>Lewis</t>
  </si>
  <si>
    <t>Cook</t>
  </si>
  <si>
    <t>L.Cook</t>
  </si>
  <si>
    <t>Justin</t>
  </si>
  <si>
    <t>Kluivert</t>
  </si>
  <si>
    <t>Antoine</t>
  </si>
  <si>
    <t>Semenyo</t>
  </si>
  <si>
    <t>Marcos</t>
  </si>
  <si>
    <t>Senesi</t>
  </si>
  <si>
    <t>Adam</t>
  </si>
  <si>
    <t>Smith</t>
  </si>
  <si>
    <t>Marcus</t>
  </si>
  <si>
    <t>Tavernier</t>
  </si>
  <si>
    <t>Illia</t>
  </si>
  <si>
    <t>Zabarnyi</t>
  </si>
  <si>
    <t>Milos</t>
  </si>
  <si>
    <t>Kerkez</t>
  </si>
  <si>
    <t>Kristoffer</t>
  </si>
  <si>
    <t>Ajer</t>
  </si>
  <si>
    <t>Mathias</t>
  </si>
  <si>
    <t>Jensen</t>
  </si>
  <si>
    <t>Keane</t>
  </si>
  <si>
    <t>Lewis-Potter</t>
  </si>
  <si>
    <t>Christian</t>
  </si>
  <si>
    <t>Nørgaard</t>
  </si>
  <si>
    <t>Ethan</t>
  </si>
  <si>
    <t>Pinnock</t>
  </si>
  <si>
    <t>Mads</t>
  </si>
  <si>
    <t>Roerslev Rasmussen</t>
  </si>
  <si>
    <t>Roerslev</t>
  </si>
  <si>
    <t>Yoane</t>
  </si>
  <si>
    <t>Wissa</t>
  </si>
  <si>
    <t>Simon</t>
  </si>
  <si>
    <t>Adingra</t>
  </si>
  <si>
    <t>Facundo</t>
  </si>
  <si>
    <t>Buonanotte</t>
  </si>
  <si>
    <t>Pascal</t>
  </si>
  <si>
    <t>Groß</t>
  </si>
  <si>
    <t>Gross</t>
  </si>
  <si>
    <t>João Pedro</t>
  </si>
  <si>
    <t>Junqueira de Jesus</t>
  </si>
  <si>
    <t>Kaoru</t>
  </si>
  <si>
    <t>Mitoma</t>
  </si>
  <si>
    <t>Danny</t>
  </si>
  <si>
    <t>Welbeck</t>
  </si>
  <si>
    <t>Dara</t>
  </si>
  <si>
    <t>O'Shea</t>
  </si>
  <si>
    <t>Jacob</t>
  </si>
  <si>
    <t>Bruun Larsen</t>
  </si>
  <si>
    <t>Wilson</t>
  </si>
  <si>
    <t>Odobert</t>
  </si>
  <si>
    <t>Levi</t>
  </si>
  <si>
    <t>Colwill</t>
  </si>
  <si>
    <t>Enzo</t>
  </si>
  <si>
    <t>Fernández</t>
  </si>
  <si>
    <t>Conor</t>
  </si>
  <si>
    <t>Gallagher</t>
  </si>
  <si>
    <t>Malo</t>
  </si>
  <si>
    <t>Gusto</t>
  </si>
  <si>
    <t>Mykhailo</t>
  </si>
  <si>
    <t>Mudryk</t>
  </si>
  <si>
    <t>Nicolas</t>
  </si>
  <si>
    <t>Jackson</t>
  </si>
  <si>
    <t>N.Jackson</t>
  </si>
  <si>
    <t>Raheem</t>
  </si>
  <si>
    <t>Sterling</t>
  </si>
  <si>
    <t>Thiago</t>
  </si>
  <si>
    <t>Emiliano da Silva</t>
  </si>
  <si>
    <t>T.Silva</t>
  </si>
  <si>
    <t>Axel</t>
  </si>
  <si>
    <t>Disasi</t>
  </si>
  <si>
    <t>Joachim</t>
  </si>
  <si>
    <t>Andersen</t>
  </si>
  <si>
    <t>Jordan</t>
  </si>
  <si>
    <t>Ayew</t>
  </si>
  <si>
    <t>J.Ayew</t>
  </si>
  <si>
    <t>Eberechi</t>
  </si>
  <si>
    <t>Eze</t>
  </si>
  <si>
    <t>Sam</t>
  </si>
  <si>
    <t>Johnstone</t>
  </si>
  <si>
    <t>Jefferson</t>
  </si>
  <si>
    <t>Lerma Solís</t>
  </si>
  <si>
    <t>Lerma</t>
  </si>
  <si>
    <t>Jean-Philippe</t>
  </si>
  <si>
    <t>Mateta</t>
  </si>
  <si>
    <t>Tyrick</t>
  </si>
  <si>
    <t>Mitchell</t>
  </si>
  <si>
    <t>Joel</t>
  </si>
  <si>
    <t>Ward</t>
  </si>
  <si>
    <t>Jarrad</t>
  </si>
  <si>
    <t>Branthwaite</t>
  </si>
  <si>
    <t>Abdoulaye</t>
  </si>
  <si>
    <t>Doucouré</t>
  </si>
  <si>
    <t>A.Doucoure</t>
  </si>
  <si>
    <t>James</t>
  </si>
  <si>
    <t>Garner</t>
  </si>
  <si>
    <t>Dwight</t>
  </si>
  <si>
    <t>McNeil</t>
  </si>
  <si>
    <t>Amadou</t>
  </si>
  <si>
    <t>Onana</t>
  </si>
  <si>
    <t>Alex</t>
  </si>
  <si>
    <t>Iwobi</t>
  </si>
  <si>
    <t>Andreas</t>
  </si>
  <si>
    <t>Hoelgebaum Pereira</t>
  </si>
  <si>
    <t>Bobby</t>
  </si>
  <si>
    <t>De Cordova-Reid</t>
  </si>
  <si>
    <t>João</t>
  </si>
  <si>
    <t>Palhinha Gonçalves</t>
  </si>
  <si>
    <t>J.Palhinha</t>
  </si>
  <si>
    <t>Antonee</t>
  </si>
  <si>
    <t>Robinson</t>
  </si>
  <si>
    <t>Harry</t>
  </si>
  <si>
    <t>Raúl</t>
  </si>
  <si>
    <t>Jiménez</t>
  </si>
  <si>
    <t>Calvin</t>
  </si>
  <si>
    <t>Bassey</t>
  </si>
  <si>
    <t>Timothy</t>
  </si>
  <si>
    <t>Castagne</t>
  </si>
  <si>
    <t>Trent</t>
  </si>
  <si>
    <t>Alexander-Arnold</t>
  </si>
  <si>
    <t>Alisson</t>
  </si>
  <si>
    <t>Ramses Becker</t>
  </si>
  <si>
    <t>A.Becker</t>
  </si>
  <si>
    <t>Diogo</t>
  </si>
  <si>
    <t>Harvey</t>
  </si>
  <si>
    <t>Elliott</t>
  </si>
  <si>
    <t>Cody</t>
  </si>
  <si>
    <t>Gakpo</t>
  </si>
  <si>
    <t>Joe</t>
  </si>
  <si>
    <t>Gomez</t>
  </si>
  <si>
    <t>Ibrahima</t>
  </si>
  <si>
    <t>Konaté</t>
  </si>
  <si>
    <t>Luis</t>
  </si>
  <si>
    <t>Díaz</t>
  </si>
  <si>
    <t>Luis Díaz</t>
  </si>
  <si>
    <t>Alexis</t>
  </si>
  <si>
    <t>Mac Allister</t>
  </si>
  <si>
    <t>Dominik</t>
  </si>
  <si>
    <t>Szoboszlai</t>
  </si>
  <si>
    <t>Virgil</t>
  </si>
  <si>
    <t>van Dijk</t>
  </si>
  <si>
    <t>Elijah</t>
  </si>
  <si>
    <t>Adebayo</t>
  </si>
  <si>
    <t>Alfie</t>
  </si>
  <si>
    <t>Doughty</t>
  </si>
  <si>
    <t>Chiedozie</t>
  </si>
  <si>
    <t>Ogbene</t>
  </si>
  <si>
    <t>Ross</t>
  </si>
  <si>
    <t>Barkley</t>
  </si>
  <si>
    <t>Manuel</t>
  </si>
  <si>
    <t>Akanji</t>
  </si>
  <si>
    <t>Nathan</t>
  </si>
  <si>
    <t>Aké</t>
  </si>
  <si>
    <t>Julián</t>
  </si>
  <si>
    <t>Álvarez</t>
  </si>
  <si>
    <t>J.Alvarez</t>
  </si>
  <si>
    <t>Bernardo</t>
  </si>
  <si>
    <t>Veiga de Carvalho e Silva</t>
  </si>
  <si>
    <t>Rúben</t>
  </si>
  <si>
    <t>Gato Alves Dias</t>
  </si>
  <si>
    <t>Rodrigo</t>
  </si>
  <si>
    <t>Hernandez</t>
  </si>
  <si>
    <t>Kyle</t>
  </si>
  <si>
    <t>Walker</t>
  </si>
  <si>
    <t>Bruno</t>
  </si>
  <si>
    <t>Borges Fernandes</t>
  </si>
  <si>
    <t>B.Fernandes</t>
  </si>
  <si>
    <t>Dalot Teixeira</t>
  </si>
  <si>
    <t>Dalot</t>
  </si>
  <si>
    <t>Alejandro</t>
  </si>
  <si>
    <t>Garnacho</t>
  </si>
  <si>
    <t>Victor</t>
  </si>
  <si>
    <t>Lindelöf</t>
  </si>
  <si>
    <t>Lindelof</t>
  </si>
  <si>
    <t>Raphaël</t>
  </si>
  <si>
    <t>Varane</t>
  </si>
  <si>
    <t>R.Varane</t>
  </si>
  <si>
    <t>Rashford</t>
  </si>
  <si>
    <t>Jonny</t>
  </si>
  <si>
    <t>Evans</t>
  </si>
  <si>
    <t>Guimarães Rodriguez Moura</t>
  </si>
  <si>
    <t>Bruno G.</t>
  </si>
  <si>
    <t>Dan</t>
  </si>
  <si>
    <t>Burn</t>
  </si>
  <si>
    <t>Anthony</t>
  </si>
  <si>
    <t>Gordon</t>
  </si>
  <si>
    <t>Sean</t>
  </si>
  <si>
    <t>Longstaff</t>
  </si>
  <si>
    <t>Fabian</t>
  </si>
  <si>
    <t>Schär</t>
  </si>
  <si>
    <t>Kieran</t>
  </si>
  <si>
    <t>Trippier</t>
  </si>
  <si>
    <t>Morgan</t>
  </si>
  <si>
    <t>Gibbs-White</t>
  </si>
  <si>
    <t>Chris</t>
  </si>
  <si>
    <t>Wood</t>
  </si>
  <si>
    <t>Cameron</t>
  </si>
  <si>
    <t>Archer</t>
  </si>
  <si>
    <t>Gustavo</t>
  </si>
  <si>
    <t>Hamer</t>
  </si>
  <si>
    <t>Brennan</t>
  </si>
  <si>
    <t>Johnson</t>
  </si>
  <si>
    <t>Dejan</t>
  </si>
  <si>
    <t>Kulusevski</t>
  </si>
  <si>
    <t>Maddison</t>
  </si>
  <si>
    <t>Pedro</t>
  </si>
  <si>
    <t>Porro</t>
  </si>
  <si>
    <t>Pedro Porro</t>
  </si>
  <si>
    <t>Richarlison</t>
  </si>
  <si>
    <t>de Andrade</t>
  </si>
  <si>
    <t>Cristian</t>
  </si>
  <si>
    <t>Romero</t>
  </si>
  <si>
    <t>Pape Matar</t>
  </si>
  <si>
    <t>Sarr</t>
  </si>
  <si>
    <t>Son</t>
  </si>
  <si>
    <t>Heung-min</t>
  </si>
  <si>
    <t>Destiny</t>
  </si>
  <si>
    <t>Udogie</t>
  </si>
  <si>
    <t>Jarrod</t>
  </si>
  <si>
    <t>Bowen</t>
  </si>
  <si>
    <t>Vladimír</t>
  </si>
  <si>
    <t>Coufal</t>
  </si>
  <si>
    <t>Emerson</t>
  </si>
  <si>
    <t>Palmieri dos Santos</t>
  </si>
  <si>
    <t>Lucas</t>
  </si>
  <si>
    <t>Tolentino Coelho de Lima</t>
  </si>
  <si>
    <t>L.Paquetá</t>
  </si>
  <si>
    <t>Tomáš</t>
  </si>
  <si>
    <t>Souček</t>
  </si>
  <si>
    <t>Kurt</t>
  </si>
  <si>
    <t>Zouma</t>
  </si>
  <si>
    <t>Edson</t>
  </si>
  <si>
    <t>Álvarez Velázquez</t>
  </si>
  <si>
    <t>Ward-Prowse</t>
  </si>
  <si>
    <t>Mohammed</t>
  </si>
  <si>
    <t>Kudus</t>
  </si>
  <si>
    <t>Rayan</t>
  </si>
  <si>
    <t>Aït-Nouri</t>
  </si>
  <si>
    <t>Craig</t>
  </si>
  <si>
    <t>Dawson</t>
  </si>
  <si>
    <t>Hwang</t>
  </si>
  <si>
    <t>Hee-chan</t>
  </si>
  <si>
    <t>Hee Chan</t>
  </si>
  <si>
    <t>João Victor</t>
  </si>
  <si>
    <t>Gomes da Silva</t>
  </si>
  <si>
    <t>João Gomes</t>
  </si>
  <si>
    <t>Max</t>
  </si>
  <si>
    <t>Kilman</t>
  </si>
  <si>
    <t>Mario</t>
  </si>
  <si>
    <t>Lemina</t>
  </si>
  <si>
    <t>Mario Jr.</t>
  </si>
  <si>
    <t>Pablo</t>
  </si>
  <si>
    <t>Sarabia</t>
  </si>
  <si>
    <t>Nélson</t>
  </si>
  <si>
    <t>Cabral Semedo</t>
  </si>
  <si>
    <t>N.Semedo</t>
  </si>
  <si>
    <t>Toti António</t>
  </si>
  <si>
    <t>Gomes</t>
  </si>
  <si>
    <t>Toti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</si>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</sst>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135" totalsRowShown="0">
  <autoFilter ref="A1:AJ135" xr:uid="{00000000-0009-0000-0100-000001000000}">
    <filterColumn colId="35">
      <filters>
        <filter val="1"/>
      </filters>
    </filterColumn>
  </autoFilter>
  <sortState xmlns:xlrd2="http://schemas.microsoft.com/office/spreadsheetml/2017/richdata2" ref="A2:AJ133">
    <sortCondition descending="1" ref="AH1:AH135"/>
  </sortState>
  <tableColumns count="36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5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5" max="8" width="0" hidden="1" customWidth="1"/>
    <col min="10" max="32" width="0" hidden="1" customWidth="1"/>
  </cols>
  <sheetData>
    <row r="1" spans="1:40" x14ac:dyDescent="0.2">
      <c r="A1" t="s">
        <v>26</v>
      </c>
      <c r="B1" t="s">
        <v>27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30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</row>
    <row r="2" spans="1:40" x14ac:dyDescent="0.2">
      <c r="A2" t="s">
        <v>44</v>
      </c>
      <c r="B2" t="s">
        <v>45</v>
      </c>
      <c r="C2" s="1" t="s">
        <v>45</v>
      </c>
      <c r="D2" t="s">
        <v>3</v>
      </c>
      <c r="E2">
        <v>0</v>
      </c>
      <c r="F2">
        <v>1</v>
      </c>
      <c r="G2">
        <v>0</v>
      </c>
      <c r="H2">
        <v>0</v>
      </c>
      <c r="I2" t="s">
        <v>6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23</v>
      </c>
      <c r="AE2">
        <v>31.210199918506259</v>
      </c>
      <c r="AF2">
        <v>24.124415933336859</v>
      </c>
      <c r="AG2">
        <f>38.9978554544257*1</f>
        <v>38.997855454425697</v>
      </c>
      <c r="AH2">
        <f>8.09538848540695*1</f>
        <v>8.09538848540695</v>
      </c>
      <c r="AI2">
        <v>1</v>
      </c>
      <c r="AJ2">
        <v>1</v>
      </c>
      <c r="AL2" t="s">
        <v>0</v>
      </c>
      <c r="AM2">
        <f>SUMPRODUCT(Table1[Selected], Table1[PP])</f>
        <v>401.99569881411901</v>
      </c>
      <c r="AN2" t="s">
        <v>1</v>
      </c>
    </row>
    <row r="3" spans="1:40" hidden="1" x14ac:dyDescent="0.2">
      <c r="A3" t="s">
        <v>40</v>
      </c>
      <c r="B3" t="s">
        <v>41</v>
      </c>
      <c r="C3" t="s">
        <v>41</v>
      </c>
      <c r="D3" t="s">
        <v>4</v>
      </c>
      <c r="E3">
        <v>0</v>
      </c>
      <c r="F3">
        <v>0</v>
      </c>
      <c r="G3">
        <v>1</v>
      </c>
      <c r="H3">
        <v>0</v>
      </c>
      <c r="I3" t="s">
        <v>6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5</v>
      </c>
      <c r="AE3">
        <v>20.313047608557849</v>
      </c>
      <c r="AF3">
        <v>17.84695908287717</v>
      </c>
      <c r="AG3">
        <f>25.381615514987*1</f>
        <v>25.381615514987001</v>
      </c>
      <c r="AH3">
        <f>4.15251198765596*1</f>
        <v>4.1525119876559602</v>
      </c>
      <c r="AI3">
        <v>1</v>
      </c>
      <c r="AJ3">
        <v>0</v>
      </c>
    </row>
    <row r="4" spans="1:40" x14ac:dyDescent="0.2">
      <c r="A4" t="s">
        <v>317</v>
      </c>
      <c r="B4" t="s">
        <v>318</v>
      </c>
      <c r="C4" s="1" t="s">
        <v>318</v>
      </c>
      <c r="D4" t="s">
        <v>4</v>
      </c>
      <c r="E4">
        <v>0</v>
      </c>
      <c r="F4">
        <v>0</v>
      </c>
      <c r="G4">
        <v>1</v>
      </c>
      <c r="H4">
        <v>0</v>
      </c>
      <c r="I4" t="s">
        <v>25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820</v>
      </c>
      <c r="AE4">
        <v>31.677009538255131</v>
      </c>
      <c r="AF4">
        <v>17.42621154925618</v>
      </c>
      <c r="AG4">
        <f>30.4699904097342*1</f>
        <v>30.469990409734201</v>
      </c>
      <c r="AH4">
        <f>6.47409179203542*1</f>
        <v>6.47409179203542</v>
      </c>
      <c r="AI4">
        <v>1</v>
      </c>
      <c r="AJ4">
        <v>1</v>
      </c>
      <c r="AL4" t="s">
        <v>2</v>
      </c>
      <c r="AM4">
        <f>SUMPRODUCT(Table1[Selected],Table1[GKP])</f>
        <v>2</v>
      </c>
      <c r="AN4">
        <v>2</v>
      </c>
    </row>
    <row r="5" spans="1:40" x14ac:dyDescent="0.2">
      <c r="A5" t="s">
        <v>38</v>
      </c>
      <c r="B5" t="s">
        <v>39</v>
      </c>
      <c r="C5" s="1" t="s">
        <v>38</v>
      </c>
      <c r="D5" t="s">
        <v>3</v>
      </c>
      <c r="E5">
        <v>0</v>
      </c>
      <c r="F5">
        <v>1</v>
      </c>
      <c r="G5">
        <v>0</v>
      </c>
      <c r="H5">
        <v>0</v>
      </c>
      <c r="I5" t="s">
        <v>6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4</v>
      </c>
      <c r="AE5">
        <v>23.523088416581039</v>
      </c>
      <c r="AF5">
        <v>20.206726895138129</v>
      </c>
      <c r="AG5">
        <f>29.3926345972412*1</f>
        <v>29.392634597241202</v>
      </c>
      <c r="AH5">
        <f>6.10978175559095*1</f>
        <v>6.1097817555909497</v>
      </c>
      <c r="AI5">
        <v>1</v>
      </c>
      <c r="AJ5">
        <v>1</v>
      </c>
      <c r="AL5" t="s">
        <v>3</v>
      </c>
      <c r="AM5">
        <f>SUMPRODUCT(Table1[Selected],Table1[DEF])</f>
        <v>5</v>
      </c>
      <c r="AN5">
        <v>5</v>
      </c>
    </row>
    <row r="6" spans="1:40" hidden="1" x14ac:dyDescent="0.2">
      <c r="A6" t="s">
        <v>46</v>
      </c>
      <c r="B6" t="s">
        <v>47</v>
      </c>
      <c r="C6" t="s">
        <v>47</v>
      </c>
      <c r="D6" t="s">
        <v>4</v>
      </c>
      <c r="E6">
        <v>0</v>
      </c>
      <c r="F6">
        <v>0</v>
      </c>
      <c r="G6">
        <v>1</v>
      </c>
      <c r="H6">
        <v>0</v>
      </c>
      <c r="I6" t="s">
        <v>7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39</v>
      </c>
      <c r="AE6">
        <v>24.003856240536539</v>
      </c>
      <c r="AF6">
        <v>14.04113411517026</v>
      </c>
      <c r="AG6">
        <f>25.1971283135405*1</f>
        <v>25.1971283135405</v>
      </c>
      <c r="AH6">
        <f>6.61620697681946*1</f>
        <v>6.61620697681946</v>
      </c>
      <c r="AI6">
        <v>1</v>
      </c>
      <c r="AJ6">
        <v>0</v>
      </c>
      <c r="AL6" t="s">
        <v>4</v>
      </c>
      <c r="AM6">
        <f>SUMPRODUCT(Table1[Selected],Table1[MID])</f>
        <v>5</v>
      </c>
      <c r="AN6">
        <v>5</v>
      </c>
    </row>
    <row r="7" spans="1:40" hidden="1" x14ac:dyDescent="0.2">
      <c r="A7" t="s">
        <v>48</v>
      </c>
      <c r="B7" t="s">
        <v>49</v>
      </c>
      <c r="C7" t="s">
        <v>48</v>
      </c>
      <c r="D7" t="s">
        <v>4</v>
      </c>
      <c r="E7">
        <v>0</v>
      </c>
      <c r="F7">
        <v>0</v>
      </c>
      <c r="G7">
        <v>1</v>
      </c>
      <c r="H7">
        <v>0</v>
      </c>
      <c r="I7" t="s">
        <v>7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48</v>
      </c>
      <c r="AE7">
        <v>23.864215254143001</v>
      </c>
      <c r="AF7">
        <v>12.32267184278437</v>
      </c>
      <c r="AG7">
        <f>25.0505455388093*1</f>
        <v>25.050545538809299</v>
      </c>
      <c r="AH7">
        <f>5.2761977166107*1</f>
        <v>5.2761977166107004</v>
      </c>
      <c r="AI7">
        <v>1</v>
      </c>
      <c r="AJ7">
        <v>0</v>
      </c>
      <c r="AL7" t="s">
        <v>5</v>
      </c>
      <c r="AM7">
        <f>SUMPRODUCT(Table1[Selected],Table1[FWD])</f>
        <v>3</v>
      </c>
      <c r="AN7">
        <v>3</v>
      </c>
    </row>
    <row r="8" spans="1:40" hidden="1" x14ac:dyDescent="0.2">
      <c r="A8" t="s">
        <v>50</v>
      </c>
      <c r="B8" t="s">
        <v>51</v>
      </c>
      <c r="C8" t="s">
        <v>52</v>
      </c>
      <c r="D8" t="s">
        <v>3</v>
      </c>
      <c r="E8">
        <v>0</v>
      </c>
      <c r="F8">
        <v>1</v>
      </c>
      <c r="G8">
        <v>0</v>
      </c>
      <c r="H8">
        <v>0</v>
      </c>
      <c r="I8" t="s">
        <v>7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53</v>
      </c>
      <c r="AE8">
        <v>14.32885906040269</v>
      </c>
      <c r="AF8">
        <v>4.8675815861679732</v>
      </c>
      <c r="AG8">
        <f>15.041170748302*1</f>
        <v>15.041170748301999</v>
      </c>
      <c r="AH8">
        <f>3.0082341496604*1</f>
        <v>3.0082341496603999</v>
      </c>
      <c r="AI8">
        <v>1</v>
      </c>
      <c r="AJ8">
        <v>0</v>
      </c>
    </row>
    <row r="9" spans="1:40" x14ac:dyDescent="0.2">
      <c r="A9" t="s">
        <v>38</v>
      </c>
      <c r="B9" t="s">
        <v>42</v>
      </c>
      <c r="C9" s="1" t="s">
        <v>43</v>
      </c>
      <c r="D9" t="s">
        <v>4</v>
      </c>
      <c r="E9">
        <v>0</v>
      </c>
      <c r="F9">
        <v>0</v>
      </c>
      <c r="G9">
        <v>1</v>
      </c>
      <c r="H9">
        <v>0</v>
      </c>
      <c r="I9" t="s">
        <v>6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10</v>
      </c>
      <c r="AE9">
        <v>29.3</v>
      </c>
      <c r="AF9">
        <v>26.320357867927601</v>
      </c>
      <c r="AG9">
        <f>36.611017161*1</f>
        <v>36.611017160999999</v>
      </c>
      <c r="AH9">
        <f>6.1018361935*1</f>
        <v>6.1018361934999996</v>
      </c>
      <c r="AI9">
        <v>1</v>
      </c>
      <c r="AJ9">
        <v>1</v>
      </c>
    </row>
    <row r="10" spans="1:40" hidden="1" x14ac:dyDescent="0.2">
      <c r="A10" t="s">
        <v>56</v>
      </c>
      <c r="B10" t="s">
        <v>57</v>
      </c>
      <c r="C10" t="s">
        <v>57</v>
      </c>
      <c r="D10" t="s">
        <v>4</v>
      </c>
      <c r="E10">
        <v>0</v>
      </c>
      <c r="F10">
        <v>0</v>
      </c>
      <c r="G10">
        <v>1</v>
      </c>
      <c r="H10">
        <v>0</v>
      </c>
      <c r="I10" t="s">
        <v>7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55</v>
      </c>
      <c r="AE10">
        <v>15.22580645161289</v>
      </c>
      <c r="AF10">
        <v>12.585121524517911</v>
      </c>
      <c r="AG10">
        <f>15.9827069031741*1</f>
        <v>15.982706903174099</v>
      </c>
      <c r="AH10">
        <f>3.19654138063483*1</f>
        <v>3.1965413806348302</v>
      </c>
      <c r="AI10">
        <v>1</v>
      </c>
      <c r="AJ10">
        <v>0</v>
      </c>
    </row>
    <row r="11" spans="1:40" hidden="1" x14ac:dyDescent="0.2">
      <c r="A11" t="s">
        <v>60</v>
      </c>
      <c r="B11" t="s">
        <v>61</v>
      </c>
      <c r="C11" t="s">
        <v>60</v>
      </c>
      <c r="D11" t="s">
        <v>3</v>
      </c>
      <c r="E11">
        <v>0</v>
      </c>
      <c r="F11">
        <v>1</v>
      </c>
      <c r="G11">
        <v>0</v>
      </c>
      <c r="H11">
        <v>0</v>
      </c>
      <c r="I11" t="s">
        <v>7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66</v>
      </c>
      <c r="AE11">
        <v>15.65217391304348</v>
      </c>
      <c r="AF11">
        <v>11.818302914090919</v>
      </c>
      <c r="AG11">
        <f>16.4302698083478*1</f>
        <v>16.430269808347798</v>
      </c>
      <c r="AH11">
        <f>3.28605396166956*1</f>
        <v>3.2860539616695599</v>
      </c>
      <c r="AI11">
        <v>1</v>
      </c>
      <c r="AJ11">
        <v>0</v>
      </c>
    </row>
    <row r="12" spans="1:40" hidden="1" x14ac:dyDescent="0.2">
      <c r="A12" t="s">
        <v>62</v>
      </c>
      <c r="B12" t="s">
        <v>63</v>
      </c>
      <c r="C12" t="s">
        <v>63</v>
      </c>
      <c r="D12" t="s">
        <v>4</v>
      </c>
      <c r="E12">
        <v>0</v>
      </c>
      <c r="F12">
        <v>0</v>
      </c>
      <c r="G12">
        <v>1</v>
      </c>
      <c r="H12">
        <v>0</v>
      </c>
      <c r="I12" t="s">
        <v>7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67</v>
      </c>
      <c r="AE12">
        <v>19.333333333333329</v>
      </c>
      <c r="AF12">
        <v>21.348632839678132</v>
      </c>
      <c r="AG12">
        <f>20.2944258558666*1</f>
        <v>20.294425855866599</v>
      </c>
      <c r="AH12">
        <f>4.05888517117333*1</f>
        <v>4.0588851711733298</v>
      </c>
      <c r="AI12">
        <v>1</v>
      </c>
      <c r="AJ12">
        <v>0</v>
      </c>
    </row>
    <row r="13" spans="1:40" hidden="1" x14ac:dyDescent="0.2">
      <c r="A13" t="s">
        <v>64</v>
      </c>
      <c r="B13" t="s">
        <v>65</v>
      </c>
      <c r="C13" t="s">
        <v>65</v>
      </c>
      <c r="D13" t="s">
        <v>4</v>
      </c>
      <c r="E13">
        <v>0</v>
      </c>
      <c r="F13">
        <v>0</v>
      </c>
      <c r="G13">
        <v>1</v>
      </c>
      <c r="H13">
        <v>0</v>
      </c>
      <c r="I13" t="s">
        <v>8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82</v>
      </c>
      <c r="AE13">
        <v>12.620689655172409</v>
      </c>
      <c r="AF13">
        <v>14.157112679070041</v>
      </c>
      <c r="AG13">
        <f>13.8174159300778*1</f>
        <v>13.8174159300778</v>
      </c>
      <c r="AH13">
        <f>2.27131327646077*1</f>
        <v>2.27131327646077</v>
      </c>
      <c r="AI13">
        <v>1</v>
      </c>
      <c r="AJ13">
        <v>0</v>
      </c>
    </row>
    <row r="14" spans="1:40" hidden="1" x14ac:dyDescent="0.2">
      <c r="A14" t="s">
        <v>66</v>
      </c>
      <c r="B14" t="s">
        <v>67</v>
      </c>
      <c r="C14" t="s">
        <v>68</v>
      </c>
      <c r="D14" t="s">
        <v>4</v>
      </c>
      <c r="E14">
        <v>0</v>
      </c>
      <c r="F14">
        <v>0</v>
      </c>
      <c r="G14">
        <v>1</v>
      </c>
      <c r="H14">
        <v>0</v>
      </c>
      <c r="I14" t="s">
        <v>8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83</v>
      </c>
      <c r="AE14">
        <v>11.07692307692308</v>
      </c>
      <c r="AF14">
        <v>8.5052660588058142</v>
      </c>
      <c r="AG14">
        <f>10.8597329648773*1</f>
        <v>10.859732964877301</v>
      </c>
      <c r="AH14">
        <f>1.77810431652206*1</f>
        <v>1.77810431652206</v>
      </c>
      <c r="AI14">
        <v>1</v>
      </c>
      <c r="AJ14">
        <v>0</v>
      </c>
    </row>
    <row r="15" spans="1:40" hidden="1" x14ac:dyDescent="0.2">
      <c r="A15" t="s">
        <v>69</v>
      </c>
      <c r="B15" t="s">
        <v>70</v>
      </c>
      <c r="C15" t="s">
        <v>70</v>
      </c>
      <c r="D15" t="s">
        <v>4</v>
      </c>
      <c r="E15">
        <v>0</v>
      </c>
      <c r="F15">
        <v>0</v>
      </c>
      <c r="G15">
        <v>1</v>
      </c>
      <c r="H15">
        <v>0</v>
      </c>
      <c r="I15" t="s">
        <v>8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89</v>
      </c>
      <c r="AE15">
        <v>16.434782608695649</v>
      </c>
      <c r="AF15">
        <v>19.23136535582961</v>
      </c>
      <c r="AG15">
        <f>18.2504958361476*1</f>
        <v>18.2504958361476</v>
      </c>
      <c r="AH15">
        <f>3.27143769411069*1</f>
        <v>3.27143769411069</v>
      </c>
      <c r="AI15">
        <v>1</v>
      </c>
      <c r="AJ15">
        <v>0</v>
      </c>
    </row>
    <row r="16" spans="1:40" hidden="1" x14ac:dyDescent="0.2">
      <c r="A16" t="s">
        <v>71</v>
      </c>
      <c r="B16" t="s">
        <v>72</v>
      </c>
      <c r="C16" t="s">
        <v>72</v>
      </c>
      <c r="D16" t="s">
        <v>5</v>
      </c>
      <c r="E16">
        <v>0</v>
      </c>
      <c r="F16">
        <v>0</v>
      </c>
      <c r="G16">
        <v>0</v>
      </c>
      <c r="H16">
        <v>1</v>
      </c>
      <c r="I16" t="s">
        <v>8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99</v>
      </c>
      <c r="AE16">
        <v>17.647058823529409</v>
      </c>
      <c r="AF16">
        <v>15.092678035189611</v>
      </c>
      <c r="AG16">
        <f>17.7998337492727*1</f>
        <v>17.7998337492727</v>
      </c>
      <c r="AH16">
        <f>3.16375809392262*1</f>
        <v>3.16375809392262</v>
      </c>
      <c r="AI16">
        <v>1</v>
      </c>
      <c r="AJ16">
        <v>0</v>
      </c>
    </row>
    <row r="17" spans="1:36" hidden="1" x14ac:dyDescent="0.2">
      <c r="A17" t="s">
        <v>73</v>
      </c>
      <c r="B17" t="s">
        <v>74</v>
      </c>
      <c r="C17" t="s">
        <v>74</v>
      </c>
      <c r="D17" t="s">
        <v>3</v>
      </c>
      <c r="E17">
        <v>0</v>
      </c>
      <c r="F17">
        <v>1</v>
      </c>
      <c r="G17">
        <v>0</v>
      </c>
      <c r="H17">
        <v>0</v>
      </c>
      <c r="I17" t="s">
        <v>8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100</v>
      </c>
      <c r="AE17">
        <v>14.756950684106149</v>
      </c>
      <c r="AF17">
        <v>12.139298622053129</v>
      </c>
      <c r="AG17">
        <f>14.7289825242631*1</f>
        <v>14.728982524263101</v>
      </c>
      <c r="AH17">
        <f>2.13779077483707*1</f>
        <v>2.1377907748370699</v>
      </c>
      <c r="AI17">
        <v>1</v>
      </c>
      <c r="AJ17">
        <v>0</v>
      </c>
    </row>
    <row r="18" spans="1:36" hidden="1" x14ac:dyDescent="0.2">
      <c r="A18" t="s">
        <v>75</v>
      </c>
      <c r="B18" t="s">
        <v>76</v>
      </c>
      <c r="C18" t="s">
        <v>76</v>
      </c>
      <c r="D18" t="s">
        <v>3</v>
      </c>
      <c r="E18">
        <v>0</v>
      </c>
      <c r="F18">
        <v>1</v>
      </c>
      <c r="G18">
        <v>0</v>
      </c>
      <c r="H18">
        <v>0</v>
      </c>
      <c r="I18" t="s">
        <v>8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101</v>
      </c>
      <c r="AE18">
        <v>13.90384615384616</v>
      </c>
      <c r="AF18">
        <v>13.2216770770506</v>
      </c>
      <c r="AG18">
        <f>14.4543805296216*1</f>
        <v>14.4543805296216</v>
      </c>
      <c r="AH18">
        <f>2.43558773623995*1</f>
        <v>2.4355877362399498</v>
      </c>
      <c r="AI18">
        <v>1</v>
      </c>
      <c r="AJ18">
        <v>0</v>
      </c>
    </row>
    <row r="19" spans="1:36" hidden="1" x14ac:dyDescent="0.2">
      <c r="A19" t="s">
        <v>77</v>
      </c>
      <c r="B19" t="s">
        <v>78</v>
      </c>
      <c r="C19" t="s">
        <v>78</v>
      </c>
      <c r="D19" t="s">
        <v>4</v>
      </c>
      <c r="E19">
        <v>0</v>
      </c>
      <c r="F19">
        <v>0</v>
      </c>
      <c r="G19">
        <v>1</v>
      </c>
      <c r="H19">
        <v>0</v>
      </c>
      <c r="I19" t="s">
        <v>8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103</v>
      </c>
      <c r="AE19">
        <v>20.914240416197462</v>
      </c>
      <c r="AF19">
        <v>26.949135076226341</v>
      </c>
      <c r="AG19">
        <f>24.0254538535444*1</f>
        <v>24.025453853544398</v>
      </c>
      <c r="AH19">
        <f>3.84880872377307*1</f>
        <v>3.8488087237730699</v>
      </c>
      <c r="AI19">
        <v>1</v>
      </c>
      <c r="AJ19">
        <v>0</v>
      </c>
    </row>
    <row r="20" spans="1:36" hidden="1" x14ac:dyDescent="0.2">
      <c r="A20" t="s">
        <v>79</v>
      </c>
      <c r="B20" t="s">
        <v>80</v>
      </c>
      <c r="C20" t="s">
        <v>80</v>
      </c>
      <c r="D20" t="s">
        <v>3</v>
      </c>
      <c r="E20">
        <v>0</v>
      </c>
      <c r="F20">
        <v>1</v>
      </c>
      <c r="G20">
        <v>0</v>
      </c>
      <c r="H20">
        <v>0</v>
      </c>
      <c r="I20" t="s">
        <v>8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106</v>
      </c>
      <c r="AE20">
        <v>14.73991230008585</v>
      </c>
      <c r="AF20">
        <v>12.83372177071768</v>
      </c>
      <c r="AG20">
        <f>14.9410418958436*1</f>
        <v>14.9410418958436</v>
      </c>
      <c r="AH20">
        <f>2.89089452985644*1</f>
        <v>2.8908945298564399</v>
      </c>
      <c r="AI20">
        <v>1</v>
      </c>
      <c r="AJ20">
        <v>0</v>
      </c>
    </row>
    <row r="21" spans="1:36" hidden="1" x14ac:dyDescent="0.2">
      <c r="A21" t="s">
        <v>81</v>
      </c>
      <c r="B21" t="s">
        <v>82</v>
      </c>
      <c r="C21" t="s">
        <v>82</v>
      </c>
      <c r="D21" t="s">
        <v>3</v>
      </c>
      <c r="E21">
        <v>0</v>
      </c>
      <c r="F21">
        <v>1</v>
      </c>
      <c r="G21">
        <v>0</v>
      </c>
      <c r="H21">
        <v>0</v>
      </c>
      <c r="I21" t="s">
        <v>8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107</v>
      </c>
      <c r="AE21">
        <v>13.09090909090909</v>
      </c>
      <c r="AF21">
        <v>10.727918413646311</v>
      </c>
      <c r="AG21">
        <f>13.0528842137489*1</f>
        <v>13.0528842137489</v>
      </c>
      <c r="AH21">
        <f>2.0319974983425*1</f>
        <v>2.0319974983425002</v>
      </c>
      <c r="AI21">
        <v>1</v>
      </c>
      <c r="AJ21">
        <v>0</v>
      </c>
    </row>
    <row r="22" spans="1:36" hidden="1" x14ac:dyDescent="0.2">
      <c r="A22" t="s">
        <v>83</v>
      </c>
      <c r="B22" t="s">
        <v>84</v>
      </c>
      <c r="C22" t="s">
        <v>84</v>
      </c>
      <c r="D22" t="s">
        <v>3</v>
      </c>
      <c r="E22">
        <v>0</v>
      </c>
      <c r="F22">
        <v>1</v>
      </c>
      <c r="G22">
        <v>0</v>
      </c>
      <c r="H22">
        <v>0</v>
      </c>
      <c r="I22" t="s">
        <v>9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118</v>
      </c>
      <c r="AE22">
        <v>14.444444444444439</v>
      </c>
      <c r="AF22">
        <v>14.95871833042052</v>
      </c>
      <c r="AG22">
        <f>14.9170640890154*1</f>
        <v>14.917064089015399</v>
      </c>
      <c r="AH22">
        <f>3.86191740040456*1</f>
        <v>3.8619174004045602</v>
      </c>
      <c r="AI22">
        <v>1</v>
      </c>
      <c r="AJ22">
        <v>0</v>
      </c>
    </row>
    <row r="23" spans="1:36" hidden="1" x14ac:dyDescent="0.2">
      <c r="A23" t="s">
        <v>85</v>
      </c>
      <c r="B23" t="s">
        <v>86</v>
      </c>
      <c r="C23" t="s">
        <v>86</v>
      </c>
      <c r="D23" t="s">
        <v>4</v>
      </c>
      <c r="E23">
        <v>0</v>
      </c>
      <c r="F23">
        <v>0</v>
      </c>
      <c r="G23">
        <v>1</v>
      </c>
      <c r="H23">
        <v>0</v>
      </c>
      <c r="I23" t="s">
        <v>9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134</v>
      </c>
      <c r="AE23">
        <v>14.718147599258421</v>
      </c>
      <c r="AF23">
        <v>14.36385597579015</v>
      </c>
      <c r="AG23">
        <f>14.5910216245245*1</f>
        <v>14.591021624524499</v>
      </c>
      <c r="AH23">
        <f>2.8995495813459*1</f>
        <v>2.8995495813458998</v>
      </c>
      <c r="AI23">
        <v>1</v>
      </c>
      <c r="AJ23">
        <v>0</v>
      </c>
    </row>
    <row r="24" spans="1:36" hidden="1" x14ac:dyDescent="0.2">
      <c r="A24" t="s">
        <v>87</v>
      </c>
      <c r="B24" t="s">
        <v>88</v>
      </c>
      <c r="C24" t="s">
        <v>88</v>
      </c>
      <c r="D24" t="s">
        <v>4</v>
      </c>
      <c r="E24">
        <v>0</v>
      </c>
      <c r="F24">
        <v>0</v>
      </c>
      <c r="G24">
        <v>1</v>
      </c>
      <c r="H24">
        <v>0</v>
      </c>
      <c r="I24" t="s">
        <v>9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135</v>
      </c>
      <c r="AE24">
        <v>10.3125</v>
      </c>
      <c r="AF24">
        <v>12.48282500541019</v>
      </c>
      <c r="AG24">
        <f>11.8995810732913*1</f>
        <v>11.8995810732913</v>
      </c>
      <c r="AH24">
        <f>2.35700795652225*1</f>
        <v>2.3570079565222501</v>
      </c>
      <c r="AI24">
        <v>1</v>
      </c>
      <c r="AJ24">
        <v>0</v>
      </c>
    </row>
    <row r="25" spans="1:36" hidden="1" x14ac:dyDescent="0.2">
      <c r="A25" t="s">
        <v>89</v>
      </c>
      <c r="B25" t="s">
        <v>90</v>
      </c>
      <c r="C25" t="s">
        <v>90</v>
      </c>
      <c r="D25" t="s">
        <v>4</v>
      </c>
      <c r="E25">
        <v>0</v>
      </c>
      <c r="F25">
        <v>0</v>
      </c>
      <c r="G25">
        <v>1</v>
      </c>
      <c r="H25">
        <v>0</v>
      </c>
      <c r="I25" t="s">
        <v>9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138</v>
      </c>
      <c r="AE25">
        <v>14.48717948717948</v>
      </c>
      <c r="AF25">
        <v>18.724370681189601</v>
      </c>
      <c r="AG25">
        <f>17.5402606413603*1</f>
        <v>17.540260641360302</v>
      </c>
      <c r="AH25">
        <f>3.56077642967504*1</f>
        <v>3.5607764296750402</v>
      </c>
      <c r="AI25">
        <v>1</v>
      </c>
      <c r="AJ25">
        <v>0</v>
      </c>
    </row>
    <row r="26" spans="1:36" hidden="1" x14ac:dyDescent="0.2">
      <c r="A26" t="s">
        <v>91</v>
      </c>
      <c r="B26" t="s">
        <v>92</v>
      </c>
      <c r="C26" t="s">
        <v>92</v>
      </c>
      <c r="D26" t="s">
        <v>3</v>
      </c>
      <c r="E26">
        <v>0</v>
      </c>
      <c r="F26">
        <v>1</v>
      </c>
      <c r="G26">
        <v>0</v>
      </c>
      <c r="H26">
        <v>0</v>
      </c>
      <c r="I26" t="s">
        <v>9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140</v>
      </c>
      <c r="AE26">
        <v>15.370370370370379</v>
      </c>
      <c r="AF26">
        <v>15.71988141922863</v>
      </c>
      <c r="AG26">
        <f>15.7362526482701*1</f>
        <v>15.736252648270099</v>
      </c>
      <c r="AH26">
        <f>3.44636985084586*1</f>
        <v>3.4463698508458598</v>
      </c>
      <c r="AI26">
        <v>1</v>
      </c>
      <c r="AJ26">
        <v>0</v>
      </c>
    </row>
    <row r="27" spans="1:36" hidden="1" x14ac:dyDescent="0.2">
      <c r="A27" t="s">
        <v>93</v>
      </c>
      <c r="B27" t="s">
        <v>94</v>
      </c>
      <c r="C27" t="s">
        <v>95</v>
      </c>
      <c r="D27" t="s">
        <v>3</v>
      </c>
      <c r="E27">
        <v>0</v>
      </c>
      <c r="F27">
        <v>1</v>
      </c>
      <c r="G27">
        <v>0</v>
      </c>
      <c r="H27">
        <v>0</v>
      </c>
      <c r="I27" t="s">
        <v>9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141</v>
      </c>
      <c r="AE27">
        <v>9.7291155908219746</v>
      </c>
      <c r="AF27">
        <v>8.6510353628990444</v>
      </c>
      <c r="AG27">
        <f>9.06023970147992*1</f>
        <v>9.0602397014799205</v>
      </c>
      <c r="AH27">
        <f>2.01479747615797*1</f>
        <v>2.0147974761579701</v>
      </c>
      <c r="AI27">
        <v>1</v>
      </c>
      <c r="AJ27">
        <v>0</v>
      </c>
    </row>
    <row r="28" spans="1:36" hidden="1" x14ac:dyDescent="0.2">
      <c r="A28" t="s">
        <v>96</v>
      </c>
      <c r="B28" t="s">
        <v>97</v>
      </c>
      <c r="C28" t="s">
        <v>97</v>
      </c>
      <c r="D28" t="s">
        <v>5</v>
      </c>
      <c r="E28">
        <v>0</v>
      </c>
      <c r="F28">
        <v>0</v>
      </c>
      <c r="G28">
        <v>0</v>
      </c>
      <c r="H28">
        <v>1</v>
      </c>
      <c r="I28" t="s">
        <v>9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146</v>
      </c>
      <c r="AE28">
        <v>15.67333212025801</v>
      </c>
      <c r="AF28">
        <v>16.440790494387421</v>
      </c>
      <c r="AG28">
        <f>16.3313045632163*1</f>
        <v>16.3313045632163</v>
      </c>
      <c r="AH28">
        <f>2.89032428695159*1</f>
        <v>2.8903242869515902</v>
      </c>
      <c r="AI28">
        <v>1</v>
      </c>
      <c r="AJ28">
        <v>0</v>
      </c>
    </row>
    <row r="29" spans="1:36" hidden="1" x14ac:dyDescent="0.2">
      <c r="A29" t="s">
        <v>98</v>
      </c>
      <c r="B29" t="s">
        <v>99</v>
      </c>
      <c r="C29" t="s">
        <v>99</v>
      </c>
      <c r="D29" t="s">
        <v>4</v>
      </c>
      <c r="E29">
        <v>0</v>
      </c>
      <c r="F29">
        <v>0</v>
      </c>
      <c r="G29">
        <v>1</v>
      </c>
      <c r="H29">
        <v>0</v>
      </c>
      <c r="I29" t="s">
        <v>10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161</v>
      </c>
      <c r="AE29">
        <v>19.22009996930813</v>
      </c>
      <c r="AF29">
        <v>18.20423911575735</v>
      </c>
      <c r="AG29">
        <f>27.414698620939*1</f>
        <v>27.414698620938999</v>
      </c>
      <c r="AH29">
        <f>6.98035787901249*1</f>
        <v>6.9803578790124901</v>
      </c>
      <c r="AI29">
        <v>1</v>
      </c>
      <c r="AJ29">
        <v>0</v>
      </c>
    </row>
    <row r="30" spans="1:36" hidden="1" x14ac:dyDescent="0.2">
      <c r="A30" t="s">
        <v>100</v>
      </c>
      <c r="B30" t="s">
        <v>101</v>
      </c>
      <c r="C30" t="s">
        <v>101</v>
      </c>
      <c r="D30" t="s">
        <v>4</v>
      </c>
      <c r="E30">
        <v>0</v>
      </c>
      <c r="F30">
        <v>0</v>
      </c>
      <c r="G30">
        <v>1</v>
      </c>
      <c r="H30">
        <v>0</v>
      </c>
      <c r="I30" t="s">
        <v>10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164</v>
      </c>
      <c r="AE30">
        <v>11.33333333333333</v>
      </c>
      <c r="AF30">
        <v>11.250130985576551</v>
      </c>
      <c r="AG30">
        <f>16.3776264635948*1</f>
        <v>16.377626463594801</v>
      </c>
      <c r="AH30">
        <f>3.38164043879466*1</f>
        <v>3.3816404387946601</v>
      </c>
      <c r="AI30">
        <v>1</v>
      </c>
      <c r="AJ30">
        <v>0</v>
      </c>
    </row>
    <row r="31" spans="1:36" x14ac:dyDescent="0.2">
      <c r="A31" t="s">
        <v>102</v>
      </c>
      <c r="B31" t="s">
        <v>103</v>
      </c>
      <c r="C31" s="1" t="s">
        <v>104</v>
      </c>
      <c r="D31" t="s">
        <v>4</v>
      </c>
      <c r="E31">
        <v>0</v>
      </c>
      <c r="F31">
        <v>0</v>
      </c>
      <c r="G31">
        <v>1</v>
      </c>
      <c r="H31">
        <v>0</v>
      </c>
      <c r="I31" t="s">
        <v>10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172</v>
      </c>
      <c r="AE31">
        <v>22.76047254596509</v>
      </c>
      <c r="AF31">
        <v>16.135710641622339</v>
      </c>
      <c r="AG31">
        <f>30.2334035031058*1</f>
        <v>30.233403503105801</v>
      </c>
      <c r="AH31">
        <f>5.99584634420606*1</f>
        <v>5.9958463442060603</v>
      </c>
      <c r="AI31">
        <v>1</v>
      </c>
      <c r="AJ31">
        <v>1</v>
      </c>
    </row>
    <row r="32" spans="1:36" hidden="1" x14ac:dyDescent="0.2">
      <c r="A32" t="s">
        <v>105</v>
      </c>
      <c r="B32" t="s">
        <v>106</v>
      </c>
      <c r="C32" s="1" t="s">
        <v>105</v>
      </c>
      <c r="D32" t="s">
        <v>5</v>
      </c>
      <c r="E32">
        <v>0</v>
      </c>
      <c r="F32">
        <v>0</v>
      </c>
      <c r="G32">
        <v>0</v>
      </c>
      <c r="H32">
        <v>1</v>
      </c>
      <c r="I32" t="s">
        <v>10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173</v>
      </c>
      <c r="AE32">
        <v>23.41288861948664</v>
      </c>
      <c r="AF32">
        <v>11.18599999418764</v>
      </c>
      <c r="AG32">
        <f>28.8728296724478*0.25</f>
        <v>7.21820741811195</v>
      </c>
      <c r="AH32">
        <f>3.38583241160975*Table1[[#This Row],[Health]]</f>
        <v>0.8464581029024375</v>
      </c>
      <c r="AI32">
        <v>0.25</v>
      </c>
      <c r="AJ32">
        <v>0</v>
      </c>
    </row>
    <row r="33" spans="1:36" hidden="1" x14ac:dyDescent="0.2">
      <c r="A33" t="s">
        <v>107</v>
      </c>
      <c r="B33" t="s">
        <v>108</v>
      </c>
      <c r="C33" t="s">
        <v>108</v>
      </c>
      <c r="D33" t="s">
        <v>4</v>
      </c>
      <c r="E33">
        <v>0</v>
      </c>
      <c r="F33">
        <v>0</v>
      </c>
      <c r="G33">
        <v>1</v>
      </c>
      <c r="H33">
        <v>0</v>
      </c>
      <c r="I33" t="s">
        <v>10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181</v>
      </c>
      <c r="AE33">
        <v>13.204751290438651</v>
      </c>
      <c r="AF33">
        <v>23.541890723275049</v>
      </c>
      <c r="AG33">
        <f>23.3757312711519*1</f>
        <v>23.375731271151899</v>
      </c>
      <c r="AH33">
        <f>2.76519803805331*1</f>
        <v>2.7651980380533101</v>
      </c>
      <c r="AI33">
        <v>1</v>
      </c>
      <c r="AJ33">
        <v>0</v>
      </c>
    </row>
    <row r="34" spans="1:36" x14ac:dyDescent="0.2">
      <c r="A34" t="s">
        <v>203</v>
      </c>
      <c r="B34" t="s">
        <v>204</v>
      </c>
      <c r="C34" s="1" t="s">
        <v>204</v>
      </c>
      <c r="D34" t="s">
        <v>4</v>
      </c>
      <c r="E34">
        <v>0</v>
      </c>
      <c r="F34">
        <v>0</v>
      </c>
      <c r="G34">
        <v>1</v>
      </c>
      <c r="H34">
        <v>0</v>
      </c>
      <c r="I34" t="s">
        <v>16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434</v>
      </c>
      <c r="AE34">
        <v>23.38876535727892</v>
      </c>
      <c r="AF34">
        <v>27.790485749603249</v>
      </c>
      <c r="AG34">
        <f>27.5441194935858*1</f>
        <v>27.5441194935858</v>
      </c>
      <c r="AH34">
        <f>5.89658804974712*1</f>
        <v>5.8965880497471197</v>
      </c>
      <c r="AI34">
        <v>1</v>
      </c>
      <c r="AJ34">
        <v>1</v>
      </c>
    </row>
    <row r="35" spans="1:36" hidden="1" x14ac:dyDescent="0.2">
      <c r="A35" t="s">
        <v>111</v>
      </c>
      <c r="B35" t="s">
        <v>112</v>
      </c>
      <c r="C35" t="s">
        <v>112</v>
      </c>
      <c r="D35" t="s">
        <v>3</v>
      </c>
      <c r="E35">
        <v>0</v>
      </c>
      <c r="F35">
        <v>1</v>
      </c>
      <c r="G35">
        <v>0</v>
      </c>
      <c r="H35">
        <v>0</v>
      </c>
      <c r="I35" t="s">
        <v>11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223</v>
      </c>
      <c r="AE35">
        <v>8.1730769230769216</v>
      </c>
      <c r="AF35">
        <v>7.139959818164586</v>
      </c>
      <c r="AG35">
        <f>7.5222098480048*1</f>
        <v>7.5222098480047999</v>
      </c>
      <c r="AH35">
        <f>1.50444196960096*1</f>
        <v>1.5044419696009601</v>
      </c>
      <c r="AI35">
        <v>1</v>
      </c>
      <c r="AJ35">
        <v>0</v>
      </c>
    </row>
    <row r="36" spans="1:36" hidden="1" x14ac:dyDescent="0.2">
      <c r="A36" t="s">
        <v>113</v>
      </c>
      <c r="B36" t="s">
        <v>114</v>
      </c>
      <c r="C36" t="s">
        <v>114</v>
      </c>
      <c r="D36" t="s">
        <v>4</v>
      </c>
      <c r="E36">
        <v>0</v>
      </c>
      <c r="F36">
        <v>0</v>
      </c>
      <c r="G36">
        <v>1</v>
      </c>
      <c r="H36">
        <v>0</v>
      </c>
      <c r="I36" t="s">
        <v>11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241</v>
      </c>
      <c r="AE36">
        <v>10.434782608695651</v>
      </c>
      <c r="AF36">
        <v>10.3001490907824</v>
      </c>
      <c r="AG36">
        <f>9.60380346834782*1</f>
        <v>9.6038034683478202</v>
      </c>
      <c r="AH36">
        <f>1.92076069366956*1</f>
        <v>1.92076069366956</v>
      </c>
      <c r="AI36">
        <v>1</v>
      </c>
      <c r="AJ36">
        <v>0</v>
      </c>
    </row>
    <row r="37" spans="1:36" hidden="1" x14ac:dyDescent="0.2">
      <c r="A37" t="s">
        <v>115</v>
      </c>
      <c r="B37" t="s">
        <v>116</v>
      </c>
      <c r="C37" t="s">
        <v>116</v>
      </c>
      <c r="D37" t="s">
        <v>4</v>
      </c>
      <c r="E37">
        <v>0</v>
      </c>
      <c r="F37">
        <v>0</v>
      </c>
      <c r="G37">
        <v>1</v>
      </c>
      <c r="H37">
        <v>0</v>
      </c>
      <c r="I37" t="s">
        <v>11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243</v>
      </c>
      <c r="AE37">
        <v>15.23809523809523</v>
      </c>
      <c r="AF37">
        <v>19.29315787702927</v>
      </c>
      <c r="AG37">
        <f>14.0246018902857*1</f>
        <v>14.0246018902857</v>
      </c>
      <c r="AH37">
        <f>2.80492037805714*1</f>
        <v>2.8049203780571399</v>
      </c>
      <c r="AI37">
        <v>1</v>
      </c>
      <c r="AJ37">
        <v>0</v>
      </c>
    </row>
    <row r="38" spans="1:36" hidden="1" x14ac:dyDescent="0.2">
      <c r="A38" t="s">
        <v>117</v>
      </c>
      <c r="B38" t="s">
        <v>118</v>
      </c>
      <c r="C38" t="s">
        <v>118</v>
      </c>
      <c r="D38" t="s">
        <v>3</v>
      </c>
      <c r="E38">
        <v>0</v>
      </c>
      <c r="F38">
        <v>1</v>
      </c>
      <c r="G38">
        <v>0</v>
      </c>
      <c r="H38">
        <v>0</v>
      </c>
      <c r="I38" t="s">
        <v>12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263</v>
      </c>
      <c r="AE38">
        <v>13.46153846153846</v>
      </c>
      <c r="AF38">
        <v>13.75495523915327</v>
      </c>
      <c r="AG38">
        <f>14.054291099423*1</f>
        <v>14.054291099423001</v>
      </c>
      <c r="AH38">
        <f>2.81085821988461*1</f>
        <v>2.8108582198846102</v>
      </c>
      <c r="AI38">
        <v>1</v>
      </c>
      <c r="AJ38">
        <v>0</v>
      </c>
    </row>
    <row r="39" spans="1:36" hidden="1" x14ac:dyDescent="0.2">
      <c r="A39" t="s">
        <v>119</v>
      </c>
      <c r="B39" t="s">
        <v>120</v>
      </c>
      <c r="C39" t="s">
        <v>119</v>
      </c>
      <c r="D39" t="s">
        <v>4</v>
      </c>
      <c r="E39">
        <v>0</v>
      </c>
      <c r="F39">
        <v>0</v>
      </c>
      <c r="G39">
        <v>1</v>
      </c>
      <c r="H39">
        <v>0</v>
      </c>
      <c r="I39" t="s">
        <v>12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265</v>
      </c>
      <c r="AE39">
        <v>13.29268292682927</v>
      </c>
      <c r="AF39">
        <v>12.37874839395241</v>
      </c>
      <c r="AG39">
        <f>13.8780003399878*1</f>
        <v>13.8780003399878</v>
      </c>
      <c r="AH39">
        <f>2.77560006799756*1</f>
        <v>2.7756000679975599</v>
      </c>
      <c r="AI39">
        <v>1</v>
      </c>
      <c r="AJ39">
        <v>0</v>
      </c>
    </row>
    <row r="40" spans="1:36" hidden="1" x14ac:dyDescent="0.2">
      <c r="A40" t="s">
        <v>121</v>
      </c>
      <c r="B40" t="s">
        <v>122</v>
      </c>
      <c r="C40" t="s">
        <v>122</v>
      </c>
      <c r="D40" t="s">
        <v>4</v>
      </c>
      <c r="E40">
        <v>0</v>
      </c>
      <c r="F40">
        <v>0</v>
      </c>
      <c r="G40">
        <v>1</v>
      </c>
      <c r="H40">
        <v>0</v>
      </c>
      <c r="I40" t="s">
        <v>12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267</v>
      </c>
      <c r="AE40">
        <v>14.917386020072559</v>
      </c>
      <c r="AF40">
        <v>13.20491253427403</v>
      </c>
      <c r="AG40">
        <f>15.5742440708076*1</f>
        <v>15.5742440708076</v>
      </c>
      <c r="AH40">
        <f>3.69513657792911*1</f>
        <v>3.6951365779291101</v>
      </c>
      <c r="AI40">
        <v>1</v>
      </c>
      <c r="AJ40">
        <v>0</v>
      </c>
    </row>
    <row r="41" spans="1:36" hidden="1" x14ac:dyDescent="0.2">
      <c r="A41" t="s">
        <v>123</v>
      </c>
      <c r="B41" t="s">
        <v>124</v>
      </c>
      <c r="C41" t="s">
        <v>124</v>
      </c>
      <c r="D41" t="s">
        <v>3</v>
      </c>
      <c r="E41">
        <v>0</v>
      </c>
      <c r="F41">
        <v>1</v>
      </c>
      <c r="G41">
        <v>0</v>
      </c>
      <c r="H41">
        <v>0</v>
      </c>
      <c r="I41" t="s">
        <v>12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268</v>
      </c>
      <c r="AE41">
        <v>12.857142857142851</v>
      </c>
      <c r="AF41">
        <v>12.416013903150301</v>
      </c>
      <c r="AG41">
        <f>13.4232821112857*1</f>
        <v>13.423282111285699</v>
      </c>
      <c r="AH41">
        <f>2.68465642225714*1</f>
        <v>2.6846564222571399</v>
      </c>
      <c r="AI41">
        <v>1</v>
      </c>
      <c r="AJ41">
        <v>0</v>
      </c>
    </row>
    <row r="42" spans="1:36" hidden="1" x14ac:dyDescent="0.2">
      <c r="A42" t="s">
        <v>125</v>
      </c>
      <c r="B42" t="s">
        <v>126</v>
      </c>
      <c r="C42" t="s">
        <v>126</v>
      </c>
      <c r="D42" t="s">
        <v>4</v>
      </c>
      <c r="E42">
        <v>0</v>
      </c>
      <c r="F42">
        <v>0</v>
      </c>
      <c r="G42">
        <v>1</v>
      </c>
      <c r="H42">
        <v>0</v>
      </c>
      <c r="I42" t="s">
        <v>12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272</v>
      </c>
      <c r="AE42">
        <v>17.869143016220129</v>
      </c>
      <c r="AF42">
        <v>14.116950699031641</v>
      </c>
      <c r="AG42">
        <f>18.6559759395048*1</f>
        <v>18.655975939504799</v>
      </c>
      <c r="AH42">
        <f>3.39112275255218*1</f>
        <v>3.3911227525521799</v>
      </c>
      <c r="AI42">
        <v>1</v>
      </c>
      <c r="AJ42">
        <v>0</v>
      </c>
    </row>
    <row r="43" spans="1:36" hidden="1" x14ac:dyDescent="0.2">
      <c r="A43" t="s">
        <v>127</v>
      </c>
      <c r="B43" t="s">
        <v>128</v>
      </c>
      <c r="C43" t="s">
        <v>129</v>
      </c>
      <c r="D43" t="s">
        <v>5</v>
      </c>
      <c r="E43">
        <v>0</v>
      </c>
      <c r="F43">
        <v>0</v>
      </c>
      <c r="G43">
        <v>0</v>
      </c>
      <c r="H43">
        <v>1</v>
      </c>
      <c r="I43" t="s">
        <v>12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273</v>
      </c>
      <c r="AE43">
        <v>17.8</v>
      </c>
      <c r="AF43">
        <v>18.59604494640466</v>
      </c>
      <c r="AG43">
        <f>18.58378834518*1</f>
        <v>18.58378834518</v>
      </c>
      <c r="AH43">
        <f>3.716757669036*1</f>
        <v>3.7167576690359998</v>
      </c>
      <c r="AI43">
        <v>1</v>
      </c>
      <c r="AJ43">
        <v>0</v>
      </c>
    </row>
    <row r="44" spans="1:36" hidden="1" x14ac:dyDescent="0.2">
      <c r="A44" t="s">
        <v>130</v>
      </c>
      <c r="B44" t="s">
        <v>131</v>
      </c>
      <c r="C44" t="s">
        <v>131</v>
      </c>
      <c r="D44" t="s">
        <v>4</v>
      </c>
      <c r="E44">
        <v>0</v>
      </c>
      <c r="F44">
        <v>0</v>
      </c>
      <c r="G44">
        <v>1</v>
      </c>
      <c r="H44">
        <v>0</v>
      </c>
      <c r="I44" t="s">
        <v>12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278</v>
      </c>
      <c r="AE44">
        <v>19.765775097691769</v>
      </c>
      <c r="AF44">
        <v>26.815041597077052</v>
      </c>
      <c r="AG44">
        <f>20.636122522131*1</f>
        <v>20.636122522131</v>
      </c>
      <c r="AH44">
        <f>3.7706100901245*1</f>
        <v>3.7706100901244999</v>
      </c>
      <c r="AI44">
        <v>1</v>
      </c>
      <c r="AJ44">
        <v>0</v>
      </c>
    </row>
    <row r="45" spans="1:36" hidden="1" x14ac:dyDescent="0.2">
      <c r="A45" t="s">
        <v>132</v>
      </c>
      <c r="B45" t="s">
        <v>133</v>
      </c>
      <c r="C45" t="s">
        <v>134</v>
      </c>
      <c r="D45" t="s">
        <v>3</v>
      </c>
      <c r="E45">
        <v>0</v>
      </c>
      <c r="F45">
        <v>1</v>
      </c>
      <c r="G45">
        <v>0</v>
      </c>
      <c r="H45">
        <v>0</v>
      </c>
      <c r="I45" t="s">
        <v>12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279</v>
      </c>
      <c r="AE45">
        <v>16.602564102564092</v>
      </c>
      <c r="AF45">
        <v>12.4167237472662</v>
      </c>
      <c r="AG45">
        <f>17.3336256892884*1</f>
        <v>17.3336256892884</v>
      </c>
      <c r="AH45">
        <f>3.46672513785769*1</f>
        <v>3.46672513785769</v>
      </c>
      <c r="AI45">
        <v>1</v>
      </c>
      <c r="AJ45">
        <v>0</v>
      </c>
    </row>
    <row r="46" spans="1:36" x14ac:dyDescent="0.2">
      <c r="A46" t="s">
        <v>205</v>
      </c>
      <c r="B46" t="s">
        <v>206</v>
      </c>
      <c r="C46" s="1" t="s">
        <v>205</v>
      </c>
      <c r="D46" t="s">
        <v>3</v>
      </c>
      <c r="E46">
        <v>0</v>
      </c>
      <c r="F46">
        <v>1</v>
      </c>
      <c r="G46">
        <v>0</v>
      </c>
      <c r="H46">
        <v>0</v>
      </c>
      <c r="I46" t="s">
        <v>16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438</v>
      </c>
      <c r="AE46">
        <v>28.311377245508972</v>
      </c>
      <c r="AF46">
        <v>30.03590478020233</v>
      </c>
      <c r="AG46">
        <f>32.1904996057263*1</f>
        <v>32.190499605726302</v>
      </c>
      <c r="AH46">
        <f>5.41635693492409*1</f>
        <v>5.4163569349240896</v>
      </c>
      <c r="AI46">
        <v>1</v>
      </c>
      <c r="AJ46">
        <v>1</v>
      </c>
    </row>
    <row r="47" spans="1:36" hidden="1" x14ac:dyDescent="0.2">
      <c r="A47" t="s">
        <v>135</v>
      </c>
      <c r="B47" t="s">
        <v>136</v>
      </c>
      <c r="C47" t="s">
        <v>136</v>
      </c>
      <c r="D47" t="s">
        <v>3</v>
      </c>
      <c r="E47">
        <v>0</v>
      </c>
      <c r="F47">
        <v>1</v>
      </c>
      <c r="G47">
        <v>0</v>
      </c>
      <c r="H47">
        <v>0</v>
      </c>
      <c r="I47" t="s">
        <v>12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284</v>
      </c>
      <c r="AE47">
        <v>12.88461538461538</v>
      </c>
      <c r="AF47">
        <v>10.051124064743091</v>
      </c>
      <c r="AG47">
        <f>13.4519643380192*1</f>
        <v>13.4519643380192</v>
      </c>
      <c r="AH47">
        <f>2.69039286760384*1</f>
        <v>2.69039286760384</v>
      </c>
      <c r="AI47">
        <v>1</v>
      </c>
      <c r="AJ47">
        <v>0</v>
      </c>
    </row>
    <row r="48" spans="1:36" hidden="1" x14ac:dyDescent="0.2">
      <c r="A48" t="s">
        <v>137</v>
      </c>
      <c r="B48" t="s">
        <v>138</v>
      </c>
      <c r="C48" t="s">
        <v>138</v>
      </c>
      <c r="D48" t="s">
        <v>3</v>
      </c>
      <c r="E48">
        <v>0</v>
      </c>
      <c r="F48">
        <v>1</v>
      </c>
      <c r="G48">
        <v>0</v>
      </c>
      <c r="H48">
        <v>0</v>
      </c>
      <c r="I48" t="s">
        <v>13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306</v>
      </c>
      <c r="AE48">
        <v>17.820521601372558</v>
      </c>
      <c r="AF48">
        <v>18.45411578354776</v>
      </c>
      <c r="AG48">
        <f>17.5013220891226*1</f>
        <v>17.501322089122599</v>
      </c>
      <c r="AH48">
        <f>3.13835207029068*1</f>
        <v>3.1383520702906802</v>
      </c>
      <c r="AI48">
        <v>1</v>
      </c>
      <c r="AJ48">
        <v>0</v>
      </c>
    </row>
    <row r="49" spans="1:36" hidden="1" x14ac:dyDescent="0.2">
      <c r="A49" t="s">
        <v>139</v>
      </c>
      <c r="B49" t="s">
        <v>140</v>
      </c>
      <c r="C49" t="s">
        <v>141</v>
      </c>
      <c r="D49" t="s">
        <v>4</v>
      </c>
      <c r="E49">
        <v>0</v>
      </c>
      <c r="F49">
        <v>0</v>
      </c>
      <c r="G49">
        <v>1</v>
      </c>
      <c r="H49">
        <v>0</v>
      </c>
      <c r="I49" t="s">
        <v>13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307</v>
      </c>
      <c r="AE49">
        <v>17.005524861878438</v>
      </c>
      <c r="AF49">
        <v>14.78467766989699</v>
      </c>
      <c r="AG49">
        <f>16.7009234948204*1</f>
        <v>16.700923494820401</v>
      </c>
      <c r="AH49">
        <f>2.78348724913673*1</f>
        <v>2.78348724913673</v>
      </c>
      <c r="AI49">
        <v>1</v>
      </c>
      <c r="AJ49">
        <v>0</v>
      </c>
    </row>
    <row r="50" spans="1:36" hidden="1" x14ac:dyDescent="0.2">
      <c r="A50" t="s">
        <v>142</v>
      </c>
      <c r="B50" t="s">
        <v>143</v>
      </c>
      <c r="C50" t="s">
        <v>143</v>
      </c>
      <c r="D50" t="s">
        <v>4</v>
      </c>
      <c r="E50">
        <v>0</v>
      </c>
      <c r="F50">
        <v>0</v>
      </c>
      <c r="G50">
        <v>1</v>
      </c>
      <c r="H50">
        <v>0</v>
      </c>
      <c r="I50" t="s">
        <v>13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312</v>
      </c>
      <c r="AE50">
        <v>22.606060606060598</v>
      </c>
      <c r="AF50">
        <v>19.6601682788625</v>
      </c>
      <c r="AG50">
        <f>22.201142967803*1</f>
        <v>22.201142967803001</v>
      </c>
      <c r="AH50">
        <f>3.70019049463383*1</f>
        <v>3.70019049463383</v>
      </c>
      <c r="AI50">
        <v>1</v>
      </c>
      <c r="AJ50">
        <v>0</v>
      </c>
    </row>
    <row r="51" spans="1:36" x14ac:dyDescent="0.2">
      <c r="A51" t="s">
        <v>109</v>
      </c>
      <c r="B51" t="s">
        <v>110</v>
      </c>
      <c r="C51" s="1" t="s">
        <v>110</v>
      </c>
      <c r="D51" t="s">
        <v>5</v>
      </c>
      <c r="E51">
        <v>0</v>
      </c>
      <c r="F51">
        <v>0</v>
      </c>
      <c r="G51">
        <v>0</v>
      </c>
      <c r="H51">
        <v>1</v>
      </c>
      <c r="I51" t="s">
        <v>10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191</v>
      </c>
      <c r="AE51">
        <v>16.238129183296461</v>
      </c>
      <c r="AF51">
        <v>15.345821273357879</v>
      </c>
      <c r="AG51">
        <f>23.1473330627192*1</f>
        <v>23.147333062719198</v>
      </c>
      <c r="AH51">
        <f>5.05605892232797*1</f>
        <v>5.0560589223279697</v>
      </c>
      <c r="AI51">
        <v>1</v>
      </c>
      <c r="AJ51">
        <v>1</v>
      </c>
    </row>
    <row r="52" spans="1:36" hidden="1" x14ac:dyDescent="0.2">
      <c r="A52" t="s">
        <v>146</v>
      </c>
      <c r="B52" t="s">
        <v>147</v>
      </c>
      <c r="C52" t="s">
        <v>148</v>
      </c>
      <c r="D52" t="s">
        <v>4</v>
      </c>
      <c r="E52">
        <v>0</v>
      </c>
      <c r="F52">
        <v>0</v>
      </c>
      <c r="G52">
        <v>1</v>
      </c>
      <c r="H52">
        <v>0</v>
      </c>
      <c r="I52" t="s">
        <v>13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317</v>
      </c>
      <c r="AE52">
        <v>15.69597332081336</v>
      </c>
      <c r="AF52">
        <v>16.922501713724909</v>
      </c>
      <c r="AG52">
        <f>15.4148285181884*1</f>
        <v>15.414828518188401</v>
      </c>
      <c r="AH52">
        <f>2.70128355691298*1</f>
        <v>2.7012835569129798</v>
      </c>
      <c r="AI52">
        <v>1</v>
      </c>
      <c r="AJ52">
        <v>0</v>
      </c>
    </row>
    <row r="53" spans="1:36" hidden="1" x14ac:dyDescent="0.2">
      <c r="A53" t="s">
        <v>149</v>
      </c>
      <c r="B53" t="s">
        <v>150</v>
      </c>
      <c r="C53" t="s">
        <v>150</v>
      </c>
      <c r="D53" t="s">
        <v>5</v>
      </c>
      <c r="E53">
        <v>0</v>
      </c>
      <c r="F53">
        <v>0</v>
      </c>
      <c r="G53">
        <v>0</v>
      </c>
      <c r="H53">
        <v>1</v>
      </c>
      <c r="I53" t="s">
        <v>13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318</v>
      </c>
      <c r="AE53">
        <v>15.03703703703704</v>
      </c>
      <c r="AF53">
        <v>13.124104261271951</v>
      </c>
      <c r="AG53">
        <f>14.7676950393518*1</f>
        <v>14.7676950393518</v>
      </c>
      <c r="AH53">
        <f>2.46128250655864*1</f>
        <v>2.4612825065586401</v>
      </c>
      <c r="AI53">
        <v>1</v>
      </c>
      <c r="AJ53">
        <v>0</v>
      </c>
    </row>
    <row r="54" spans="1:36" hidden="1" x14ac:dyDescent="0.2">
      <c r="A54" t="s">
        <v>151</v>
      </c>
      <c r="B54" t="s">
        <v>152</v>
      </c>
      <c r="C54" t="s">
        <v>152</v>
      </c>
      <c r="D54" t="s">
        <v>3</v>
      </c>
      <c r="E54">
        <v>0</v>
      </c>
      <c r="F54">
        <v>1</v>
      </c>
      <c r="G54">
        <v>0</v>
      </c>
      <c r="H54">
        <v>0</v>
      </c>
      <c r="I54" t="s">
        <v>13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320</v>
      </c>
      <c r="AE54">
        <v>17.19368776184351</v>
      </c>
      <c r="AF54">
        <v>16.181962891460749</v>
      </c>
      <c r="AG54">
        <f>16.8857160385616*1</f>
        <v>16.885716038561601</v>
      </c>
      <c r="AH54">
        <f>2.94081614045296*1</f>
        <v>2.9408161404529598</v>
      </c>
      <c r="AI54">
        <v>1</v>
      </c>
      <c r="AJ54">
        <v>0</v>
      </c>
    </row>
    <row r="55" spans="1:36" hidden="1" x14ac:dyDescent="0.2">
      <c r="A55" t="s">
        <v>153</v>
      </c>
      <c r="B55" t="s">
        <v>154</v>
      </c>
      <c r="C55" t="s">
        <v>154</v>
      </c>
      <c r="D55" t="s">
        <v>3</v>
      </c>
      <c r="E55">
        <v>0</v>
      </c>
      <c r="F55">
        <v>1</v>
      </c>
      <c r="G55">
        <v>0</v>
      </c>
      <c r="H55">
        <v>0</v>
      </c>
      <c r="I55" t="s">
        <v>13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328</v>
      </c>
      <c r="AE55">
        <v>15.96022099940321</v>
      </c>
      <c r="AF55">
        <v>13.50372081429961</v>
      </c>
      <c r="AG55">
        <f>15.6743430171326*1</f>
        <v>15.6743430171326</v>
      </c>
      <c r="AH55">
        <f>2.703311475145*1</f>
        <v>2.703311475145</v>
      </c>
      <c r="AI55">
        <v>1</v>
      </c>
      <c r="AJ55">
        <v>0</v>
      </c>
    </row>
    <row r="56" spans="1:36" hidden="1" x14ac:dyDescent="0.2">
      <c r="A56" t="s">
        <v>155</v>
      </c>
      <c r="B56" t="s">
        <v>156</v>
      </c>
      <c r="C56" t="s">
        <v>156</v>
      </c>
      <c r="D56" t="s">
        <v>3</v>
      </c>
      <c r="E56">
        <v>0</v>
      </c>
      <c r="F56">
        <v>1</v>
      </c>
      <c r="G56">
        <v>0</v>
      </c>
      <c r="H56">
        <v>0</v>
      </c>
      <c r="I56" t="s">
        <v>14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344</v>
      </c>
      <c r="AE56">
        <v>16.166666666666671</v>
      </c>
      <c r="AF56">
        <v>15.38336981216848</v>
      </c>
      <c r="AG56">
        <f>14.7649903590279*1</f>
        <v>14.7649903590279</v>
      </c>
      <c r="AH56">
        <f>2.46083173224805*1</f>
        <v>2.46083173224805</v>
      </c>
      <c r="AI56">
        <v>1</v>
      </c>
      <c r="AJ56">
        <v>0</v>
      </c>
    </row>
    <row r="57" spans="1:36" hidden="1" x14ac:dyDescent="0.2">
      <c r="A57" t="s">
        <v>157</v>
      </c>
      <c r="B57" t="s">
        <v>158</v>
      </c>
      <c r="C57" t="s">
        <v>159</v>
      </c>
      <c r="D57" t="s">
        <v>4</v>
      </c>
      <c r="E57">
        <v>0</v>
      </c>
      <c r="F57">
        <v>0</v>
      </c>
      <c r="G57">
        <v>1</v>
      </c>
      <c r="H57">
        <v>0</v>
      </c>
      <c r="I57" t="s">
        <v>14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348</v>
      </c>
      <c r="AE57">
        <v>17.942668936593108</v>
      </c>
      <c r="AF57">
        <v>15.690080128421711</v>
      </c>
      <c r="AG57">
        <f>16.3870103074588*1</f>
        <v>16.387010307458802</v>
      </c>
      <c r="AH57">
        <f>2.82029020208638*1</f>
        <v>2.82029020208638</v>
      </c>
      <c r="AI57">
        <v>1</v>
      </c>
      <c r="AJ57">
        <v>0</v>
      </c>
    </row>
    <row r="58" spans="1:36" hidden="1" x14ac:dyDescent="0.2">
      <c r="A58" t="s">
        <v>160</v>
      </c>
      <c r="B58" t="s">
        <v>161</v>
      </c>
      <c r="C58" t="s">
        <v>161</v>
      </c>
      <c r="D58" t="s">
        <v>4</v>
      </c>
      <c r="E58">
        <v>0</v>
      </c>
      <c r="F58">
        <v>0</v>
      </c>
      <c r="G58">
        <v>1</v>
      </c>
      <c r="H58">
        <v>0</v>
      </c>
      <c r="I58" t="s">
        <v>14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349</v>
      </c>
      <c r="AE58">
        <v>12.506410109901649</v>
      </c>
      <c r="AF58">
        <v>10.800055342622651</v>
      </c>
      <c r="AG58">
        <f>11.4220839744226*1</f>
        <v>11.4220839744226</v>
      </c>
      <c r="AH58">
        <f>1.88597724294724*1</f>
        <v>1.8859772429472399</v>
      </c>
      <c r="AI58">
        <v>1</v>
      </c>
      <c r="AJ58">
        <v>0</v>
      </c>
    </row>
    <row r="59" spans="1:36" hidden="1" x14ac:dyDescent="0.2">
      <c r="A59" t="s">
        <v>162</v>
      </c>
      <c r="B59" t="s">
        <v>163</v>
      </c>
      <c r="C59" t="s">
        <v>163</v>
      </c>
      <c r="D59" t="s">
        <v>4</v>
      </c>
      <c r="E59">
        <v>0</v>
      </c>
      <c r="F59">
        <v>0</v>
      </c>
      <c r="G59">
        <v>1</v>
      </c>
      <c r="H59">
        <v>0</v>
      </c>
      <c r="I59" t="s">
        <v>14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355</v>
      </c>
      <c r="AE59">
        <v>19.005405405405401</v>
      </c>
      <c r="AF59">
        <v>16.53642591093098</v>
      </c>
      <c r="AG59">
        <f>17.3576057909286*1</f>
        <v>17.357605790928599</v>
      </c>
      <c r="AH59">
        <f>2.89293429516312*1</f>
        <v>2.8929342951631201</v>
      </c>
      <c r="AI59">
        <v>1</v>
      </c>
      <c r="AJ59">
        <v>0</v>
      </c>
    </row>
    <row r="60" spans="1:36" hidden="1" x14ac:dyDescent="0.2">
      <c r="A60" t="s">
        <v>164</v>
      </c>
      <c r="B60" t="s">
        <v>165</v>
      </c>
      <c r="C60" t="s">
        <v>165</v>
      </c>
      <c r="D60" t="s">
        <v>4</v>
      </c>
      <c r="E60">
        <v>0</v>
      </c>
      <c r="F60">
        <v>0</v>
      </c>
      <c r="G60">
        <v>1</v>
      </c>
      <c r="H60">
        <v>0</v>
      </c>
      <c r="I60" t="s">
        <v>14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357</v>
      </c>
      <c r="AE60">
        <v>15.19804245910033</v>
      </c>
      <c r="AF60">
        <v>12.935395710037019</v>
      </c>
      <c r="AG60">
        <f>13.8803474082484*1</f>
        <v>13.880347408248401</v>
      </c>
      <c r="AH60">
        <f>2.95760855290829*1</f>
        <v>2.9576085529082898</v>
      </c>
      <c r="AI60">
        <v>1</v>
      </c>
      <c r="AJ60">
        <v>0</v>
      </c>
    </row>
    <row r="61" spans="1:36" hidden="1" x14ac:dyDescent="0.2">
      <c r="A61" t="s">
        <v>166</v>
      </c>
      <c r="B61" t="s">
        <v>167</v>
      </c>
      <c r="C61" t="s">
        <v>167</v>
      </c>
      <c r="D61" t="s">
        <v>4</v>
      </c>
      <c r="E61">
        <v>0</v>
      </c>
      <c r="F61">
        <v>0</v>
      </c>
      <c r="G61">
        <v>1</v>
      </c>
      <c r="H61">
        <v>0</v>
      </c>
      <c r="I61" t="s">
        <v>15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377</v>
      </c>
      <c r="AE61">
        <v>13.95993906204459</v>
      </c>
      <c r="AF61">
        <v>13.08630375523513</v>
      </c>
      <c r="AG61">
        <f>13.4088519430178*1</f>
        <v>13.408851943017799</v>
      </c>
      <c r="AH61">
        <f>2.78777419890002*1</f>
        <v>2.7877741989000202</v>
      </c>
      <c r="AI61">
        <v>1</v>
      </c>
      <c r="AJ61">
        <v>0</v>
      </c>
    </row>
    <row r="62" spans="1:36" hidden="1" x14ac:dyDescent="0.2">
      <c r="A62" t="s">
        <v>168</v>
      </c>
      <c r="B62" t="s">
        <v>169</v>
      </c>
      <c r="C62" t="s">
        <v>168</v>
      </c>
      <c r="D62" t="s">
        <v>4</v>
      </c>
      <c r="E62">
        <v>0</v>
      </c>
      <c r="F62">
        <v>0</v>
      </c>
      <c r="G62">
        <v>1</v>
      </c>
      <c r="H62">
        <v>0</v>
      </c>
      <c r="I62" t="s">
        <v>15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378</v>
      </c>
      <c r="AE62">
        <v>17.338709677419349</v>
      </c>
      <c r="AF62">
        <v>24.191212326725839</v>
      </c>
      <c r="AG62">
        <f>20.967670267962*1</f>
        <v>20.967670267961999</v>
      </c>
      <c r="AH62">
        <f>4.69485464672922*1</f>
        <v>4.6948546467292198</v>
      </c>
      <c r="AI62">
        <v>1</v>
      </c>
      <c r="AJ62">
        <v>0</v>
      </c>
    </row>
    <row r="63" spans="1:36" hidden="1" x14ac:dyDescent="0.2">
      <c r="A63" t="s">
        <v>170</v>
      </c>
      <c r="B63" t="s">
        <v>171</v>
      </c>
      <c r="C63" t="s">
        <v>171</v>
      </c>
      <c r="D63" t="s">
        <v>4</v>
      </c>
      <c r="E63">
        <v>0</v>
      </c>
      <c r="F63">
        <v>0</v>
      </c>
      <c r="G63">
        <v>1</v>
      </c>
      <c r="H63">
        <v>0</v>
      </c>
      <c r="I63" t="s">
        <v>15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381</v>
      </c>
      <c r="AE63">
        <v>13.78173165617387</v>
      </c>
      <c r="AF63">
        <v>13.12091289342689</v>
      </c>
      <c r="AG63">
        <f>13.3472674209018*1</f>
        <v>13.347267420901799</v>
      </c>
      <c r="AH63">
        <f>2.63358540609576*1</f>
        <v>2.6335854060957602</v>
      </c>
      <c r="AI63">
        <v>1</v>
      </c>
      <c r="AJ63">
        <v>0</v>
      </c>
    </row>
    <row r="64" spans="1:36" hidden="1" x14ac:dyDescent="0.2">
      <c r="A64" t="s">
        <v>172</v>
      </c>
      <c r="B64" t="s">
        <v>173</v>
      </c>
      <c r="C64" t="s">
        <v>174</v>
      </c>
      <c r="D64" t="s">
        <v>4</v>
      </c>
      <c r="E64">
        <v>0</v>
      </c>
      <c r="F64">
        <v>0</v>
      </c>
      <c r="G64">
        <v>1</v>
      </c>
      <c r="H64">
        <v>0</v>
      </c>
      <c r="I64" t="s">
        <v>15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391</v>
      </c>
      <c r="AE64">
        <v>11.56428922055667</v>
      </c>
      <c r="AF64">
        <v>14.80670463891501</v>
      </c>
      <c r="AG64">
        <f>13.2630392323178*1</f>
        <v>13.2630392323178</v>
      </c>
      <c r="AH64">
        <f>2.93363319156512*1</f>
        <v>2.9336331915651201</v>
      </c>
      <c r="AI64">
        <v>1</v>
      </c>
      <c r="AJ64">
        <v>0</v>
      </c>
    </row>
    <row r="65" spans="1:36" hidden="1" x14ac:dyDescent="0.2">
      <c r="A65" t="s">
        <v>175</v>
      </c>
      <c r="B65" t="s">
        <v>176</v>
      </c>
      <c r="C65" t="s">
        <v>176</v>
      </c>
      <c r="D65" t="s">
        <v>3</v>
      </c>
      <c r="E65">
        <v>0</v>
      </c>
      <c r="F65">
        <v>1</v>
      </c>
      <c r="G65">
        <v>0</v>
      </c>
      <c r="H65">
        <v>0</v>
      </c>
      <c r="I65" t="s">
        <v>15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394</v>
      </c>
      <c r="AE65">
        <v>12.80898876404494</v>
      </c>
      <c r="AF65">
        <v>11.637615797299491</v>
      </c>
      <c r="AG65">
        <f>12.1023993766837*1</f>
        <v>12.102399376683699</v>
      </c>
      <c r="AH65">
        <f>3.0668358564945*1</f>
        <v>3.0668358564945</v>
      </c>
      <c r="AI65">
        <v>1</v>
      </c>
      <c r="AJ65">
        <v>0</v>
      </c>
    </row>
    <row r="66" spans="1:36" hidden="1" x14ac:dyDescent="0.2">
      <c r="A66" t="s">
        <v>177</v>
      </c>
      <c r="B66" t="s">
        <v>115</v>
      </c>
      <c r="C66" t="s">
        <v>115</v>
      </c>
      <c r="D66" t="s">
        <v>4</v>
      </c>
      <c r="E66">
        <v>0</v>
      </c>
      <c r="F66">
        <v>0</v>
      </c>
      <c r="G66">
        <v>1</v>
      </c>
      <c r="H66">
        <v>0</v>
      </c>
      <c r="I66" t="s">
        <v>15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399</v>
      </c>
      <c r="AE66">
        <v>13.23529411764706</v>
      </c>
      <c r="AF66">
        <v>10.00936114348915</v>
      </c>
      <c r="AG66">
        <f>11.409888238688*1</f>
        <v>11.409888238688</v>
      </c>
      <c r="AH66">
        <f>2.21139230829315*1</f>
        <v>2.2113923082931501</v>
      </c>
      <c r="AI66">
        <v>1</v>
      </c>
      <c r="AJ66">
        <v>0</v>
      </c>
    </row>
    <row r="67" spans="1:36" hidden="1" x14ac:dyDescent="0.2">
      <c r="A67" t="s">
        <v>178</v>
      </c>
      <c r="B67" t="s">
        <v>179</v>
      </c>
      <c r="C67" t="s">
        <v>178</v>
      </c>
      <c r="D67" t="s">
        <v>5</v>
      </c>
      <c r="E67">
        <v>0</v>
      </c>
      <c r="F67">
        <v>0</v>
      </c>
      <c r="G67">
        <v>0</v>
      </c>
      <c r="H67">
        <v>1</v>
      </c>
      <c r="I67" t="s">
        <v>15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400</v>
      </c>
      <c r="AE67">
        <v>14.48014755367724</v>
      </c>
      <c r="AF67">
        <v>19.742640030065878</v>
      </c>
      <c r="AG67">
        <f>17.2606992838656*1</f>
        <v>17.260699283865598</v>
      </c>
      <c r="AH67">
        <f>3.37867651905057*1</f>
        <v>3.3786765190505701</v>
      </c>
      <c r="AI67">
        <v>1</v>
      </c>
      <c r="AJ67">
        <v>0</v>
      </c>
    </row>
    <row r="68" spans="1:36" hidden="1" x14ac:dyDescent="0.2">
      <c r="A68" t="s">
        <v>180</v>
      </c>
      <c r="B68" t="s">
        <v>181</v>
      </c>
      <c r="C68" t="s">
        <v>181</v>
      </c>
      <c r="D68" t="s">
        <v>3</v>
      </c>
      <c r="E68">
        <v>0</v>
      </c>
      <c r="F68">
        <v>1</v>
      </c>
      <c r="G68">
        <v>0</v>
      </c>
      <c r="H68">
        <v>0</v>
      </c>
      <c r="I68" t="s">
        <v>15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402</v>
      </c>
      <c r="AE68">
        <v>11.19047619047619</v>
      </c>
      <c r="AF68">
        <v>10.01288705216319</v>
      </c>
      <c r="AG68">
        <f>10.4893594107281*1</f>
        <v>10.489359410728101</v>
      </c>
      <c r="AH68">
        <f>2.05610992612713*1</f>
        <v>2.0561099261271298</v>
      </c>
      <c r="AI68">
        <v>1</v>
      </c>
      <c r="AJ68">
        <v>0</v>
      </c>
    </row>
    <row r="69" spans="1:36" hidden="1" x14ac:dyDescent="0.2">
      <c r="A69" t="s">
        <v>182</v>
      </c>
      <c r="B69" t="s">
        <v>183</v>
      </c>
      <c r="C69" t="s">
        <v>183</v>
      </c>
      <c r="D69" t="s">
        <v>3</v>
      </c>
      <c r="E69">
        <v>0</v>
      </c>
      <c r="F69">
        <v>1</v>
      </c>
      <c r="G69">
        <v>0</v>
      </c>
      <c r="H69">
        <v>0</v>
      </c>
      <c r="I69" t="s">
        <v>15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408</v>
      </c>
      <c r="AE69">
        <v>14.733096280645279</v>
      </c>
      <c r="AF69">
        <v>14.7672003540509</v>
      </c>
      <c r="AG69">
        <f>14.6710633719162*1</f>
        <v>14.671063371916199</v>
      </c>
      <c r="AH69">
        <f>2.83507773380565*1</f>
        <v>2.8350777338056501</v>
      </c>
      <c r="AI69">
        <v>1</v>
      </c>
      <c r="AJ69">
        <v>0</v>
      </c>
    </row>
    <row r="70" spans="1:36" hidden="1" x14ac:dyDescent="0.2">
      <c r="A70" t="s">
        <v>184</v>
      </c>
      <c r="B70" t="s">
        <v>185</v>
      </c>
      <c r="C70" t="s">
        <v>185</v>
      </c>
      <c r="D70" t="s">
        <v>3</v>
      </c>
      <c r="E70">
        <v>0</v>
      </c>
      <c r="F70">
        <v>1</v>
      </c>
      <c r="G70">
        <v>0</v>
      </c>
      <c r="H70">
        <v>0</v>
      </c>
      <c r="I70" t="s">
        <v>16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415</v>
      </c>
      <c r="AE70">
        <v>31.575274272963458</v>
      </c>
      <c r="AF70">
        <v>30.206775221020589</v>
      </c>
      <c r="AG70">
        <f>0*0</f>
        <v>0</v>
      </c>
      <c r="AH70">
        <f>5.72280129152951*0</f>
        <v>0</v>
      </c>
      <c r="AI70">
        <v>0</v>
      </c>
      <c r="AJ70">
        <v>0</v>
      </c>
    </row>
    <row r="71" spans="1:36" hidden="1" x14ac:dyDescent="0.2">
      <c r="A71" t="s">
        <v>186</v>
      </c>
      <c r="B71" t="s">
        <v>187</v>
      </c>
      <c r="C71" t="s">
        <v>188</v>
      </c>
      <c r="D71" t="s">
        <v>2</v>
      </c>
      <c r="E71">
        <v>1</v>
      </c>
      <c r="F71">
        <v>0</v>
      </c>
      <c r="G71">
        <v>0</v>
      </c>
      <c r="H71">
        <v>0</v>
      </c>
      <c r="I71" t="s">
        <v>16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416</v>
      </c>
      <c r="AE71">
        <v>26.133890929998479</v>
      </c>
      <c r="AF71">
        <v>25.47110261937906</v>
      </c>
      <c r="AG71">
        <f>0*0</f>
        <v>0</v>
      </c>
      <c r="AH71">
        <f>4.62463502360213*0</f>
        <v>0</v>
      </c>
      <c r="AI71">
        <v>0</v>
      </c>
      <c r="AJ71">
        <v>0</v>
      </c>
    </row>
    <row r="72" spans="1:36" hidden="1" x14ac:dyDescent="0.2">
      <c r="A72" t="s">
        <v>190</v>
      </c>
      <c r="B72" t="s">
        <v>191</v>
      </c>
      <c r="C72" t="s">
        <v>191</v>
      </c>
      <c r="D72" t="s">
        <v>4</v>
      </c>
      <c r="E72">
        <v>0</v>
      </c>
      <c r="F72">
        <v>0</v>
      </c>
      <c r="G72">
        <v>1</v>
      </c>
      <c r="H72">
        <v>0</v>
      </c>
      <c r="I72" t="s">
        <v>16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420</v>
      </c>
      <c r="AE72">
        <v>12.248813705874939</v>
      </c>
      <c r="AF72">
        <v>9.7790225658830927</v>
      </c>
      <c r="AG72">
        <f>12.9001128425977*1</f>
        <v>12.9001128425977</v>
      </c>
      <c r="AH72">
        <f>1.98551518081005*1</f>
        <v>1.98551518081005</v>
      </c>
      <c r="AI72">
        <v>1</v>
      </c>
      <c r="AJ72">
        <v>0</v>
      </c>
    </row>
    <row r="73" spans="1:36" hidden="1" x14ac:dyDescent="0.2">
      <c r="A73" t="s">
        <v>192</v>
      </c>
      <c r="B73" t="s">
        <v>193</v>
      </c>
      <c r="C73" t="s">
        <v>193</v>
      </c>
      <c r="D73" t="s">
        <v>5</v>
      </c>
      <c r="E73">
        <v>0</v>
      </c>
      <c r="F73">
        <v>0</v>
      </c>
      <c r="G73">
        <v>0</v>
      </c>
      <c r="H73">
        <v>1</v>
      </c>
      <c r="I73" t="s">
        <v>16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422</v>
      </c>
      <c r="AE73">
        <v>13.77276878088489</v>
      </c>
      <c r="AF73">
        <v>17.997279024219019</v>
      </c>
      <c r="AG73">
        <f>16.7410361076919*1</f>
        <v>16.741036107691901</v>
      </c>
      <c r="AH73">
        <f>3.52172695588984*1</f>
        <v>3.5217269558898399</v>
      </c>
      <c r="AI73">
        <v>1</v>
      </c>
      <c r="AJ73">
        <v>0</v>
      </c>
    </row>
    <row r="74" spans="1:36" hidden="1" x14ac:dyDescent="0.2">
      <c r="A74" t="s">
        <v>194</v>
      </c>
      <c r="B74" t="s">
        <v>195</v>
      </c>
      <c r="C74" t="s">
        <v>195</v>
      </c>
      <c r="D74" t="s">
        <v>3</v>
      </c>
      <c r="E74">
        <v>0</v>
      </c>
      <c r="F74">
        <v>1</v>
      </c>
      <c r="G74">
        <v>0</v>
      </c>
      <c r="H74">
        <v>0</v>
      </c>
      <c r="I74" t="s">
        <v>16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423</v>
      </c>
      <c r="AE74">
        <v>16.25</v>
      </c>
      <c r="AF74">
        <v>14.19894481991491</v>
      </c>
      <c r="AG74">
        <f>17.5054168253698*1</f>
        <v>17.505416825369799</v>
      </c>
      <c r="AH74">
        <f>2.91930871825523*1</f>
        <v>2.91930871825523</v>
      </c>
      <c r="AI74">
        <v>1</v>
      </c>
      <c r="AJ74">
        <v>0</v>
      </c>
    </row>
    <row r="75" spans="1:36" hidden="1" x14ac:dyDescent="0.2">
      <c r="A75" t="s">
        <v>196</v>
      </c>
      <c r="B75" t="s">
        <v>197</v>
      </c>
      <c r="C75" t="s">
        <v>197</v>
      </c>
      <c r="D75" t="s">
        <v>3</v>
      </c>
      <c r="E75">
        <v>0</v>
      </c>
      <c r="F75">
        <v>1</v>
      </c>
      <c r="G75">
        <v>0</v>
      </c>
      <c r="H75">
        <v>0</v>
      </c>
      <c r="I75" t="s">
        <v>16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427</v>
      </c>
      <c r="AE75">
        <v>17.34782608695652</v>
      </c>
      <c r="AF75">
        <v>16.85875910387437</v>
      </c>
      <c r="AG75">
        <f>19.2311242048277*1</f>
        <v>19.231124204827701</v>
      </c>
      <c r="AH75">
        <f>3.24921383896793*1</f>
        <v>3.2492138389679299</v>
      </c>
      <c r="AI75">
        <v>1</v>
      </c>
      <c r="AJ75">
        <v>0</v>
      </c>
    </row>
    <row r="76" spans="1:36" hidden="1" x14ac:dyDescent="0.2">
      <c r="A76" t="s">
        <v>198</v>
      </c>
      <c r="B76" t="s">
        <v>199</v>
      </c>
      <c r="C76" t="s">
        <v>200</v>
      </c>
      <c r="D76" t="s">
        <v>4</v>
      </c>
      <c r="E76">
        <v>0</v>
      </c>
      <c r="F76">
        <v>0</v>
      </c>
      <c r="G76">
        <v>1</v>
      </c>
      <c r="H76">
        <v>0</v>
      </c>
      <c r="I76" t="s">
        <v>16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428</v>
      </c>
      <c r="AE76">
        <v>22.188679245283019</v>
      </c>
      <c r="AF76">
        <v>19.25515368207671</v>
      </c>
      <c r="AG76">
        <f>23.8604567240565*1</f>
        <v>23.860456724056501</v>
      </c>
      <c r="AH76">
        <f>4.09849777748379*1</f>
        <v>4.0984977774837903</v>
      </c>
      <c r="AI76">
        <v>1</v>
      </c>
      <c r="AJ76">
        <v>0</v>
      </c>
    </row>
    <row r="77" spans="1:36" hidden="1" x14ac:dyDescent="0.2">
      <c r="A77" t="s">
        <v>201</v>
      </c>
      <c r="B77" t="s">
        <v>202</v>
      </c>
      <c r="C77" t="s">
        <v>202</v>
      </c>
      <c r="D77" t="s">
        <v>4</v>
      </c>
      <c r="E77">
        <v>0</v>
      </c>
      <c r="F77">
        <v>0</v>
      </c>
      <c r="G77">
        <v>1</v>
      </c>
      <c r="H77">
        <v>0</v>
      </c>
      <c r="I77" t="s">
        <v>16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429</v>
      </c>
      <c r="AE77">
        <v>17.831517174096291</v>
      </c>
      <c r="AF77">
        <v>16.033833924533869</v>
      </c>
      <c r="AG77">
        <f>19.3537771208854*1</f>
        <v>19.3537771208854</v>
      </c>
      <c r="AH77">
        <f>3.19879049430762*1</f>
        <v>3.19879049430762</v>
      </c>
      <c r="AI77">
        <v>1</v>
      </c>
      <c r="AJ77">
        <v>0</v>
      </c>
    </row>
    <row r="78" spans="1:36" x14ac:dyDescent="0.2">
      <c r="A78" t="s">
        <v>312</v>
      </c>
      <c r="B78" t="s">
        <v>313</v>
      </c>
      <c r="C78" s="1" t="s">
        <v>313</v>
      </c>
      <c r="D78" t="s">
        <v>3</v>
      </c>
      <c r="E78">
        <v>0</v>
      </c>
      <c r="F78">
        <v>1</v>
      </c>
      <c r="G78">
        <v>0</v>
      </c>
      <c r="H78">
        <v>0</v>
      </c>
      <c r="I78" t="s">
        <v>25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814</v>
      </c>
      <c r="AE78">
        <v>17.948275862068961</v>
      </c>
      <c r="AF78">
        <v>20.376744429462899</v>
      </c>
      <c r="AG78">
        <f>23.6976152082454*1</f>
        <v>23.697615208245399</v>
      </c>
      <c r="AH78">
        <f>4.94848893421588*1</f>
        <v>4.94848893421588</v>
      </c>
      <c r="AI78">
        <v>1</v>
      </c>
      <c r="AJ78">
        <v>1</v>
      </c>
    </row>
    <row r="79" spans="1:36" hidden="1" x14ac:dyDescent="0.2">
      <c r="A79" t="s">
        <v>207</v>
      </c>
      <c r="B79" t="s">
        <v>208</v>
      </c>
      <c r="C79" t="s">
        <v>208</v>
      </c>
      <c r="D79" t="s">
        <v>5</v>
      </c>
      <c r="E79">
        <v>0</v>
      </c>
      <c r="F79">
        <v>0</v>
      </c>
      <c r="G79">
        <v>0</v>
      </c>
      <c r="H79">
        <v>1</v>
      </c>
      <c r="I79" t="s">
        <v>17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458</v>
      </c>
      <c r="AE79">
        <v>17.95454545454545</v>
      </c>
      <c r="AF79">
        <v>14.12326927796583</v>
      </c>
      <c r="AG79">
        <f>0*0</f>
        <v>0</v>
      </c>
      <c r="AH79">
        <f>6.00423936245908*0</f>
        <v>0</v>
      </c>
      <c r="AI79">
        <v>0</v>
      </c>
      <c r="AJ79">
        <v>0</v>
      </c>
    </row>
    <row r="80" spans="1:36" x14ac:dyDescent="0.2">
      <c r="A80" t="s">
        <v>300</v>
      </c>
      <c r="B80" t="s">
        <v>301</v>
      </c>
      <c r="C80" s="1" t="s">
        <v>301</v>
      </c>
      <c r="D80" t="s">
        <v>4</v>
      </c>
      <c r="E80">
        <v>0</v>
      </c>
      <c r="F80">
        <v>0</v>
      </c>
      <c r="G80">
        <v>1</v>
      </c>
      <c r="H80">
        <v>0</v>
      </c>
      <c r="I80" t="s">
        <v>24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791</v>
      </c>
      <c r="AE80">
        <v>21.462803829734099</v>
      </c>
      <c r="AF80">
        <v>30.639733176116628</v>
      </c>
      <c r="AG80">
        <f>28.7648481011253*1</f>
        <v>28.764848101125299</v>
      </c>
      <c r="AH80">
        <f>4.57957726017054*1</f>
        <v>4.5795772601705398</v>
      </c>
      <c r="AI80">
        <v>1</v>
      </c>
      <c r="AJ80">
        <v>1</v>
      </c>
    </row>
    <row r="81" spans="1:36" hidden="1" x14ac:dyDescent="0.2">
      <c r="A81" t="s">
        <v>211</v>
      </c>
      <c r="B81" t="s">
        <v>212</v>
      </c>
      <c r="C81" t="s">
        <v>212</v>
      </c>
      <c r="D81" t="s">
        <v>5</v>
      </c>
      <c r="E81">
        <v>0</v>
      </c>
      <c r="F81">
        <v>0</v>
      </c>
      <c r="G81">
        <v>0</v>
      </c>
      <c r="H81">
        <v>1</v>
      </c>
      <c r="I81" t="s">
        <v>17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472</v>
      </c>
      <c r="AE81">
        <v>13.8</v>
      </c>
      <c r="AF81">
        <v>14.03198955561982</v>
      </c>
      <c r="AG81">
        <f>23.07451987902*1</f>
        <v>23.074519879019999</v>
      </c>
      <c r="AH81">
        <f>4.614903975804*1</f>
        <v>4.6149039758040002</v>
      </c>
      <c r="AI81">
        <v>1</v>
      </c>
      <c r="AJ81">
        <v>0</v>
      </c>
    </row>
    <row r="82" spans="1:36" hidden="1" x14ac:dyDescent="0.2">
      <c r="A82" t="s">
        <v>213</v>
      </c>
      <c r="B82" t="s">
        <v>214</v>
      </c>
      <c r="C82" t="s">
        <v>214</v>
      </c>
      <c r="D82" t="s">
        <v>4</v>
      </c>
      <c r="E82">
        <v>0</v>
      </c>
      <c r="F82">
        <v>0</v>
      </c>
      <c r="G82">
        <v>1</v>
      </c>
      <c r="H82">
        <v>0</v>
      </c>
      <c r="I82" t="s">
        <v>17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492</v>
      </c>
      <c r="AE82">
        <v>15.10687383964515</v>
      </c>
      <c r="AF82">
        <v>12.538255360409011</v>
      </c>
      <c r="AG82">
        <f>25.2597000523724*1</f>
        <v>25.259700052372398</v>
      </c>
      <c r="AH82">
        <f>4.84046380742903*1</f>
        <v>4.84046380742903</v>
      </c>
      <c r="AI82">
        <v>1</v>
      </c>
      <c r="AJ82">
        <v>0</v>
      </c>
    </row>
    <row r="83" spans="1:36" hidden="1" x14ac:dyDescent="0.2">
      <c r="A83" t="s">
        <v>215</v>
      </c>
      <c r="B83" t="s">
        <v>216</v>
      </c>
      <c r="C83" t="s">
        <v>216</v>
      </c>
      <c r="D83" t="s">
        <v>3</v>
      </c>
      <c r="E83">
        <v>0</v>
      </c>
      <c r="F83">
        <v>1</v>
      </c>
      <c r="G83">
        <v>0</v>
      </c>
      <c r="H83">
        <v>0</v>
      </c>
      <c r="I83" t="s">
        <v>18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503</v>
      </c>
      <c r="AE83">
        <v>16.630434782608699</v>
      </c>
      <c r="AF83">
        <v>17.563286579843702</v>
      </c>
      <c r="AG83">
        <f>16.2187594168304*1</f>
        <v>16.218759416830402</v>
      </c>
      <c r="AH83">
        <f>3.24375188336608*1</f>
        <v>3.2437518833660799</v>
      </c>
      <c r="AI83">
        <v>1</v>
      </c>
      <c r="AJ83">
        <v>0</v>
      </c>
    </row>
    <row r="84" spans="1:36" hidden="1" x14ac:dyDescent="0.2">
      <c r="A84" t="s">
        <v>217</v>
      </c>
      <c r="B84" t="s">
        <v>218</v>
      </c>
      <c r="C84" t="s">
        <v>218</v>
      </c>
      <c r="D84" t="s">
        <v>3</v>
      </c>
      <c r="E84">
        <v>0</v>
      </c>
      <c r="F84">
        <v>1</v>
      </c>
      <c r="G84">
        <v>0</v>
      </c>
      <c r="H84">
        <v>0</v>
      </c>
      <c r="I84" t="s">
        <v>18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504</v>
      </c>
      <c r="AE84">
        <v>16.36690647482013</v>
      </c>
      <c r="AF84">
        <v>16.127150896061071</v>
      </c>
      <c r="AG84">
        <f>15.9617545772445*1</f>
        <v>15.9617545772445</v>
      </c>
      <c r="AH84">
        <f>3.19235091544891*1</f>
        <v>3.1923509154489098</v>
      </c>
      <c r="AI84">
        <v>1</v>
      </c>
      <c r="AJ84">
        <v>0</v>
      </c>
    </row>
    <row r="85" spans="1:36" hidden="1" x14ac:dyDescent="0.2">
      <c r="A85" t="s">
        <v>219</v>
      </c>
      <c r="B85" t="s">
        <v>220</v>
      </c>
      <c r="C85" t="s">
        <v>221</v>
      </c>
      <c r="D85" t="s">
        <v>5</v>
      </c>
      <c r="E85">
        <v>0</v>
      </c>
      <c r="F85">
        <v>0</v>
      </c>
      <c r="G85">
        <v>0</v>
      </c>
      <c r="H85">
        <v>1</v>
      </c>
      <c r="I85" t="s">
        <v>18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505</v>
      </c>
      <c r="AE85">
        <v>18.839285714285719</v>
      </c>
      <c r="AF85">
        <v>19.261556523466751</v>
      </c>
      <c r="AG85">
        <f>18.3729317109892*1</f>
        <v>18.372931710989199</v>
      </c>
      <c r="AH85">
        <f>3.67458634219785*1</f>
        <v>3.6745863421978502</v>
      </c>
      <c r="AI85">
        <v>1</v>
      </c>
      <c r="AJ85">
        <v>0</v>
      </c>
    </row>
    <row r="86" spans="1:36" hidden="1" x14ac:dyDescent="0.2">
      <c r="A86" t="s">
        <v>222</v>
      </c>
      <c r="B86" t="s">
        <v>223</v>
      </c>
      <c r="C86" t="s">
        <v>222</v>
      </c>
      <c r="D86" t="s">
        <v>4</v>
      </c>
      <c r="E86">
        <v>0</v>
      </c>
      <c r="F86">
        <v>0</v>
      </c>
      <c r="G86">
        <v>1</v>
      </c>
      <c r="H86">
        <v>0</v>
      </c>
      <c r="I86" t="s">
        <v>18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506</v>
      </c>
      <c r="AE86">
        <v>18.63636363636364</v>
      </c>
      <c r="AF86">
        <v>21.901697028221211</v>
      </c>
      <c r="AG86">
        <f>18.175032834309*1</f>
        <v>18.175032834309</v>
      </c>
      <c r="AH86">
        <f>3.63500656686181*1</f>
        <v>3.6350065668618101</v>
      </c>
      <c r="AI86">
        <v>1</v>
      </c>
      <c r="AJ86">
        <v>0</v>
      </c>
    </row>
    <row r="87" spans="1:36" hidden="1" x14ac:dyDescent="0.2">
      <c r="A87" t="s">
        <v>224</v>
      </c>
      <c r="B87" t="s">
        <v>225</v>
      </c>
      <c r="C87" t="s">
        <v>224</v>
      </c>
      <c r="D87" t="s">
        <v>3</v>
      </c>
      <c r="E87">
        <v>0</v>
      </c>
      <c r="F87">
        <v>1</v>
      </c>
      <c r="G87">
        <v>0</v>
      </c>
      <c r="H87">
        <v>0</v>
      </c>
      <c r="I87" t="s">
        <v>18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512</v>
      </c>
      <c r="AE87">
        <v>15.2127659574468</v>
      </c>
      <c r="AF87">
        <v>14.294833193904299</v>
      </c>
      <c r="AG87">
        <f>14.8361840417063*1</f>
        <v>14.8361840417063</v>
      </c>
      <c r="AH87">
        <f>2.96723680834127*1</f>
        <v>2.9672368083412701</v>
      </c>
      <c r="AI87">
        <v>1</v>
      </c>
      <c r="AJ87">
        <v>0</v>
      </c>
    </row>
    <row r="88" spans="1:36" hidden="1" x14ac:dyDescent="0.2">
      <c r="A88" t="s">
        <v>226</v>
      </c>
      <c r="B88" t="s">
        <v>227</v>
      </c>
      <c r="C88" t="s">
        <v>226</v>
      </c>
      <c r="D88" t="s">
        <v>4</v>
      </c>
      <c r="E88">
        <v>0</v>
      </c>
      <c r="F88">
        <v>0</v>
      </c>
      <c r="G88">
        <v>1</v>
      </c>
      <c r="H88">
        <v>0</v>
      </c>
      <c r="I88" t="s">
        <v>18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523</v>
      </c>
      <c r="AE88">
        <v>18.274119483648121</v>
      </c>
      <c r="AF88">
        <v>14.430098399940601</v>
      </c>
      <c r="AG88">
        <f>17.8217557949625*1</f>
        <v>17.821755794962499</v>
      </c>
      <c r="AH88">
        <f>2.7195803169911*1</f>
        <v>2.7195803169911001</v>
      </c>
      <c r="AI88">
        <v>1</v>
      </c>
      <c r="AJ88">
        <v>0</v>
      </c>
    </row>
    <row r="89" spans="1:36" hidden="1" x14ac:dyDescent="0.2">
      <c r="A89" t="s">
        <v>228</v>
      </c>
      <c r="B89" t="s">
        <v>229</v>
      </c>
      <c r="C89" t="s">
        <v>229</v>
      </c>
      <c r="D89" t="s">
        <v>3</v>
      </c>
      <c r="E89">
        <v>0</v>
      </c>
      <c r="F89">
        <v>1</v>
      </c>
      <c r="G89">
        <v>0</v>
      </c>
      <c r="H89">
        <v>0</v>
      </c>
      <c r="I89" t="s">
        <v>18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527</v>
      </c>
      <c r="AE89">
        <v>15.882771829703779</v>
      </c>
      <c r="AF89">
        <v>22.112807252449059</v>
      </c>
      <c r="AG89">
        <f>0*0</f>
        <v>0</v>
      </c>
      <c r="AH89">
        <f>3.09792087273342*0</f>
        <v>0</v>
      </c>
      <c r="AI89">
        <v>0</v>
      </c>
      <c r="AJ89">
        <v>0</v>
      </c>
    </row>
    <row r="90" spans="1:36" hidden="1" x14ac:dyDescent="0.2">
      <c r="A90" t="s">
        <v>230</v>
      </c>
      <c r="B90" t="s">
        <v>231</v>
      </c>
      <c r="C90" t="s">
        <v>232</v>
      </c>
      <c r="D90" t="s">
        <v>4</v>
      </c>
      <c r="E90">
        <v>0</v>
      </c>
      <c r="F90">
        <v>0</v>
      </c>
      <c r="G90">
        <v>1</v>
      </c>
      <c r="H90">
        <v>0</v>
      </c>
      <c r="I90" t="s">
        <v>19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538</v>
      </c>
      <c r="AE90">
        <v>20.666666666666671</v>
      </c>
      <c r="AF90">
        <v>25.970194198538049</v>
      </c>
      <c r="AG90">
        <f>23.1390977207145*1</f>
        <v>23.139097720714499</v>
      </c>
      <c r="AH90">
        <f>4.62781953834604*1</f>
        <v>4.6278195383460403</v>
      </c>
      <c r="AI90">
        <v>1</v>
      </c>
      <c r="AJ90">
        <v>0</v>
      </c>
    </row>
    <row r="91" spans="1:36" hidden="1" x14ac:dyDescent="0.2">
      <c r="A91" t="s">
        <v>189</v>
      </c>
      <c r="B91" t="s">
        <v>233</v>
      </c>
      <c r="C91" t="s">
        <v>234</v>
      </c>
      <c r="D91" t="s">
        <v>3</v>
      </c>
      <c r="E91">
        <v>0</v>
      </c>
      <c r="F91">
        <v>1</v>
      </c>
      <c r="G91">
        <v>0</v>
      </c>
      <c r="H91">
        <v>0</v>
      </c>
      <c r="I91" t="s">
        <v>19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542</v>
      </c>
      <c r="AE91">
        <v>17.352941176470591</v>
      </c>
      <c r="AF91">
        <v>17.877682851482831</v>
      </c>
      <c r="AG91">
        <f>19.4289386326463*1</f>
        <v>19.4289386326463</v>
      </c>
      <c r="AH91">
        <f>3.8857876944221*1</f>
        <v>3.8857876944220999</v>
      </c>
      <c r="AI91">
        <v>1</v>
      </c>
      <c r="AJ91">
        <v>0</v>
      </c>
    </row>
    <row r="92" spans="1:36" hidden="1" x14ac:dyDescent="0.2">
      <c r="A92" t="s">
        <v>235</v>
      </c>
      <c r="B92" t="s">
        <v>236</v>
      </c>
      <c r="C92" t="s">
        <v>236</v>
      </c>
      <c r="D92" t="s">
        <v>4</v>
      </c>
      <c r="E92">
        <v>0</v>
      </c>
      <c r="F92">
        <v>0</v>
      </c>
      <c r="G92">
        <v>1</v>
      </c>
      <c r="H92">
        <v>0</v>
      </c>
      <c r="I92" t="s">
        <v>19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546</v>
      </c>
      <c r="AE92">
        <v>20.45830638055282</v>
      </c>
      <c r="AF92">
        <v>13.601375122435909</v>
      </c>
      <c r="AG92">
        <f>22.9058100303913*1</f>
        <v>22.905810030391301</v>
      </c>
      <c r="AH92">
        <f>4.77263640514233*1</f>
        <v>4.7726364051423298</v>
      </c>
      <c r="AI92">
        <v>1</v>
      </c>
      <c r="AJ92">
        <v>0</v>
      </c>
    </row>
    <row r="93" spans="1:36" hidden="1" x14ac:dyDescent="0.2">
      <c r="A93" t="s">
        <v>237</v>
      </c>
      <c r="B93" t="s">
        <v>238</v>
      </c>
      <c r="C93" t="s">
        <v>239</v>
      </c>
      <c r="D93" t="s">
        <v>3</v>
      </c>
      <c r="E93">
        <v>0</v>
      </c>
      <c r="F93">
        <v>1</v>
      </c>
      <c r="G93">
        <v>0</v>
      </c>
      <c r="H93">
        <v>0</v>
      </c>
      <c r="I93" t="s">
        <v>19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549</v>
      </c>
      <c r="AE93">
        <v>15.8467607670113</v>
      </c>
      <c r="AF93">
        <v>15.37374059105079</v>
      </c>
      <c r="AG93">
        <f>17.7425681723275*1</f>
        <v>17.742568172327498</v>
      </c>
      <c r="AH93">
        <f>3.90158623336793*1</f>
        <v>3.9015862333679299</v>
      </c>
      <c r="AI93">
        <v>1</v>
      </c>
      <c r="AJ93">
        <v>0</v>
      </c>
    </row>
    <row r="94" spans="1:36" hidden="1" x14ac:dyDescent="0.2">
      <c r="A94" t="s">
        <v>240</v>
      </c>
      <c r="B94" t="s">
        <v>241</v>
      </c>
      <c r="C94" t="s">
        <v>242</v>
      </c>
      <c r="D94" t="s">
        <v>3</v>
      </c>
      <c r="E94">
        <v>0</v>
      </c>
      <c r="F94">
        <v>1</v>
      </c>
      <c r="G94">
        <v>0</v>
      </c>
      <c r="H94">
        <v>0</v>
      </c>
      <c r="I94" t="s">
        <v>19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557</v>
      </c>
      <c r="AE94">
        <v>15.083333333333339</v>
      </c>
      <c r="AF94">
        <v>12.42349125012505</v>
      </c>
      <c r="AG94">
        <f>16.8878089648848*1</f>
        <v>16.887808964884801</v>
      </c>
      <c r="AH94">
        <f>3.37756177837651*1</f>
        <v>3.3775617783765099</v>
      </c>
      <c r="AI94">
        <v>1</v>
      </c>
      <c r="AJ94">
        <v>0</v>
      </c>
    </row>
    <row r="95" spans="1:36" hidden="1" x14ac:dyDescent="0.2">
      <c r="A95" t="s">
        <v>77</v>
      </c>
      <c r="B95" t="s">
        <v>243</v>
      </c>
      <c r="C95" t="s">
        <v>243</v>
      </c>
      <c r="D95" t="s">
        <v>4</v>
      </c>
      <c r="E95">
        <v>0</v>
      </c>
      <c r="F95">
        <v>0</v>
      </c>
      <c r="G95">
        <v>1</v>
      </c>
      <c r="H95">
        <v>0</v>
      </c>
      <c r="I95" t="s">
        <v>19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558</v>
      </c>
      <c r="AE95">
        <v>22.861918089026339</v>
      </c>
      <c r="AF95">
        <v>20.869694548565882</v>
      </c>
      <c r="AG95">
        <f>25.5969750150388*1</f>
        <v>25.596975015038801</v>
      </c>
      <c r="AH95">
        <f>5.55794524514378*1</f>
        <v>5.5579452451437801</v>
      </c>
      <c r="AI95">
        <v>1</v>
      </c>
      <c r="AJ95">
        <v>0</v>
      </c>
    </row>
    <row r="96" spans="1:36" hidden="1" x14ac:dyDescent="0.2">
      <c r="A96" t="s">
        <v>244</v>
      </c>
      <c r="B96" t="s">
        <v>245</v>
      </c>
      <c r="C96" t="s">
        <v>245</v>
      </c>
      <c r="D96" t="s">
        <v>3</v>
      </c>
      <c r="E96">
        <v>0</v>
      </c>
      <c r="F96">
        <v>1</v>
      </c>
      <c r="G96">
        <v>0</v>
      </c>
      <c r="H96">
        <v>0</v>
      </c>
      <c r="I96" t="s">
        <v>19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570</v>
      </c>
      <c r="AE96">
        <v>14.999999999999989</v>
      </c>
      <c r="AF96">
        <v>17.97519732703757</v>
      </c>
      <c r="AG96">
        <f>16.794506375568*1</f>
        <v>16.794506375568002</v>
      </c>
      <c r="AH96">
        <f>3.35890129206795*1</f>
        <v>3.3589012920679502</v>
      </c>
      <c r="AI96">
        <v>1</v>
      </c>
      <c r="AJ96">
        <v>0</v>
      </c>
    </row>
    <row r="97" spans="1:36" hidden="1" x14ac:dyDescent="0.2">
      <c r="A97" t="s">
        <v>230</v>
      </c>
      <c r="B97" t="s">
        <v>246</v>
      </c>
      <c r="C97" t="s">
        <v>247</v>
      </c>
      <c r="D97" t="s">
        <v>4</v>
      </c>
      <c r="E97">
        <v>0</v>
      </c>
      <c r="F97">
        <v>0</v>
      </c>
      <c r="G97">
        <v>1</v>
      </c>
      <c r="H97">
        <v>0</v>
      </c>
      <c r="I97" t="s">
        <v>20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583</v>
      </c>
      <c r="AE97">
        <v>17.291666666666661</v>
      </c>
      <c r="AF97">
        <v>16.291693717176688</v>
      </c>
      <c r="AG97">
        <f>18.6682435707924*1</f>
        <v>18.668243570792399</v>
      </c>
      <c r="AH97">
        <f>4.07237912986652*1</f>
        <v>4.07237912986652</v>
      </c>
      <c r="AI97">
        <v>1</v>
      </c>
      <c r="AJ97">
        <v>0</v>
      </c>
    </row>
    <row r="98" spans="1:36" hidden="1" x14ac:dyDescent="0.2">
      <c r="A98" t="s">
        <v>248</v>
      </c>
      <c r="B98" t="s">
        <v>249</v>
      </c>
      <c r="C98" t="s">
        <v>249</v>
      </c>
      <c r="D98" t="s">
        <v>3</v>
      </c>
      <c r="E98">
        <v>0</v>
      </c>
      <c r="F98">
        <v>1</v>
      </c>
      <c r="G98">
        <v>0</v>
      </c>
      <c r="H98">
        <v>0</v>
      </c>
      <c r="I98" t="s">
        <v>20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584</v>
      </c>
      <c r="AE98">
        <v>15.303771201870649</v>
      </c>
      <c r="AF98">
        <v>15.273930091412881</v>
      </c>
      <c r="AG98">
        <f>17.3412743139822*1</f>
        <v>17.341274313982201</v>
      </c>
      <c r="AH98">
        <f>4.02409867230856*1</f>
        <v>4.0240986723085603</v>
      </c>
      <c r="AI98">
        <v>1</v>
      </c>
      <c r="AJ98">
        <v>0</v>
      </c>
    </row>
    <row r="99" spans="1:36" hidden="1" x14ac:dyDescent="0.2">
      <c r="A99" t="s">
        <v>250</v>
      </c>
      <c r="B99" t="s">
        <v>251</v>
      </c>
      <c r="C99" t="s">
        <v>251</v>
      </c>
      <c r="D99" t="s">
        <v>4</v>
      </c>
      <c r="E99">
        <v>0</v>
      </c>
      <c r="F99">
        <v>0</v>
      </c>
      <c r="G99">
        <v>1</v>
      </c>
      <c r="H99">
        <v>0</v>
      </c>
      <c r="I99" t="s">
        <v>20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589</v>
      </c>
      <c r="AE99">
        <v>23.413701015828739</v>
      </c>
      <c r="AF99">
        <v>11.953712733492591</v>
      </c>
      <c r="AG99">
        <f>15.5969943604805*1</f>
        <v>15.596994360480499</v>
      </c>
      <c r="AH99">
        <f>3.28949754428363*1</f>
        <v>3.2894975442836301</v>
      </c>
      <c r="AI99">
        <v>1</v>
      </c>
      <c r="AJ99">
        <v>0</v>
      </c>
    </row>
    <row r="100" spans="1:36" hidden="1" x14ac:dyDescent="0.2">
      <c r="A100" t="s">
        <v>252</v>
      </c>
      <c r="B100" t="s">
        <v>253</v>
      </c>
      <c r="C100" t="s">
        <v>253</v>
      </c>
      <c r="D100" t="s">
        <v>4</v>
      </c>
      <c r="E100">
        <v>0</v>
      </c>
      <c r="F100">
        <v>0</v>
      </c>
      <c r="G100">
        <v>1</v>
      </c>
      <c r="H100">
        <v>0</v>
      </c>
      <c r="I100" t="s">
        <v>20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598</v>
      </c>
      <c r="AE100">
        <v>14.3686937652871</v>
      </c>
      <c r="AF100">
        <v>10.173078648258439</v>
      </c>
      <c r="AG100">
        <f>12.289505432137*1</f>
        <v>12.289505432137</v>
      </c>
      <c r="AH100">
        <f>2.47342383564964*1</f>
        <v>2.4734238356496401</v>
      </c>
      <c r="AI100">
        <v>1</v>
      </c>
      <c r="AJ100">
        <v>0</v>
      </c>
    </row>
    <row r="101" spans="1:36" hidden="1" x14ac:dyDescent="0.2">
      <c r="A101" t="s">
        <v>254</v>
      </c>
      <c r="B101" t="s">
        <v>255</v>
      </c>
      <c r="C101" t="s">
        <v>255</v>
      </c>
      <c r="D101" t="s">
        <v>3</v>
      </c>
      <c r="E101">
        <v>0</v>
      </c>
      <c r="F101">
        <v>1</v>
      </c>
      <c r="G101">
        <v>0</v>
      </c>
      <c r="H101">
        <v>0</v>
      </c>
      <c r="I101" t="s">
        <v>20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604</v>
      </c>
      <c r="AE101">
        <v>17.298410599865061</v>
      </c>
      <c r="AF101">
        <v>18.03741926253608</v>
      </c>
      <c r="AG101">
        <f>20.3416919295462*1</f>
        <v>20.341691929546201</v>
      </c>
      <c r="AH101">
        <f>4.99180714126791*1</f>
        <v>4.9918071412679099</v>
      </c>
      <c r="AI101">
        <v>1</v>
      </c>
      <c r="AJ101">
        <v>0</v>
      </c>
    </row>
    <row r="102" spans="1:36" hidden="1" x14ac:dyDescent="0.2">
      <c r="A102" t="s">
        <v>256</v>
      </c>
      <c r="B102" t="s">
        <v>257</v>
      </c>
      <c r="C102" t="s">
        <v>257</v>
      </c>
      <c r="D102" t="s">
        <v>3</v>
      </c>
      <c r="E102">
        <v>0</v>
      </c>
      <c r="F102">
        <v>1</v>
      </c>
      <c r="G102">
        <v>0</v>
      </c>
      <c r="H102">
        <v>0</v>
      </c>
      <c r="I102" t="s">
        <v>20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607</v>
      </c>
      <c r="AE102">
        <v>22.69339674670011</v>
      </c>
      <c r="AF102">
        <v>16.855110246390112</v>
      </c>
      <c r="AG102">
        <f>20.1645493078939*1</f>
        <v>20.1645493078939</v>
      </c>
      <c r="AH102">
        <f>3.4565641472274*1</f>
        <v>3.4565641472273998</v>
      </c>
      <c r="AI102">
        <v>1</v>
      </c>
      <c r="AJ102">
        <v>0</v>
      </c>
    </row>
    <row r="103" spans="1:36" hidden="1" x14ac:dyDescent="0.2">
      <c r="A103" t="s">
        <v>258</v>
      </c>
      <c r="B103" t="s">
        <v>259</v>
      </c>
      <c r="C103" t="s">
        <v>259</v>
      </c>
      <c r="D103" t="s">
        <v>4</v>
      </c>
      <c r="E103">
        <v>0</v>
      </c>
      <c r="F103">
        <v>0</v>
      </c>
      <c r="G103">
        <v>1</v>
      </c>
      <c r="H103">
        <v>0</v>
      </c>
      <c r="I103" t="s">
        <v>21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639</v>
      </c>
      <c r="AE103">
        <v>19.58998857190149</v>
      </c>
      <c r="AF103">
        <v>10.992268450891631</v>
      </c>
      <c r="AG103">
        <f>18.0514469185974*1</f>
        <v>18.051446918597399</v>
      </c>
      <c r="AH103">
        <f>3.0894248670326*1</f>
        <v>3.0894248670326001</v>
      </c>
      <c r="AI103">
        <v>1</v>
      </c>
      <c r="AJ103">
        <v>0</v>
      </c>
    </row>
    <row r="104" spans="1:36" x14ac:dyDescent="0.2">
      <c r="A104" t="s">
        <v>260</v>
      </c>
      <c r="B104" t="s">
        <v>261</v>
      </c>
      <c r="C104" s="1" t="s">
        <v>261</v>
      </c>
      <c r="D104" t="s">
        <v>5</v>
      </c>
      <c r="E104">
        <v>0</v>
      </c>
      <c r="F104">
        <v>0</v>
      </c>
      <c r="G104">
        <v>0</v>
      </c>
      <c r="H104">
        <v>1</v>
      </c>
      <c r="I104" t="s">
        <v>21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659</v>
      </c>
      <c r="AE104">
        <v>18.67625595371101</v>
      </c>
      <c r="AF104">
        <v>15.24555249535001</v>
      </c>
      <c r="AG104">
        <f>25.0361678354684*1</f>
        <v>25.036167835468401</v>
      </c>
      <c r="AH104">
        <f>4.52894184859682*1</f>
        <v>4.52894184859682</v>
      </c>
      <c r="AI104">
        <v>1</v>
      </c>
      <c r="AJ104">
        <v>1</v>
      </c>
    </row>
    <row r="105" spans="1:36" hidden="1" x14ac:dyDescent="0.2">
      <c r="A105" t="s">
        <v>262</v>
      </c>
      <c r="B105" t="s">
        <v>263</v>
      </c>
      <c r="C105" t="s">
        <v>263</v>
      </c>
      <c r="D105" t="s">
        <v>5</v>
      </c>
      <c r="E105">
        <v>0</v>
      </c>
      <c r="F105">
        <v>0</v>
      </c>
      <c r="G105">
        <v>0</v>
      </c>
      <c r="H105">
        <v>1</v>
      </c>
      <c r="I105" t="s">
        <v>22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679</v>
      </c>
      <c r="AE105">
        <v>14.769747256513799</v>
      </c>
      <c r="AF105">
        <v>15.5477789804649</v>
      </c>
      <c r="AG105">
        <f>20.1856456416066*1</f>
        <v>20.185645641606602</v>
      </c>
      <c r="AH105">
        <f>4.68967614914996*1</f>
        <v>4.6896761491499603</v>
      </c>
      <c r="AI105">
        <v>1</v>
      </c>
      <c r="AJ105">
        <v>0</v>
      </c>
    </row>
    <row r="106" spans="1:36" hidden="1" x14ac:dyDescent="0.2">
      <c r="A106" t="s">
        <v>264</v>
      </c>
      <c r="B106" t="s">
        <v>265</v>
      </c>
      <c r="C106" t="s">
        <v>265</v>
      </c>
      <c r="D106" t="s">
        <v>4</v>
      </c>
      <c r="E106">
        <v>0</v>
      </c>
      <c r="F106">
        <v>0</v>
      </c>
      <c r="G106">
        <v>1</v>
      </c>
      <c r="H106">
        <v>0</v>
      </c>
      <c r="I106" t="s">
        <v>22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710</v>
      </c>
      <c r="AE106">
        <v>16.666666666666671</v>
      </c>
      <c r="AF106">
        <v>18.997553801076432</v>
      </c>
      <c r="AG106">
        <f>24.4769147167589*1</f>
        <v>24.476914716758898</v>
      </c>
      <c r="AH106">
        <f>5.37971034344894*1</f>
        <v>5.3797103434489397</v>
      </c>
      <c r="AI106">
        <v>1</v>
      </c>
      <c r="AJ106">
        <v>0</v>
      </c>
    </row>
    <row r="107" spans="1:36" hidden="1" x14ac:dyDescent="0.2">
      <c r="A107" t="s">
        <v>266</v>
      </c>
      <c r="B107" t="s">
        <v>267</v>
      </c>
      <c r="C107" t="s">
        <v>267</v>
      </c>
      <c r="D107" t="s">
        <v>4</v>
      </c>
      <c r="E107">
        <v>0</v>
      </c>
      <c r="F107">
        <v>0</v>
      </c>
      <c r="G107">
        <v>1</v>
      </c>
      <c r="H107">
        <v>0</v>
      </c>
      <c r="I107" t="s">
        <v>23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722</v>
      </c>
      <c r="AE107">
        <v>13.46031746031745</v>
      </c>
      <c r="AF107">
        <v>11.409241179303191</v>
      </c>
      <c r="AG107">
        <f>14.0544289819936*1</f>
        <v>14.054428981993601</v>
      </c>
      <c r="AH107">
        <f>3.51360724549841*1</f>
        <v>3.51360724549841</v>
      </c>
      <c r="AI107">
        <v>1</v>
      </c>
      <c r="AJ107">
        <v>0</v>
      </c>
    </row>
    <row r="108" spans="1:36" hidden="1" x14ac:dyDescent="0.2">
      <c r="A108" t="s">
        <v>268</v>
      </c>
      <c r="B108" t="s">
        <v>269</v>
      </c>
      <c r="C108" t="s">
        <v>269</v>
      </c>
      <c r="D108" t="s">
        <v>4</v>
      </c>
      <c r="E108">
        <v>0</v>
      </c>
      <c r="F108">
        <v>0</v>
      </c>
      <c r="G108">
        <v>1</v>
      </c>
      <c r="H108">
        <v>0</v>
      </c>
      <c r="I108" t="s">
        <v>23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733</v>
      </c>
      <c r="AE108">
        <v>15.661971830985919</v>
      </c>
      <c r="AF108">
        <v>15.7259099503224</v>
      </c>
      <c r="AG108">
        <f>16.3532599781183*1</f>
        <v>16.353259978118299</v>
      </c>
      <c r="AH108">
        <f>4.08831499452957*1</f>
        <v>4.0883149945295703</v>
      </c>
      <c r="AI108">
        <v>1</v>
      </c>
      <c r="AJ108">
        <v>0</v>
      </c>
    </row>
    <row r="109" spans="1:36" hidden="1" x14ac:dyDescent="0.2">
      <c r="A109" t="s">
        <v>160</v>
      </c>
      <c r="B109" t="s">
        <v>270</v>
      </c>
      <c r="C109" t="s">
        <v>270</v>
      </c>
      <c r="D109" t="s">
        <v>4</v>
      </c>
      <c r="E109">
        <v>0</v>
      </c>
      <c r="F109">
        <v>0</v>
      </c>
      <c r="G109">
        <v>1</v>
      </c>
      <c r="H109">
        <v>0</v>
      </c>
      <c r="I109" t="s">
        <v>23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736</v>
      </c>
      <c r="AE109">
        <v>17.65113762377656</v>
      </c>
      <c r="AF109">
        <v>16.07936747320564</v>
      </c>
      <c r="AG109">
        <f>18.4302235750473*1</f>
        <v>18.4302235750473</v>
      </c>
      <c r="AH109">
        <f>4.73938821799542*1</f>
        <v>4.7393882179954199</v>
      </c>
      <c r="AI109">
        <v>1</v>
      </c>
      <c r="AJ109">
        <v>0</v>
      </c>
    </row>
    <row r="110" spans="1:36" hidden="1" x14ac:dyDescent="0.2">
      <c r="A110" t="s">
        <v>271</v>
      </c>
      <c r="B110" t="s">
        <v>272</v>
      </c>
      <c r="C110" t="s">
        <v>273</v>
      </c>
      <c r="D110" t="s">
        <v>3</v>
      </c>
      <c r="E110">
        <v>0</v>
      </c>
      <c r="F110">
        <v>1</v>
      </c>
      <c r="G110">
        <v>0</v>
      </c>
      <c r="H110">
        <v>0</v>
      </c>
      <c r="I110" t="s">
        <v>23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738</v>
      </c>
      <c r="AE110">
        <v>15.219512195121959</v>
      </c>
      <c r="AF110">
        <v>8.331836971732546</v>
      </c>
      <c r="AG110">
        <f>15.8912710578731*1</f>
        <v>15.8912710578731</v>
      </c>
      <c r="AH110">
        <f>3.97281776446829*1</f>
        <v>3.97281776446829</v>
      </c>
      <c r="AI110">
        <v>1</v>
      </c>
      <c r="AJ110">
        <v>0</v>
      </c>
    </row>
    <row r="111" spans="1:36" hidden="1" x14ac:dyDescent="0.2">
      <c r="A111" t="s">
        <v>274</v>
      </c>
      <c r="B111" t="s">
        <v>275</v>
      </c>
      <c r="C111" t="s">
        <v>274</v>
      </c>
      <c r="D111" t="s">
        <v>4</v>
      </c>
      <c r="E111">
        <v>0</v>
      </c>
      <c r="F111">
        <v>0</v>
      </c>
      <c r="G111">
        <v>1</v>
      </c>
      <c r="H111">
        <v>0</v>
      </c>
      <c r="I111" t="s">
        <v>23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740</v>
      </c>
      <c r="AE111">
        <v>15.61581920903955</v>
      </c>
      <c r="AF111">
        <v>14.32346393174446</v>
      </c>
      <c r="AG111">
        <f>16.3050702716429*1</f>
        <v>16.305070271642901</v>
      </c>
      <c r="AH111">
        <f>4.07626756791073*1</f>
        <v>4.0762675679107296</v>
      </c>
      <c r="AI111">
        <v>1</v>
      </c>
      <c r="AJ111">
        <v>0</v>
      </c>
    </row>
    <row r="112" spans="1:36" hidden="1" x14ac:dyDescent="0.2">
      <c r="A112" t="s">
        <v>276</v>
      </c>
      <c r="B112" t="s">
        <v>277</v>
      </c>
      <c r="C112" t="s">
        <v>277</v>
      </c>
      <c r="D112" t="s">
        <v>3</v>
      </c>
      <c r="E112">
        <v>0</v>
      </c>
      <c r="F112">
        <v>1</v>
      </c>
      <c r="G112">
        <v>0</v>
      </c>
      <c r="H112">
        <v>0</v>
      </c>
      <c r="I112" t="s">
        <v>23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742</v>
      </c>
      <c r="AE112">
        <v>12.4</v>
      </c>
      <c r="AF112">
        <v>10.035801213585341</v>
      </c>
      <c r="AG112">
        <f>12.9473112272799*1</f>
        <v>12.947311227279901</v>
      </c>
      <c r="AH112">
        <f>3.23682780681999*1</f>
        <v>3.2368278068199898</v>
      </c>
      <c r="AI112">
        <v>1</v>
      </c>
      <c r="AJ112">
        <v>0</v>
      </c>
    </row>
    <row r="113" spans="1:36" hidden="1" x14ac:dyDescent="0.2">
      <c r="A113" t="s">
        <v>278</v>
      </c>
      <c r="B113" t="s">
        <v>279</v>
      </c>
      <c r="C113" t="s">
        <v>279</v>
      </c>
      <c r="D113" t="s">
        <v>4</v>
      </c>
      <c r="E113">
        <v>0</v>
      </c>
      <c r="F113">
        <v>0</v>
      </c>
      <c r="G113">
        <v>1</v>
      </c>
      <c r="H113">
        <v>0</v>
      </c>
      <c r="I113" t="s">
        <v>23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744</v>
      </c>
      <c r="AE113">
        <v>9.7777777777777786</v>
      </c>
      <c r="AF113">
        <v>11.364661813088119</v>
      </c>
      <c r="AG113">
        <f>10.2093493548444*1</f>
        <v>10.209349354844401</v>
      </c>
      <c r="AH113">
        <f>2.55233733871111*1</f>
        <v>2.5523373387111099</v>
      </c>
      <c r="AI113">
        <v>1</v>
      </c>
      <c r="AJ113">
        <v>0</v>
      </c>
    </row>
    <row r="114" spans="1:36" hidden="1" x14ac:dyDescent="0.2">
      <c r="A114" t="s">
        <v>280</v>
      </c>
      <c r="B114" t="s">
        <v>281</v>
      </c>
      <c r="C114" t="s">
        <v>280</v>
      </c>
      <c r="D114" t="s">
        <v>4</v>
      </c>
      <c r="E114">
        <v>0</v>
      </c>
      <c r="F114">
        <v>0</v>
      </c>
      <c r="G114">
        <v>1</v>
      </c>
      <c r="H114">
        <v>0</v>
      </c>
      <c r="I114" t="s">
        <v>23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747</v>
      </c>
      <c r="AE114">
        <v>26.220716029287299</v>
      </c>
      <c r="AF114">
        <v>17.264741571826619</v>
      </c>
      <c r="AG114">
        <f>27.3780460510735*1</f>
        <v>27.3780460510735</v>
      </c>
      <c r="AH114">
        <f>6.19184331148439*1</f>
        <v>6.1918433114843898</v>
      </c>
      <c r="AI114">
        <v>1</v>
      </c>
      <c r="AJ114">
        <v>0</v>
      </c>
    </row>
    <row r="115" spans="1:36" hidden="1" x14ac:dyDescent="0.2">
      <c r="A115" t="s">
        <v>282</v>
      </c>
      <c r="B115" t="s">
        <v>283</v>
      </c>
      <c r="C115" t="s">
        <v>283</v>
      </c>
      <c r="D115" t="s">
        <v>3</v>
      </c>
      <c r="E115">
        <v>0</v>
      </c>
      <c r="F115">
        <v>1</v>
      </c>
      <c r="G115">
        <v>0</v>
      </c>
      <c r="H115">
        <v>0</v>
      </c>
      <c r="I115" t="s">
        <v>23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750</v>
      </c>
      <c r="AE115">
        <v>12</v>
      </c>
      <c r="AF115">
        <v>7.0880385987426067</v>
      </c>
      <c r="AG115">
        <f>12.5296560264*1</f>
        <v>12.5296560264</v>
      </c>
      <c r="AH115">
        <f>3.1324140066*1</f>
        <v>3.1324140065999999</v>
      </c>
      <c r="AI115">
        <v>1</v>
      </c>
      <c r="AJ115">
        <v>0</v>
      </c>
    </row>
    <row r="116" spans="1:36" hidden="1" x14ac:dyDescent="0.2">
      <c r="A116" t="s">
        <v>284</v>
      </c>
      <c r="B116" t="s">
        <v>285</v>
      </c>
      <c r="C116" t="s">
        <v>285</v>
      </c>
      <c r="D116" t="s">
        <v>4</v>
      </c>
      <c r="E116">
        <v>0</v>
      </c>
      <c r="F116">
        <v>0</v>
      </c>
      <c r="G116">
        <v>1</v>
      </c>
      <c r="H116">
        <v>0</v>
      </c>
      <c r="I116" t="s">
        <v>24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768</v>
      </c>
      <c r="AE116">
        <v>23.227237236440601</v>
      </c>
      <c r="AF116">
        <v>20.776694515373698</v>
      </c>
      <c r="AG116">
        <f>19.5053415931205*1</f>
        <v>19.505341593120502</v>
      </c>
      <c r="AH116">
        <f>3.23973481197606*1</f>
        <v>3.2397348119760601</v>
      </c>
      <c r="AI116">
        <v>1</v>
      </c>
      <c r="AJ116">
        <v>0</v>
      </c>
    </row>
    <row r="117" spans="1:36" hidden="1" x14ac:dyDescent="0.2">
      <c r="A117" t="s">
        <v>286</v>
      </c>
      <c r="B117" t="s">
        <v>287</v>
      </c>
      <c r="C117" t="s">
        <v>287</v>
      </c>
      <c r="D117" t="s">
        <v>3</v>
      </c>
      <c r="E117">
        <v>0</v>
      </c>
      <c r="F117">
        <v>1</v>
      </c>
      <c r="G117">
        <v>0</v>
      </c>
      <c r="H117">
        <v>0</v>
      </c>
      <c r="I117" t="s">
        <v>24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770</v>
      </c>
      <c r="AE117">
        <v>13.571428571428569</v>
      </c>
      <c r="AF117">
        <v>7.37433273553515</v>
      </c>
      <c r="AG117">
        <f>6.92308774052062*1</f>
        <v>6.9230877405206197</v>
      </c>
      <c r="AH117">
        <f>0.953209095355602*1</f>
        <v>0.95320909535560205</v>
      </c>
      <c r="AI117">
        <v>1</v>
      </c>
      <c r="AJ117">
        <v>0</v>
      </c>
    </row>
    <row r="118" spans="1:36" hidden="1" x14ac:dyDescent="0.2">
      <c r="A118" t="s">
        <v>288</v>
      </c>
      <c r="B118" t="s">
        <v>289</v>
      </c>
      <c r="C118" t="s">
        <v>288</v>
      </c>
      <c r="D118" t="s">
        <v>3</v>
      </c>
      <c r="E118">
        <v>0</v>
      </c>
      <c r="F118">
        <v>1</v>
      </c>
      <c r="G118">
        <v>0</v>
      </c>
      <c r="H118">
        <v>0</v>
      </c>
      <c r="I118" t="s">
        <v>24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774</v>
      </c>
      <c r="AE118">
        <v>9.8519283379744103</v>
      </c>
      <c r="AF118">
        <v>8.8169031766143355</v>
      </c>
      <c r="AG118">
        <f>8.27738541980405*1</f>
        <v>8.27738541980405</v>
      </c>
      <c r="AH118">
        <f>1.40682883306302*1</f>
        <v>1.4068288330630201</v>
      </c>
      <c r="AI118">
        <v>1</v>
      </c>
      <c r="AJ118">
        <v>0</v>
      </c>
    </row>
    <row r="119" spans="1:36" hidden="1" x14ac:dyDescent="0.2">
      <c r="A119" t="s">
        <v>290</v>
      </c>
      <c r="B119" t="s">
        <v>291</v>
      </c>
      <c r="C119" t="s">
        <v>292</v>
      </c>
      <c r="D119" t="s">
        <v>4</v>
      </c>
      <c r="E119">
        <v>0</v>
      </c>
      <c r="F119">
        <v>0</v>
      </c>
      <c r="G119">
        <v>1</v>
      </c>
      <c r="H119">
        <v>0</v>
      </c>
      <c r="I119" t="s">
        <v>24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781</v>
      </c>
      <c r="AE119">
        <v>16.967991113108599</v>
      </c>
      <c r="AF119">
        <v>19.461635880059081</v>
      </c>
      <c r="AG119">
        <f>18.2707531011092*1</f>
        <v>18.2707531011092</v>
      </c>
      <c r="AH119">
        <f>4.05136645671078*1</f>
        <v>4.0513664567107801</v>
      </c>
      <c r="AI119">
        <v>1</v>
      </c>
      <c r="AJ119">
        <v>0</v>
      </c>
    </row>
    <row r="120" spans="1:36" hidden="1" x14ac:dyDescent="0.2">
      <c r="A120" t="s">
        <v>293</v>
      </c>
      <c r="B120" t="s">
        <v>294</v>
      </c>
      <c r="C120" t="s">
        <v>294</v>
      </c>
      <c r="D120" t="s">
        <v>4</v>
      </c>
      <c r="E120">
        <v>0</v>
      </c>
      <c r="F120">
        <v>0</v>
      </c>
      <c r="G120">
        <v>1</v>
      </c>
      <c r="H120">
        <v>0</v>
      </c>
      <c r="I120" t="s">
        <v>24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783</v>
      </c>
      <c r="AE120">
        <v>16.03448275862068</v>
      </c>
      <c r="AF120">
        <v>16.28655820319149</v>
      </c>
      <c r="AG120">
        <f>15.2899625525109*1</f>
        <v>15.2899625525109</v>
      </c>
      <c r="AH120">
        <f>2.02556339707334*1</f>
        <v>2.02556339707334</v>
      </c>
      <c r="AI120">
        <v>1</v>
      </c>
      <c r="AJ120">
        <v>0</v>
      </c>
    </row>
    <row r="121" spans="1:36" hidden="1" x14ac:dyDescent="0.2">
      <c r="A121" t="s">
        <v>295</v>
      </c>
      <c r="B121" t="s">
        <v>296</v>
      </c>
      <c r="C121" t="s">
        <v>296</v>
      </c>
      <c r="D121" t="s">
        <v>3</v>
      </c>
      <c r="E121">
        <v>0</v>
      </c>
      <c r="F121">
        <v>1</v>
      </c>
      <c r="G121">
        <v>0</v>
      </c>
      <c r="H121">
        <v>0</v>
      </c>
      <c r="I121" t="s">
        <v>24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785</v>
      </c>
      <c r="AE121">
        <v>15.842475841914469</v>
      </c>
      <c r="AF121">
        <v>18.436115585127158</v>
      </c>
      <c r="AG121">
        <f>17.3079857249855*1</f>
        <v>17.3079857249855</v>
      </c>
      <c r="AH121">
        <f>3.57669511324765*1</f>
        <v>3.5766951132476499</v>
      </c>
      <c r="AI121">
        <v>1</v>
      </c>
      <c r="AJ121">
        <v>0</v>
      </c>
    </row>
    <row r="122" spans="1:36" hidden="1" x14ac:dyDescent="0.2">
      <c r="A122" t="s">
        <v>297</v>
      </c>
      <c r="B122" t="s">
        <v>298</v>
      </c>
      <c r="C122" t="s">
        <v>220</v>
      </c>
      <c r="D122" t="s">
        <v>4</v>
      </c>
      <c r="E122">
        <v>0</v>
      </c>
      <c r="F122">
        <v>0</v>
      </c>
      <c r="G122">
        <v>1</v>
      </c>
      <c r="H122">
        <v>0</v>
      </c>
      <c r="I122" t="s">
        <v>24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787</v>
      </c>
      <c r="AE122">
        <v>11.110919963214061</v>
      </c>
      <c r="AF122">
        <v>10.78575273786624</v>
      </c>
      <c r="AG122">
        <f>10.1257585187424*1</f>
        <v>10.1257585187424</v>
      </c>
      <c r="AH122">
        <f>2.29471360754923*1</f>
        <v>2.2947136075492298</v>
      </c>
      <c r="AI122">
        <v>1</v>
      </c>
      <c r="AJ122">
        <v>0</v>
      </c>
    </row>
    <row r="123" spans="1:36" hidden="1" x14ac:dyDescent="0.2">
      <c r="A123" t="s">
        <v>160</v>
      </c>
      <c r="B123" t="s">
        <v>299</v>
      </c>
      <c r="C123" t="s">
        <v>299</v>
      </c>
      <c r="D123" t="s">
        <v>4</v>
      </c>
      <c r="E123">
        <v>0</v>
      </c>
      <c r="F123">
        <v>0</v>
      </c>
      <c r="G123">
        <v>1</v>
      </c>
      <c r="H123">
        <v>0</v>
      </c>
      <c r="I123" t="s">
        <v>24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789</v>
      </c>
      <c r="AE123">
        <v>19.012846566099949</v>
      </c>
      <c r="AF123">
        <v>17.367709478401409</v>
      </c>
      <c r="AG123">
        <f>16.304956777946*1</f>
        <v>16.304956777946</v>
      </c>
      <c r="AH123">
        <f>2.79435821854786*1</f>
        <v>2.7943582185478602</v>
      </c>
      <c r="AI123">
        <v>1</v>
      </c>
      <c r="AJ123">
        <v>0</v>
      </c>
    </row>
    <row r="124" spans="1:36" x14ac:dyDescent="0.2">
      <c r="A124" t="s">
        <v>319</v>
      </c>
      <c r="B124" t="s">
        <v>320</v>
      </c>
      <c r="C124" s="1" t="s">
        <v>321</v>
      </c>
      <c r="D124" t="s">
        <v>3</v>
      </c>
      <c r="E124">
        <v>0</v>
      </c>
      <c r="F124">
        <v>1</v>
      </c>
      <c r="G124">
        <v>0</v>
      </c>
      <c r="H124">
        <v>0</v>
      </c>
      <c r="I124" t="s">
        <v>25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</v>
      </c>
      <c r="AD124">
        <v>822</v>
      </c>
      <c r="AE124">
        <v>16.600000000000001</v>
      </c>
      <c r="AF124">
        <v>17.659929401454569</v>
      </c>
      <c r="AG124">
        <f>21.1909380410676*1</f>
        <v>21.1909380410676</v>
      </c>
      <c r="AH124">
        <f>3.79842730001558*1</f>
        <v>3.7984273000155802</v>
      </c>
      <c r="AI124">
        <v>1</v>
      </c>
      <c r="AJ124">
        <v>1</v>
      </c>
    </row>
    <row r="125" spans="1:36" hidden="1" x14ac:dyDescent="0.2">
      <c r="A125" t="s">
        <v>302</v>
      </c>
      <c r="B125" t="s">
        <v>303</v>
      </c>
      <c r="C125" t="s">
        <v>303</v>
      </c>
      <c r="D125" t="s">
        <v>3</v>
      </c>
      <c r="E125">
        <v>0</v>
      </c>
      <c r="F125">
        <v>1</v>
      </c>
      <c r="G125">
        <v>0</v>
      </c>
      <c r="H125">
        <v>0</v>
      </c>
      <c r="I125" t="s">
        <v>25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798</v>
      </c>
      <c r="AE125">
        <v>19.052244605557959</v>
      </c>
      <c r="AF125">
        <v>10.068073266316111</v>
      </c>
      <c r="AG125">
        <f>18.0733224234334*1</f>
        <v>18.0733224234334</v>
      </c>
      <c r="AH125">
        <f>3.93454221581509*1</f>
        <v>3.9345422158150898</v>
      </c>
      <c r="AI125">
        <v>1</v>
      </c>
      <c r="AJ125">
        <v>0</v>
      </c>
    </row>
    <row r="126" spans="1:36" hidden="1" x14ac:dyDescent="0.2">
      <c r="A126" t="s">
        <v>304</v>
      </c>
      <c r="B126" t="s">
        <v>305</v>
      </c>
      <c r="C126" t="s">
        <v>305</v>
      </c>
      <c r="D126" t="s">
        <v>3</v>
      </c>
      <c r="E126">
        <v>0</v>
      </c>
      <c r="F126">
        <v>1</v>
      </c>
      <c r="G126">
        <v>0</v>
      </c>
      <c r="H126">
        <v>0</v>
      </c>
      <c r="I126" t="s">
        <v>25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804</v>
      </c>
      <c r="AE126">
        <v>16.14827253587563</v>
      </c>
      <c r="AF126">
        <v>17.171719098382489</v>
      </c>
      <c r="AG126">
        <f>20.6096003769404*1</f>
        <v>20.609600376940399</v>
      </c>
      <c r="AH126">
        <f>3.39823825335992*1</f>
        <v>3.3982382533599198</v>
      </c>
      <c r="AI126">
        <v>1</v>
      </c>
      <c r="AJ126">
        <v>0</v>
      </c>
    </row>
    <row r="127" spans="1:36" hidden="1" x14ac:dyDescent="0.2">
      <c r="A127" t="s">
        <v>306</v>
      </c>
      <c r="B127" t="s">
        <v>307</v>
      </c>
      <c r="C127" t="s">
        <v>308</v>
      </c>
      <c r="D127" t="s">
        <v>4</v>
      </c>
      <c r="E127">
        <v>0</v>
      </c>
      <c r="F127">
        <v>0</v>
      </c>
      <c r="G127">
        <v>1</v>
      </c>
      <c r="H127">
        <v>0</v>
      </c>
      <c r="I127" t="s">
        <v>25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</v>
      </c>
      <c r="AD127">
        <v>809</v>
      </c>
      <c r="AE127">
        <v>32.292619005366589</v>
      </c>
      <c r="AF127">
        <v>18.398001420218471</v>
      </c>
      <c r="AG127">
        <f>0*0</f>
        <v>0</v>
      </c>
      <c r="AH127">
        <f>5.37980775280756*0</f>
        <v>0</v>
      </c>
      <c r="AI127">
        <v>0</v>
      </c>
      <c r="AJ127">
        <v>0</v>
      </c>
    </row>
    <row r="128" spans="1:36" hidden="1" x14ac:dyDescent="0.2">
      <c r="A128" t="s">
        <v>309</v>
      </c>
      <c r="B128" t="s">
        <v>310</v>
      </c>
      <c r="C128" t="s">
        <v>311</v>
      </c>
      <c r="D128" t="s">
        <v>4</v>
      </c>
      <c r="E128">
        <v>0</v>
      </c>
      <c r="F128">
        <v>0</v>
      </c>
      <c r="G128">
        <v>1</v>
      </c>
      <c r="H128">
        <v>0</v>
      </c>
      <c r="I128" t="s">
        <v>25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810</v>
      </c>
      <c r="AE128">
        <v>14</v>
      </c>
      <c r="AF128">
        <v>10.73395072837104</v>
      </c>
      <c r="AG128">
        <f>15.3238381660376*1</f>
        <v>15.3238381660376</v>
      </c>
      <c r="AH128">
        <f>2.65648407143711*1</f>
        <v>2.6564840714371099</v>
      </c>
      <c r="AI128">
        <v>1</v>
      </c>
      <c r="AJ128">
        <v>0</v>
      </c>
    </row>
    <row r="129" spans="1:36" hidden="1" x14ac:dyDescent="0.2">
      <c r="A129" t="s">
        <v>58</v>
      </c>
      <c r="B129" t="s">
        <v>59</v>
      </c>
      <c r="C129" t="s">
        <v>59</v>
      </c>
      <c r="D129" t="s">
        <v>5</v>
      </c>
      <c r="E129">
        <v>0</v>
      </c>
      <c r="F129">
        <v>0</v>
      </c>
      <c r="G129">
        <v>0</v>
      </c>
      <c r="H129">
        <v>1</v>
      </c>
      <c r="I129" t="s">
        <v>7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64</v>
      </c>
      <c r="AE129">
        <v>23.646616541353399</v>
      </c>
      <c r="AF129">
        <v>18.534193909400251</v>
      </c>
      <c r="AG129">
        <f>18.6165972209718*0.75</f>
        <v>13.962447915728852</v>
      </c>
      <c r="AH129">
        <f>4.96442592559248*0.75</f>
        <v>3.7233194441943605</v>
      </c>
      <c r="AI129">
        <v>0.75</v>
      </c>
      <c r="AJ129">
        <v>0</v>
      </c>
    </row>
    <row r="130" spans="1:36" hidden="1" x14ac:dyDescent="0.2">
      <c r="A130" t="s">
        <v>314</v>
      </c>
      <c r="B130" t="s">
        <v>315</v>
      </c>
      <c r="C130" t="s">
        <v>316</v>
      </c>
      <c r="D130" t="s">
        <v>4</v>
      </c>
      <c r="E130">
        <v>0</v>
      </c>
      <c r="F130">
        <v>0</v>
      </c>
      <c r="G130">
        <v>1</v>
      </c>
      <c r="H130">
        <v>0</v>
      </c>
      <c r="I130" t="s">
        <v>25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816</v>
      </c>
      <c r="AE130">
        <v>13.38461538461538</v>
      </c>
      <c r="AF130">
        <v>9.7933296438189412</v>
      </c>
      <c r="AG130">
        <f>14.3631168544673*1</f>
        <v>14.3631168544673</v>
      </c>
      <c r="AH130">
        <f>2.36426021730561*1</f>
        <v>2.3642602173056102</v>
      </c>
      <c r="AI130">
        <v>1</v>
      </c>
      <c r="AJ130">
        <v>0</v>
      </c>
    </row>
    <row r="131" spans="1:36" x14ac:dyDescent="0.2">
      <c r="A131" t="s">
        <v>53</v>
      </c>
      <c r="B131" t="s">
        <v>54</v>
      </c>
      <c r="C131" s="1" t="s">
        <v>55</v>
      </c>
      <c r="D131" t="s">
        <v>2</v>
      </c>
      <c r="E131">
        <v>1</v>
      </c>
      <c r="F131">
        <v>0</v>
      </c>
      <c r="G131">
        <v>0</v>
      </c>
      <c r="H131">
        <v>0</v>
      </c>
      <c r="I131" t="s">
        <v>7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54</v>
      </c>
      <c r="AE131">
        <v>17.578125</v>
      </c>
      <c r="AF131">
        <v>16.06846293791682</v>
      </c>
      <c r="AG131">
        <f>18.4519631636718*1</f>
        <v>18.451963163671799</v>
      </c>
      <c r="AH131">
        <f>3.69039263273437*1</f>
        <v>3.6903926327343699</v>
      </c>
      <c r="AI131">
        <v>1</v>
      </c>
      <c r="AJ131">
        <v>1</v>
      </c>
    </row>
    <row r="132" spans="1:36" x14ac:dyDescent="0.2">
      <c r="A132" t="s">
        <v>325</v>
      </c>
      <c r="B132" t="s">
        <v>326</v>
      </c>
      <c r="C132" s="1" t="s">
        <v>327</v>
      </c>
      <c r="D132" t="s">
        <v>5</v>
      </c>
      <c r="E132">
        <v>0</v>
      </c>
      <c r="F132">
        <v>0</v>
      </c>
      <c r="G132">
        <v>0</v>
      </c>
      <c r="H132">
        <v>1</v>
      </c>
      <c r="I132" t="s">
        <v>25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825</v>
      </c>
      <c r="AE132">
        <v>39.806189581365238</v>
      </c>
      <c r="AF132">
        <v>18.596932452365969</v>
      </c>
      <c r="AG132">
        <f>36.2673131770023*1</f>
        <v>36.267313177002301</v>
      </c>
      <c r="AH132">
        <f>3.63011647246499*1</f>
        <v>3.6301164724649899</v>
      </c>
      <c r="AI132">
        <v>1</v>
      </c>
      <c r="AJ132">
        <v>1</v>
      </c>
    </row>
    <row r="133" spans="1:36" x14ac:dyDescent="0.2">
      <c r="A133" t="s">
        <v>144</v>
      </c>
      <c r="B133" t="s">
        <v>145</v>
      </c>
      <c r="C133" s="1" t="s">
        <v>145</v>
      </c>
      <c r="D133" t="s">
        <v>2</v>
      </c>
      <c r="E133">
        <v>1</v>
      </c>
      <c r="F133">
        <v>0</v>
      </c>
      <c r="G133">
        <v>0</v>
      </c>
      <c r="H133">
        <v>0</v>
      </c>
      <c r="I133" t="s">
        <v>13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316</v>
      </c>
      <c r="AE133">
        <v>21.858764105170088</v>
      </c>
      <c r="AF133">
        <v>22.128180061040709</v>
      </c>
      <c r="AG133">
        <v>0</v>
      </c>
      <c r="AH133">
        <v>0</v>
      </c>
      <c r="AI133">
        <v>0</v>
      </c>
      <c r="AJ133">
        <v>1</v>
      </c>
    </row>
    <row r="134" spans="1:36" hidden="1" x14ac:dyDescent="0.2">
      <c r="A134" t="s">
        <v>322</v>
      </c>
      <c r="B134" t="s">
        <v>323</v>
      </c>
      <c r="C134" t="s">
        <v>324</v>
      </c>
      <c r="D134" t="s">
        <v>3</v>
      </c>
      <c r="E134">
        <v>0</v>
      </c>
      <c r="F134">
        <v>1</v>
      </c>
      <c r="G134">
        <v>0</v>
      </c>
      <c r="H134">
        <v>0</v>
      </c>
      <c r="I134" t="s">
        <v>25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823</v>
      </c>
      <c r="AE134">
        <v>14.170212765957441</v>
      </c>
      <c r="AF134">
        <v>13.46232752544516</v>
      </c>
      <c r="AG134">
        <f>17.1013797739343*1</f>
        <v>17.101379773934301</v>
      </c>
      <c r="AH134">
        <f>3.2604919198486*1</f>
        <v>3.2604919198486</v>
      </c>
      <c r="AI134">
        <v>1</v>
      </c>
      <c r="AJ134">
        <v>0</v>
      </c>
    </row>
    <row r="135" spans="1:36" hidden="1" x14ac:dyDescent="0.2">
      <c r="A135" t="s">
        <v>209</v>
      </c>
      <c r="B135" t="s">
        <v>210</v>
      </c>
      <c r="C135" t="s">
        <v>210</v>
      </c>
      <c r="D135" t="s">
        <v>3</v>
      </c>
      <c r="E135">
        <v>0</v>
      </c>
      <c r="F135">
        <v>1</v>
      </c>
      <c r="G135">
        <v>0</v>
      </c>
      <c r="H135">
        <v>0</v>
      </c>
      <c r="I135" t="s">
        <v>17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465</v>
      </c>
      <c r="AE135">
        <v>11.09194590130457</v>
      </c>
      <c r="AF135">
        <v>8.0260855778939089</v>
      </c>
      <c r="AG135">
        <f>13.9098546846014*0.75</f>
        <v>10.432391013451051</v>
      </c>
      <c r="AH135">
        <f>3.07417126861652*0.75</f>
        <v>2.3056284514623897</v>
      </c>
      <c r="AI135">
        <v>0.75</v>
      </c>
      <c r="AJ135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2024-04-01T18:53:18Z</dcterms:created>
  <dcterms:modified xsi:type="dcterms:W3CDTF">2024-04-01T19:24:26Z</dcterms:modified>
</cp:coreProperties>
</file>