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5AEA8682-C1AB-E04B-BA73-7C7FC0882DF1}" xr6:coauthVersionLast="47" xr6:coauthVersionMax="47" xr10:uidLastSave="{00000000-0000-0000-0000-000000000000}"/>
  <bookViews>
    <workbookView xWindow="240" yWindow="760" windowWidth="2360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8" i="1" l="1"/>
  <c r="AH158" i="1"/>
  <c r="AI161" i="1"/>
  <c r="AH161" i="1"/>
  <c r="AI160" i="1"/>
  <c r="AH160" i="1"/>
  <c r="AI159" i="1"/>
  <c r="AH159" i="1"/>
  <c r="AI14" i="1"/>
  <c r="AH14" i="1"/>
  <c r="AI157" i="1"/>
  <c r="AH157" i="1"/>
  <c r="AI98" i="1"/>
  <c r="AH98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42" i="1"/>
  <c r="AH42" i="1"/>
  <c r="AI162" i="1"/>
  <c r="AH162" i="1"/>
  <c r="AI97" i="1"/>
  <c r="AH97" i="1"/>
  <c r="AI94" i="1"/>
  <c r="AH94" i="1"/>
  <c r="AI58" i="1"/>
  <c r="AH58" i="1"/>
  <c r="AI6" i="1"/>
  <c r="AH6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8" i="1"/>
  <c r="AH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99" i="1"/>
  <c r="AH99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56" i="1"/>
  <c r="AH156" i="1"/>
  <c r="AO18" i="1"/>
  <c r="AI18" i="1"/>
  <c r="AH18" i="1"/>
  <c r="AI17" i="1"/>
  <c r="AH17" i="1"/>
  <c r="AI16" i="1"/>
  <c r="AH16" i="1"/>
  <c r="AI15" i="1"/>
  <c r="AH15" i="1"/>
  <c r="AI12" i="1"/>
  <c r="AH12" i="1"/>
  <c r="AI13" i="1"/>
  <c r="AH13" i="1"/>
  <c r="AI95" i="1"/>
  <c r="AH95" i="1"/>
  <c r="AO11" i="1"/>
  <c r="AO14" i="1" s="1"/>
  <c r="AI11" i="1"/>
  <c r="AH11" i="1"/>
  <c r="AI10" i="1"/>
  <c r="AH10" i="1"/>
  <c r="AO9" i="1"/>
  <c r="AI9" i="1"/>
  <c r="AH9" i="1"/>
  <c r="AO8" i="1"/>
  <c r="AI96" i="1"/>
  <c r="AH96" i="1"/>
  <c r="AO7" i="1"/>
  <c r="AI7" i="1"/>
  <c r="AH7" i="1"/>
  <c r="AO6" i="1"/>
  <c r="AI19" i="1"/>
  <c r="AH19" i="1"/>
  <c r="AI5" i="1"/>
  <c r="AH5" i="1"/>
  <c r="AO4" i="1"/>
  <c r="AI4" i="1"/>
  <c r="AH4" i="1"/>
  <c r="AO2" i="1" s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<sst xmlns="http://schemas.openxmlformats.org/spreadsheetml/2006/main" count="874" uniqueCount="389">
  <si>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</si>
  <si>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</si>
  <si>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</si>
  <si>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</si>
  <si>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</si>
  <si>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</si>
  <si>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</si>
  <si>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</si>
  <si>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</si>
  <si>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</si>
  <si>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</si>
  <si>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</si>
  <si>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</si>
  <si>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</si>
  <si>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</si>
  <si>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</si>
  <si>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</si>
  <si>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</si>
  <si>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</si>
  <si>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</si>
  <si>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</si>
  <si>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</si>
  <si>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</si>
  <si>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</si>
  <si>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</si>
  <si>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</si>
  <si>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</si>
  <si>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</si>
  <si>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</si>
  <si>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</si>
  <si>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</si>
  <si>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</si>
  <si>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</si>
  <si>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</si>
  <si>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</si>
  <si>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</si>
  <si>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</si>
  <si>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</si>
  <si>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</si>
  <si>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</si>
  <si>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</si>
  <si>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</si>
  <si>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</si>
  <si>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</si>
  <si>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</si>
  <si>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</si>
  <si>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</si>
  <si>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</si>
  <si>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</si>
  <si>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</si>
  <si>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</si>
  <si>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</si>
  <si>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</si>
  <si>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</si>
  <si>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</si>
  <si>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</si>
  <si>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</si>
  <si>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</si>
  <si>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</si>
  <si>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</si>
  <si>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</si>
  <si>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</si>
  <si>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</si>
  <si>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</si>
  <si>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</si>
  <si>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</si>
  <si>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</si>
  <si>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</si>
  <si>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</si>
  <si>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</si>
  <si>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</si>
  <si>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</si>
  <si>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</si>
  <si>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</si>
  <si>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</si>
  <si>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</si>
  <si>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</si>
  <si>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</si>
  <si>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</si>
  <si>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</si>
  <si>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</si>
  <si>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</si>
  <si>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</si>
  <si>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</si>
  <si>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</si>
  <si>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</si>
  <si>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</si>
  <si>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</si>
  <si>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</si>
  <si>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</si>
  <si>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</si>
  <si>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</si>
  <si>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</si>
  <si>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</si>
  <si>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</si>
  <si>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</si>
  <si>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</si>
  <si>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</si>
  <si>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</si>
  <si>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</si>
  <si>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</si>
  <si>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</si>
  <si>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</si>
  <si>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</si>
  <si>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</si>
  <si>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</si>
  <si>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</si>
  <si>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</si>
  <si>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</si>
  <si>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</si>
  <si>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</si>
  <si>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</si>
  <si>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</si>
  <si>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</si>
  <si>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</si>
  <si>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</si>
  <si>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</si>
  <si>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</si>
  <si>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</si>
  <si>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</si>
  <si>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</si>
  <si>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</si>
  <si>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</si>
  <si>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</si>
  <si>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</si>
  <si>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</si>
  <si>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</si>
  <si>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</si>
  <si>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</si>
  <si>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</si>
  <si>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</si>
  <si>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</si>
  <si>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</si>
  <si>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</si>
  <si>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</si>
  <si>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</si>
  <si>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</si>
  <si>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</si>
  <si>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</si>
  <si>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</si>
  <si>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</si>
  <si>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</si>
  <si>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</si>
  <si>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</si>
  <si>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</si>
  <si>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</si>
  <si>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</si>
  <si>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</si>
  <si>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</si>
  <si>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</si>
  <si>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</si>
  <si>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</si>
  <si>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</si>
  <si>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</si>
  <si>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</si>
  <si>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</si>
  <si>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</si>
  <si>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</si>
  <si>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</si>
  <si>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</si>
  <si>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</si>
  <si>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</si>
  <si>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</si>
  <si>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</si>
  <si>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</si>
  <si>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</si>
  <si>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</si>
  <si>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</si>
  <si>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</si>
  <si>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</si>
  <si>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</si>
  <si>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</si>
  <si>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</si>
  <si>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</si>
  <si>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</si>
  <si>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</si>
  <si>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</si>
  <si>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</si>
  <si>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</si>
  <si>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</si>
  <si>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</si>
  <si>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</si>
  <si>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</si>
  <si>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</si>
  <si>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</si>
  <si>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</si>
  <si>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</si>
  <si>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</si>
  <si>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Abdoulaye</t>
  </si>
  <si>
    <t>Doucouré</t>
  </si>
  <si>
    <t>A.Doucoure</t>
  </si>
  <si>
    <t>James</t>
  </si>
  <si>
    <t>Garner</t>
  </si>
  <si>
    <t>Dwight</t>
  </si>
  <si>
    <t>McNeil</t>
  </si>
  <si>
    <t>Amadou</t>
  </si>
  <si>
    <t>Onana</t>
  </si>
  <si>
    <t>Pickford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</si>
  <si>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</si>
  <si>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</si>
  <si>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</si>
  <si>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</si>
  <si>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</si>
  <si>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</si>
  <si>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</si>
  <si>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</si>
  <si>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</si>
  <si>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</si>
  <si>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</si>
  <si>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</si>
  <si>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</si>
  <si>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</si>
  <si>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Raúl</t>
  </si>
  <si>
    <t>Jiménez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</si>
  <si>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</si>
  <si>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</si>
  <si>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</si>
  <si>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</si>
  <si>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</si>
  <si>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</si>
  <si>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</si>
  <si>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</si>
  <si>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</si>
  <si>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</si>
  <si>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</si>
  <si>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</si>
  <si>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</si>
  <si>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</si>
  <si>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</si>
  <si>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</si>
  <si>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</si>
  <si>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</si>
  <si>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</si>
  <si>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</si>
  <si>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</si>
  <si>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</si>
  <si>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</si>
  <si>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</si>
  <si>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</si>
  <si>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</si>
  <si>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</si>
  <si>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</si>
  <si>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</si>
  <si>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</si>
  <si>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</si>
  <si>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</si>
  <si>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</si>
  <si>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</si>
  <si>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</si>
  <si>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</si>
  <si>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</si>
  <si>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</si>
  <si>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</si>
  <si>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</si>
  <si>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</si>
  <si>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</si>
  <si>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</si>
  <si>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</si>
  <si>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</si>
  <si>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</si>
  <si>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</si>
  <si>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</si>
  <si>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</si>
  <si>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</si>
  <si>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</si>
  <si>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</si>
  <si>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</si>
  <si>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</si>
  <si>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</si>
  <si>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</si>
  <si>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</si>
  <si>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</si>
  <si>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</si>
  <si>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</si>
  <si>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</si>
  <si>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</si>
  <si>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</si>
  <si>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</si>
  <si>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</si>
  <si>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</si>
  <si>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</si>
  <si>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</si>
  <si>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</si>
  <si>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</si>
  <si>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</si>
  <si>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</si>
  <si>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</si>
  <si>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</si>
  <si>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</si>
  <si>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Raphaël</t>
  </si>
  <si>
    <t>Varane</t>
  </si>
  <si>
    <t>R.Varane</t>
  </si>
  <si>
    <t>Rashford</t>
  </si>
  <si>
    <t>André</t>
  </si>
  <si>
    <t>Rasmus</t>
  </si>
  <si>
    <t>Højlund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</si>
  <si>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</si>
  <si>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</si>
  <si>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</si>
  <si>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</si>
  <si>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</si>
  <si>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</si>
  <si>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</si>
  <si>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</si>
  <si>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</si>
  <si>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</si>
  <si>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</si>
  <si>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</si>
  <si>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</si>
  <si>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</si>
  <si>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</si>
  <si>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</si>
  <si>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Morgan</t>
  </si>
  <si>
    <t>Gibbs-White</t>
  </si>
  <si>
    <t>Chris</t>
  </si>
  <si>
    <t>Wood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</si>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</sst>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2" totalsRowShown="0">
  <autoFilter ref="A1:AL162" xr:uid="{00000000-0009-0000-0100-000001000000}">
    <filterColumn colId="37">
      <filters>
        <filter val="1"/>
      </filters>
    </filterColumn>
  </autoFilter>
  <sortState xmlns:xlrd2="http://schemas.microsoft.com/office/spreadsheetml/2017/richdata2" ref="A6:AL162">
    <sortCondition descending="1" ref="AI1:AI16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2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23.523088416581039</v>
      </c>
      <c r="AG2">
        <v>20.206726895138129</v>
      </c>
      <c r="AH2">
        <f>29.3926345972412*1</f>
        <v>29.392634597241202</v>
      </c>
      <c r="AI2">
        <f>6.10978175559095*1</f>
        <v>6.1097817555909497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452.13677028640888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7.2</v>
      </c>
      <c r="AE3">
        <v>5</v>
      </c>
      <c r="AF3">
        <v>20.313047608557849</v>
      </c>
      <c r="AG3">
        <v>17.84695908287717</v>
      </c>
      <c r="AH3">
        <f>25.381615514987*1</f>
        <v>25.381615514987001</v>
      </c>
      <c r="AI3">
        <f>4.15251198765596*1</f>
        <v>4.1525119876559602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24.07500000000001</v>
      </c>
      <c r="AG4">
        <v>24.634989613263869</v>
      </c>
      <c r="AH4">
        <f>30.08226068775*1</f>
        <v>30.082260687750001</v>
      </c>
      <c r="AI4">
        <f>5.013710114625*1</f>
        <v>5.0137101146249998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96.800000000000026</v>
      </c>
      <c r="AP4">
        <v>101.4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29.3</v>
      </c>
      <c r="AG5">
        <v>26.320357867927601</v>
      </c>
      <c r="AH5">
        <f>36.611017161*1</f>
        <v>36.611017160999999</v>
      </c>
      <c r="AI5">
        <f>6.1018361935*1</f>
        <v>6.1018361934999996</v>
      </c>
      <c r="AJ5">
        <v>1</v>
      </c>
      <c r="AK5">
        <v>0</v>
      </c>
      <c r="AL5">
        <v>0</v>
      </c>
    </row>
    <row r="6" spans="1:42" x14ac:dyDescent="0.2">
      <c r="A6" t="s">
        <v>241</v>
      </c>
      <c r="B6" t="s">
        <v>242</v>
      </c>
      <c r="C6" t="s">
        <v>242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13.3</v>
      </c>
      <c r="AE6">
        <v>433</v>
      </c>
      <c r="AF6">
        <v>41.569230769230728</v>
      </c>
      <c r="AG6">
        <v>40.387986146956351</v>
      </c>
      <c r="AH6">
        <f>46.0790497639639*1</f>
        <v>46.079049763963901</v>
      </c>
      <c r="AI6">
        <f>7.90269494420506*1</f>
        <v>7.9026949442050602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37.101977648359203</v>
      </c>
      <c r="AG7">
        <v>23.680525420024129</v>
      </c>
      <c r="AH7">
        <f>46.3597658836558*1</f>
        <v>46.359765883655797</v>
      </c>
      <c r="AI7">
        <f>7.3024297150312*1</f>
        <v>7.3024297150311996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164</v>
      </c>
      <c r="B8" t="s">
        <v>165</v>
      </c>
      <c r="C8" t="s">
        <v>165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5.9</v>
      </c>
      <c r="AE8">
        <v>281</v>
      </c>
      <c r="AF8">
        <v>49.325080212810221</v>
      </c>
      <c r="AG8">
        <v>16.855013037244031</v>
      </c>
      <c r="AH8">
        <f>51.4970140889826*1</f>
        <v>51.497014088982603</v>
      </c>
      <c r="AI8">
        <f>7.1514796124157*1</f>
        <v>7.1514796124156996</v>
      </c>
      <c r="AJ8">
        <v>1</v>
      </c>
      <c r="AK8">
        <v>0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22.638227545745782</v>
      </c>
      <c r="AG9">
        <v>23.590969334551261</v>
      </c>
      <c r="AH9">
        <f>28.2869807908505*1</f>
        <v>28.2869807908505</v>
      </c>
      <c r="AI9">
        <f>4.28634952501205*1</f>
        <v>4.2863495250120502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5.8</v>
      </c>
      <c r="AE10">
        <v>23</v>
      </c>
      <c r="AF10">
        <v>31.210199918506259</v>
      </c>
      <c r="AG10">
        <v>24.124415933336859</v>
      </c>
      <c r="AH10">
        <f>38.9978554544257*1</f>
        <v>38.997855454425697</v>
      </c>
      <c r="AI10">
        <f>8.09538848540695*1</f>
        <v>8.09538848540695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20.34545454545454</v>
      </c>
      <c r="AG11">
        <v>19.288106468657169</v>
      </c>
      <c r="AH11">
        <f>25.4221087205454*1</f>
        <v>25.422108720545399</v>
      </c>
      <c r="AI11">
        <f>4.2370181200909*1</f>
        <v>4.2370181200908998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x14ac:dyDescent="0.2">
      <c r="A12" t="s">
        <v>69</v>
      </c>
      <c r="B12" t="s">
        <v>70</v>
      </c>
      <c r="C12" t="s">
        <v>70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5.7</v>
      </c>
      <c r="AE12">
        <v>39</v>
      </c>
      <c r="AF12">
        <v>24.003856240536539</v>
      </c>
      <c r="AG12">
        <v>14.04113411517026</v>
      </c>
      <c r="AH12">
        <f>25.1971283135405*1</f>
        <v>25.1971283135405</v>
      </c>
      <c r="AI12">
        <f>6.61620697681946*1</f>
        <v>6.61620697681946</v>
      </c>
      <c r="AJ12">
        <v>1</v>
      </c>
      <c r="AK12">
        <v>1</v>
      </c>
      <c r="AL12">
        <v>1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27</v>
      </c>
      <c r="AF13">
        <v>25.03150851260876</v>
      </c>
      <c r="AG13">
        <v>16.665977529295379</v>
      </c>
      <c r="AH13">
        <f>31.2774398539534*1</f>
        <v>31.2774398539534</v>
      </c>
      <c r="AI13">
        <f>5.27466299398542*1</f>
        <v>5.2746629939854204</v>
      </c>
      <c r="AJ13">
        <v>1</v>
      </c>
      <c r="AK13">
        <v>0</v>
      </c>
      <c r="AL13">
        <v>0</v>
      </c>
    </row>
    <row r="14" spans="1:42" x14ac:dyDescent="0.2">
      <c r="A14" t="s">
        <v>375</v>
      </c>
      <c r="B14" t="s">
        <v>376</v>
      </c>
      <c r="C14" t="s">
        <v>377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5</v>
      </c>
      <c r="AE14">
        <v>819</v>
      </c>
      <c r="AF14">
        <v>23.01944888355191</v>
      </c>
      <c r="AG14">
        <v>27.81850847629995</v>
      </c>
      <c r="AH14">
        <f>31.4249726922497*1</f>
        <v>31.4249726922497</v>
      </c>
      <c r="AI14">
        <f>6.49230853461018*1</f>
        <v>6.4923085346101796</v>
      </c>
      <c r="AJ14">
        <v>1</v>
      </c>
      <c r="AK14">
        <v>1</v>
      </c>
      <c r="AL14">
        <v>1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71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5.7</v>
      </c>
      <c r="AE15">
        <v>48</v>
      </c>
      <c r="AF15">
        <v>23.864215254143001</v>
      </c>
      <c r="AG15">
        <v>12.32267184278437</v>
      </c>
      <c r="AH15">
        <f>25.0505455388093*1</f>
        <v>25.050545538809299</v>
      </c>
      <c r="AI15">
        <f>5.2761977166107*1</f>
        <v>5.2761977166107004</v>
      </c>
      <c r="AJ15">
        <v>1</v>
      </c>
      <c r="AK15">
        <v>1</v>
      </c>
      <c r="AL15">
        <v>0</v>
      </c>
    </row>
    <row r="16" spans="1:42" hidden="1" x14ac:dyDescent="0.2">
      <c r="A16" t="s">
        <v>73</v>
      </c>
      <c r="B16" t="s">
        <v>74</v>
      </c>
      <c r="C16" t="s">
        <v>75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53</v>
      </c>
      <c r="AF16">
        <v>14.32885906040269</v>
      </c>
      <c r="AG16">
        <v>4.8675815861679732</v>
      </c>
      <c r="AH16">
        <f>15.041170748302*1</f>
        <v>15.041170748301999</v>
      </c>
      <c r="AI16">
        <f>3.0082341496604*1</f>
        <v>3.0082341496603999</v>
      </c>
      <c r="AJ16">
        <v>1</v>
      </c>
      <c r="AK16">
        <v>0</v>
      </c>
      <c r="AL16">
        <v>0</v>
      </c>
      <c r="AN16" t="s">
        <v>10</v>
      </c>
      <c r="AO16">
        <f>AO2-AO14*5</f>
        <v>452.13677028640888</v>
      </c>
    </row>
    <row r="17" spans="1:42" hidden="1" x14ac:dyDescent="0.2">
      <c r="A17" t="s">
        <v>76</v>
      </c>
      <c r="B17" t="s">
        <v>77</v>
      </c>
      <c r="C17" t="s">
        <v>78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17.578125</v>
      </c>
      <c r="AG17">
        <v>16.06846293791682</v>
      </c>
      <c r="AH17">
        <f>18.4519631636718*1</f>
        <v>18.451963163671799</v>
      </c>
      <c r="AI17">
        <f>3.69039263273437*1</f>
        <v>3.6903926327343699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55</v>
      </c>
      <c r="AF18">
        <v>15.22580645161289</v>
      </c>
      <c r="AG18">
        <v>12.585121524517911</v>
      </c>
      <c r="AH18">
        <f>15.9827069031741*1</f>
        <v>15.982706903174099</v>
      </c>
      <c r="AI18">
        <f>3.19654138063483*1</f>
        <v>3.1965413806348302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x14ac:dyDescent="0.2">
      <c r="A19" t="s">
        <v>52</v>
      </c>
      <c r="B19" t="s">
        <v>53</v>
      </c>
      <c r="C19" t="s">
        <v>53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8.5</v>
      </c>
      <c r="AE19">
        <v>12</v>
      </c>
      <c r="AF19">
        <v>30.853196053591841</v>
      </c>
      <c r="AG19">
        <v>27.047324244782718</v>
      </c>
      <c r="AH19">
        <f>38.5517709962371*1</f>
        <v>38.551770996237103</v>
      </c>
      <c r="AI19">
        <f>6.42529516603952*1</f>
        <v>6.4252951660395201</v>
      </c>
      <c r="AJ19">
        <v>1</v>
      </c>
      <c r="AK19">
        <v>1</v>
      </c>
      <c r="AL19">
        <v>1</v>
      </c>
      <c r="AN19" t="s">
        <v>12</v>
      </c>
      <c r="AO19">
        <f>SUMPRODUCT(Table1[Selected],Table1[AVL])</f>
        <v>2</v>
      </c>
      <c r="AP19">
        <v>3</v>
      </c>
    </row>
    <row r="20" spans="1:42" hidden="1" x14ac:dyDescent="0.2">
      <c r="A20" t="s">
        <v>83</v>
      </c>
      <c r="B20" t="s">
        <v>84</v>
      </c>
      <c r="C20" t="s">
        <v>83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15.65217391304348</v>
      </c>
      <c r="AG20">
        <v>11.818302914090919</v>
      </c>
      <c r="AH20">
        <f>16.4302698083478*1</f>
        <v>16.430269808347798</v>
      </c>
      <c r="AI20">
        <f>3.28605396166956*1</f>
        <v>3.2860539616695599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19.333333333333329</v>
      </c>
      <c r="AG21">
        <v>21.348632839678132</v>
      </c>
      <c r="AH21">
        <f>20.2944258558666*1</f>
        <v>20.294425855866599</v>
      </c>
      <c r="AI21">
        <f>4.05888517117333*1</f>
        <v>4.0588851711733298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82</v>
      </c>
      <c r="AF22">
        <v>12.620689655172409</v>
      </c>
      <c r="AG22">
        <v>14.157112679070041</v>
      </c>
      <c r="AH22">
        <f>13.8174159300778*1</f>
        <v>13.8174159300778</v>
      </c>
      <c r="AI22">
        <f>2.27131327646077*1</f>
        <v>2.27131327646077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11.07692307692308</v>
      </c>
      <c r="AG23">
        <v>8.5052660588058142</v>
      </c>
      <c r="AH23">
        <f>10.8597329648773*1</f>
        <v>10.859732964877301</v>
      </c>
      <c r="AI23">
        <f>1.77810431652206*1</f>
        <v>1.77810431652206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89</v>
      </c>
      <c r="AF24">
        <v>16.434782608695649</v>
      </c>
      <c r="AG24">
        <v>19.23136535582961</v>
      </c>
      <c r="AH24">
        <f>18.2504958361476*1</f>
        <v>18.2504958361476</v>
      </c>
      <c r="AI24">
        <f>3.27143769411069*1</f>
        <v>3.27143769411069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96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94</v>
      </c>
      <c r="AF25">
        <v>22.59981101335789</v>
      </c>
      <c r="AG25">
        <v>25.101130934312721</v>
      </c>
      <c r="AH25">
        <f>24.6619662513846*1</f>
        <v>24.661966251384602</v>
      </c>
      <c r="AI25">
        <f>5.92547141959835*1</f>
        <v>5.9254714195983498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99</v>
      </c>
      <c r="AF26">
        <v>17.647058823529409</v>
      </c>
      <c r="AG26">
        <v>15.092678035189611</v>
      </c>
      <c r="AH26">
        <f>17.7998337492727*1</f>
        <v>17.7998337492727</v>
      </c>
      <c r="AI26">
        <f>3.16375809392262*1</f>
        <v>3.16375809392262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100</v>
      </c>
      <c r="AF27">
        <v>14.756950684106149</v>
      </c>
      <c r="AG27">
        <v>12.139298622053129</v>
      </c>
      <c r="AH27">
        <f>14.7289825242631*1</f>
        <v>14.728982524263101</v>
      </c>
      <c r="AI27">
        <f>2.13779077483707*1</f>
        <v>2.1377907748370699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101</v>
      </c>
      <c r="AF28">
        <v>13.90384615384616</v>
      </c>
      <c r="AG28">
        <v>13.2216770770506</v>
      </c>
      <c r="AH28">
        <f>14.4543805296216*1</f>
        <v>14.4543805296216</v>
      </c>
      <c r="AI28">
        <f>2.43558773623995*1</f>
        <v>2.4355877362399498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3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7.2</v>
      </c>
      <c r="AE29">
        <v>102</v>
      </c>
      <c r="AF29">
        <v>31.23514470465118</v>
      </c>
      <c r="AG29">
        <v>17.174318408564019</v>
      </c>
      <c r="AH29">
        <f>28.421039751867*1</f>
        <v>28.421039751866999</v>
      </c>
      <c r="AI29">
        <f>4.20197421719672*1</f>
        <v>4.20197421719672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5.4</v>
      </c>
      <c r="AE30">
        <v>103</v>
      </c>
      <c r="AF30">
        <v>20.914240416197462</v>
      </c>
      <c r="AG30">
        <v>26.949135076226341</v>
      </c>
      <c r="AH30">
        <f>24.0254538535444*1</f>
        <v>24.025453853544398</v>
      </c>
      <c r="AI30">
        <f>3.84880872377307*1</f>
        <v>3.8488087237730699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0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106</v>
      </c>
      <c r="AF31">
        <v>14.73991230008585</v>
      </c>
      <c r="AG31">
        <v>12.83372177071768</v>
      </c>
      <c r="AH31">
        <f>14.9410418958436*1</f>
        <v>14.9410418958436</v>
      </c>
      <c r="AI31">
        <f>2.89089452985644*1</f>
        <v>2.8908945298564399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107</v>
      </c>
      <c r="AF32">
        <v>13.09090909090909</v>
      </c>
      <c r="AG32">
        <v>10.727918413646311</v>
      </c>
      <c r="AH32">
        <f>13.0528842137489*1</f>
        <v>13.0528842137489</v>
      </c>
      <c r="AI32">
        <f>2.0319974983425*1</f>
        <v>2.0319974983425002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118</v>
      </c>
      <c r="AF33">
        <v>14.444444444444439</v>
      </c>
      <c r="AG33">
        <v>14.95871833042052</v>
      </c>
      <c r="AH33">
        <f>14.9170640890154*1</f>
        <v>14.917064089015399</v>
      </c>
      <c r="AI33">
        <f>3.86191740040456*1</f>
        <v>3.8619174004045602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134</v>
      </c>
      <c r="AF34">
        <v>14.718147599258421</v>
      </c>
      <c r="AG34">
        <v>14.36385597579015</v>
      </c>
      <c r="AH34">
        <f>14.5910216245245*1</f>
        <v>14.591021624524499</v>
      </c>
      <c r="AI34">
        <f>2.8995495813459*1</f>
        <v>2.8995495813458998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135</v>
      </c>
      <c r="AF35">
        <v>10.3125</v>
      </c>
      <c r="AG35">
        <v>12.48282500541019</v>
      </c>
      <c r="AH35">
        <f>11.8995810732913*1</f>
        <v>11.8995810732913</v>
      </c>
      <c r="AI35">
        <f>2.35700795652225*1</f>
        <v>2.3570079565222501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5.2</v>
      </c>
      <c r="AE36">
        <v>138</v>
      </c>
      <c r="AF36">
        <v>14.48717948717948</v>
      </c>
      <c r="AG36">
        <v>18.724370681189601</v>
      </c>
      <c r="AH36">
        <f>17.5402606413603*1</f>
        <v>17.540260641360302</v>
      </c>
      <c r="AI36">
        <f>3.56077642967504*1</f>
        <v>3.5607764296750402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140</v>
      </c>
      <c r="AF37">
        <v>15.370370370370379</v>
      </c>
      <c r="AG37">
        <v>15.71988141922863</v>
      </c>
      <c r="AH37">
        <f>15.7362526482701*1</f>
        <v>15.736252648270099</v>
      </c>
      <c r="AI37">
        <f>3.44636985084586*1</f>
        <v>3.4463698508458598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3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123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141</v>
      </c>
      <c r="AF38">
        <v>9.7291155908219746</v>
      </c>
      <c r="AG38">
        <v>8.6510353628990444</v>
      </c>
      <c r="AH38">
        <f>9.06023970147992*1</f>
        <v>9.0602397014799205</v>
      </c>
      <c r="AI38">
        <f>2.01479747615797*1</f>
        <v>2.0147974761579701</v>
      </c>
      <c r="AJ38">
        <v>1</v>
      </c>
      <c r="AK38">
        <v>0</v>
      </c>
      <c r="AL38">
        <v>0</v>
      </c>
    </row>
    <row r="39" spans="1:42" hidden="1" x14ac:dyDescent="0.2">
      <c r="A39" t="s">
        <v>124</v>
      </c>
      <c r="B39" t="s">
        <v>125</v>
      </c>
      <c r="C39" t="s">
        <v>125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5.7</v>
      </c>
      <c r="AE39">
        <v>146</v>
      </c>
      <c r="AF39">
        <v>15.67333212025801</v>
      </c>
      <c r="AG39">
        <v>16.440790494387421</v>
      </c>
      <c r="AH39">
        <f>16.3313045632163*1</f>
        <v>16.3313045632163</v>
      </c>
      <c r="AI39">
        <f>2.89032428695159*1</f>
        <v>2.8903242869515902</v>
      </c>
      <c r="AJ39">
        <v>1</v>
      </c>
      <c r="AK39">
        <v>0</v>
      </c>
      <c r="AL39">
        <v>0</v>
      </c>
    </row>
    <row r="40" spans="1:42" hidden="1" x14ac:dyDescent="0.2">
      <c r="A40" t="s">
        <v>126</v>
      </c>
      <c r="B40" t="s">
        <v>127</v>
      </c>
      <c r="C40" t="s">
        <v>127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161</v>
      </c>
      <c r="AF40">
        <v>19.22009996930813</v>
      </c>
      <c r="AG40">
        <v>18.20423911575735</v>
      </c>
      <c r="AH40">
        <f>27.414698620939*1</f>
        <v>27.414698620938999</v>
      </c>
      <c r="AI40">
        <f>6.98035787901249*1</f>
        <v>6.9803578790124901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164</v>
      </c>
      <c r="AF41">
        <v>11.33333333333333</v>
      </c>
      <c r="AG41">
        <v>11.250130985576551</v>
      </c>
      <c r="AH41">
        <f>16.3776264635948*1</f>
        <v>16.377626463594801</v>
      </c>
      <c r="AI41">
        <f>3.38164043879466*1</f>
        <v>3.3816404387946601</v>
      </c>
      <c r="AJ41">
        <v>1</v>
      </c>
      <c r="AK41">
        <v>0</v>
      </c>
      <c r="AL41">
        <v>0</v>
      </c>
    </row>
    <row r="42" spans="1:42" x14ac:dyDescent="0.2">
      <c r="A42" t="s">
        <v>251</v>
      </c>
      <c r="B42" t="s">
        <v>252</v>
      </c>
      <c r="C42" t="s">
        <v>252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22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470</v>
      </c>
      <c r="AF42">
        <v>18.333333333333329</v>
      </c>
      <c r="AG42">
        <v>19.44500361163804</v>
      </c>
      <c r="AH42">
        <f>30.6545553948333*1</f>
        <v>30.654555394833299</v>
      </c>
      <c r="AI42">
        <f>6.13091107896666*1</f>
        <v>6.1309110789666601</v>
      </c>
      <c r="AJ42">
        <v>1</v>
      </c>
      <c r="AK42">
        <v>1</v>
      </c>
      <c r="AL42">
        <v>1</v>
      </c>
    </row>
    <row r="43" spans="1:42" hidden="1" x14ac:dyDescent="0.2">
      <c r="A43" t="s">
        <v>131</v>
      </c>
      <c r="B43" t="s">
        <v>132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172</v>
      </c>
      <c r="AF43">
        <v>22.76047254596509</v>
      </c>
      <c r="AG43">
        <v>16.135710641622339</v>
      </c>
      <c r="AH43">
        <f>30.2334035031058*1</f>
        <v>30.233403503105801</v>
      </c>
      <c r="AI43">
        <f>5.99584634420606*1</f>
        <v>5.9958463442060603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134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173</v>
      </c>
      <c r="AF44">
        <v>23.41288861948664</v>
      </c>
      <c r="AG44">
        <v>11.18599999418764</v>
      </c>
      <c r="AH44">
        <f>28.8728296724478*1</f>
        <v>28.8728296724478</v>
      </c>
      <c r="AI44">
        <f>3.38583241160975*1</f>
        <v>3.38583241160975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137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181</v>
      </c>
      <c r="AF45">
        <v>13.204751290438651</v>
      </c>
      <c r="AG45">
        <v>23.541890723275049</v>
      </c>
      <c r="AH45">
        <f>23.3757312711519*1</f>
        <v>23.375731271151899</v>
      </c>
      <c r="AI45">
        <f>2.76519803805331*1</f>
        <v>2.7651980380533101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139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5.7</v>
      </c>
      <c r="AE46">
        <v>191</v>
      </c>
      <c r="AF46">
        <v>16.238129183296461</v>
      </c>
      <c r="AG46">
        <v>15.345821273357879</v>
      </c>
      <c r="AH46">
        <f>23.1473330627192*1</f>
        <v>23.147333062719198</v>
      </c>
      <c r="AI46">
        <f>5.05605892232797*1</f>
        <v>5.0560589223279697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141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223</v>
      </c>
      <c r="AF47">
        <v>8.1730769230769216</v>
      </c>
      <c r="AG47">
        <v>7.139959818164586</v>
      </c>
      <c r="AH47">
        <f>7.5222098480048*1</f>
        <v>7.5222098480047999</v>
      </c>
      <c r="AI47">
        <f>1.50444196960096*1</f>
        <v>1.5044419696009601</v>
      </c>
      <c r="AJ47">
        <v>1</v>
      </c>
      <c r="AK47">
        <v>0</v>
      </c>
      <c r="AL47">
        <v>0</v>
      </c>
    </row>
    <row r="48" spans="1:42" hidden="1" x14ac:dyDescent="0.2">
      <c r="A48" t="s">
        <v>142</v>
      </c>
      <c r="B48" t="s">
        <v>143</v>
      </c>
      <c r="C48" t="s">
        <v>143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4.8</v>
      </c>
      <c r="AE48">
        <v>241</v>
      </c>
      <c r="AF48">
        <v>10.434782608695651</v>
      </c>
      <c r="AG48">
        <v>10.3001490907824</v>
      </c>
      <c r="AH48">
        <f>9.60380346834782*1</f>
        <v>9.6038034683478202</v>
      </c>
      <c r="AI48">
        <f>1.92076069366956*1</f>
        <v>1.92076069366956</v>
      </c>
      <c r="AJ48">
        <v>1</v>
      </c>
      <c r="AK48">
        <v>0</v>
      </c>
      <c r="AL48">
        <v>0</v>
      </c>
    </row>
    <row r="49" spans="1:38" hidden="1" x14ac:dyDescent="0.2">
      <c r="A49" t="s">
        <v>144</v>
      </c>
      <c r="B49" t="s">
        <v>145</v>
      </c>
      <c r="C49" t="s">
        <v>145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243</v>
      </c>
      <c r="AF49">
        <v>15.23809523809523</v>
      </c>
      <c r="AG49">
        <v>19.29315787702927</v>
      </c>
      <c r="AH49">
        <f>14.0246018902857*1</f>
        <v>14.0246018902857</v>
      </c>
      <c r="AI49">
        <f>2.80492037805714*1</f>
        <v>2.8049203780571399</v>
      </c>
      <c r="AJ49">
        <v>1</v>
      </c>
      <c r="AK49">
        <v>0</v>
      </c>
      <c r="AL49">
        <v>0</v>
      </c>
    </row>
    <row r="50" spans="1:38" hidden="1" x14ac:dyDescent="0.2">
      <c r="A50" t="s">
        <v>146</v>
      </c>
      <c r="B50" t="s">
        <v>147</v>
      </c>
      <c r="C50" t="s">
        <v>147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263</v>
      </c>
      <c r="AF50">
        <v>13.46153846153846</v>
      </c>
      <c r="AG50">
        <v>13.75495523915327</v>
      </c>
      <c r="AH50">
        <f>14.054291099423*1</f>
        <v>14.054291099423001</v>
      </c>
      <c r="AI50">
        <f>2.81085821988461*1</f>
        <v>2.8108582198846102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148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265</v>
      </c>
      <c r="AF51">
        <v>13.29268292682927</v>
      </c>
      <c r="AG51">
        <v>12.37874839395241</v>
      </c>
      <c r="AH51">
        <f>13.8780003399878*1</f>
        <v>13.8780003399878</v>
      </c>
      <c r="AI51">
        <f>2.77560006799756*1</f>
        <v>2.7756000679975599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151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5.4</v>
      </c>
      <c r="AE52">
        <v>267</v>
      </c>
      <c r="AF52">
        <v>14.917386020072559</v>
      </c>
      <c r="AG52">
        <v>13.20491253427403</v>
      </c>
      <c r="AH52">
        <f>15.5742440708076*1</f>
        <v>15.5742440708076</v>
      </c>
      <c r="AI52">
        <f>3.69513657792911*1</f>
        <v>3.6951365779291101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153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4.3</v>
      </c>
      <c r="AE53">
        <v>268</v>
      </c>
      <c r="AF53">
        <v>12.857142857142851</v>
      </c>
      <c r="AG53">
        <v>12.416013903150301</v>
      </c>
      <c r="AH53">
        <f>13.4232821112857*1</f>
        <v>13.423282111285699</v>
      </c>
      <c r="AI53">
        <f>2.68465642225714*1</f>
        <v>2.6846564222571399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272</v>
      </c>
      <c r="AF54">
        <v>17.869143016220129</v>
      </c>
      <c r="AG54">
        <v>14.116950699031641</v>
      </c>
      <c r="AH54">
        <f>18.6559759395048*1</f>
        <v>18.655975939504799</v>
      </c>
      <c r="AI54">
        <f>3.39112275255218*1</f>
        <v>3.3911227525521799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6.8</v>
      </c>
      <c r="AE55">
        <v>273</v>
      </c>
      <c r="AF55">
        <v>17.8</v>
      </c>
      <c r="AG55">
        <v>18.59604494640466</v>
      </c>
      <c r="AH55">
        <f>18.58378834518*1</f>
        <v>18.58378834518</v>
      </c>
      <c r="AI55">
        <f>3.716757669036*1</f>
        <v>3.7167576690359998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160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6.9</v>
      </c>
      <c r="AE56">
        <v>278</v>
      </c>
      <c r="AF56">
        <v>19.765775097691769</v>
      </c>
      <c r="AG56">
        <v>26.815041597077052</v>
      </c>
      <c r="AH56">
        <f>20.636122522131*1</f>
        <v>20.636122522131</v>
      </c>
      <c r="AI56">
        <f>3.7706100901245*1</f>
        <v>3.7706100901244999</v>
      </c>
      <c r="AJ56">
        <v>1</v>
      </c>
      <c r="AK56">
        <v>0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279</v>
      </c>
      <c r="AF57">
        <v>16.602564102564092</v>
      </c>
      <c r="AG57">
        <v>12.4167237472662</v>
      </c>
      <c r="AH57">
        <f>17.3336256892884*1</f>
        <v>17.3336256892884</v>
      </c>
      <c r="AI57">
        <f>3.46672513785769*1</f>
        <v>3.46672513785769</v>
      </c>
      <c r="AJ57">
        <v>1</v>
      </c>
      <c r="AK57">
        <v>0</v>
      </c>
      <c r="AL57">
        <v>0</v>
      </c>
    </row>
    <row r="58" spans="1:38" x14ac:dyDescent="0.2">
      <c r="A58" t="s">
        <v>243</v>
      </c>
      <c r="B58" t="s">
        <v>244</v>
      </c>
      <c r="C58" t="s">
        <v>244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21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7.1</v>
      </c>
      <c r="AE58">
        <v>434</v>
      </c>
      <c r="AF58">
        <v>23.38876535727892</v>
      </c>
      <c r="AG58">
        <v>27.790485749603249</v>
      </c>
      <c r="AH58">
        <f>27.5441194935858*1</f>
        <v>27.5441194935858</v>
      </c>
      <c r="AI58">
        <f>5.89658804974712*1</f>
        <v>5.8965880497471197</v>
      </c>
      <c r="AJ58">
        <v>1</v>
      </c>
      <c r="AK58">
        <v>1</v>
      </c>
      <c r="AL58">
        <v>1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284</v>
      </c>
      <c r="AF59">
        <v>12.88461538461538</v>
      </c>
      <c r="AG59">
        <v>10.051124064743091</v>
      </c>
      <c r="AH59">
        <f>13.4519643380192*1</f>
        <v>13.4519643380192</v>
      </c>
      <c r="AI59">
        <f>2.69039286760384*1</f>
        <v>2.69039286760384</v>
      </c>
      <c r="AJ59">
        <v>1</v>
      </c>
      <c r="AK59">
        <v>0</v>
      </c>
      <c r="AL59">
        <v>0</v>
      </c>
    </row>
    <row r="60" spans="1:38" hidden="1" x14ac:dyDescent="0.2">
      <c r="A60" t="s">
        <v>168</v>
      </c>
      <c r="B60" t="s">
        <v>169</v>
      </c>
      <c r="C60" t="s">
        <v>169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4.7</v>
      </c>
      <c r="AE60">
        <v>306</v>
      </c>
      <c r="AF60">
        <v>17.820521601372558</v>
      </c>
      <c r="AG60">
        <v>18.45411578354776</v>
      </c>
      <c r="AH60">
        <f>17.5013220891226*1</f>
        <v>17.501322089122599</v>
      </c>
      <c r="AI60">
        <f>3.13835207029068*1</f>
        <v>3.1383520702906802</v>
      </c>
      <c r="AJ60">
        <v>1</v>
      </c>
      <c r="AK60">
        <v>0</v>
      </c>
      <c r="AL60">
        <v>0</v>
      </c>
    </row>
    <row r="61" spans="1:38" hidden="1" x14ac:dyDescent="0.2">
      <c r="A61" t="s">
        <v>170</v>
      </c>
      <c r="B61" t="s">
        <v>171</v>
      </c>
      <c r="C61" t="s">
        <v>172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307</v>
      </c>
      <c r="AF61">
        <v>17.005524861878438</v>
      </c>
      <c r="AG61">
        <v>14.78467766989699</v>
      </c>
      <c r="AH61">
        <f>16.7009234948204*1</f>
        <v>16.700923494820401</v>
      </c>
      <c r="AI61">
        <f>2.78348724913673*1</f>
        <v>2.78348724913673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312</v>
      </c>
      <c r="AF62">
        <v>22.606060606060598</v>
      </c>
      <c r="AG62">
        <v>19.6601682788625</v>
      </c>
      <c r="AH62">
        <f>22.201142967803*1</f>
        <v>22.201142967803001</v>
      </c>
      <c r="AI62">
        <f>3.70019049463383*1</f>
        <v>3.70019049463383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176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316</v>
      </c>
      <c r="AF63">
        <v>21.858764105170088</v>
      </c>
      <c r="AG63">
        <v>22.128180061040709</v>
      </c>
      <c r="AH63">
        <f>21.4672319717774*1</f>
        <v>21.467231971777402</v>
      </c>
      <c r="AI63">
        <f>4.00545369739021*1</f>
        <v>4.0054536973902097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317</v>
      </c>
      <c r="AF64">
        <v>15.69597332081336</v>
      </c>
      <c r="AG64">
        <v>16.922501713724909</v>
      </c>
      <c r="AH64">
        <f>15.4148285181884*1</f>
        <v>15.414828518188401</v>
      </c>
      <c r="AI64">
        <f>2.70128355691298*1</f>
        <v>2.7012835569129798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318</v>
      </c>
      <c r="AF65">
        <v>15.03703703703704</v>
      </c>
      <c r="AG65">
        <v>13.124104261271951</v>
      </c>
      <c r="AH65">
        <f>14.7676950393518*1</f>
        <v>14.7676950393518</v>
      </c>
      <c r="AI65">
        <f>2.46128250655864*1</f>
        <v>2.4612825065586401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320</v>
      </c>
      <c r="AF66">
        <v>17.19368776184351</v>
      </c>
      <c r="AG66">
        <v>16.181962891460749</v>
      </c>
      <c r="AH66">
        <f>16.8857160385616*1</f>
        <v>16.885716038561601</v>
      </c>
      <c r="AI66">
        <f>2.94081614045296*1</f>
        <v>2.9408161404529598</v>
      </c>
      <c r="AJ66">
        <v>1</v>
      </c>
      <c r="AK66">
        <v>0</v>
      </c>
      <c r="AL66">
        <v>0</v>
      </c>
    </row>
    <row r="67" spans="1:38" hidden="1" x14ac:dyDescent="0.2">
      <c r="A67" t="s">
        <v>184</v>
      </c>
      <c r="B67" t="s">
        <v>185</v>
      </c>
      <c r="C67" t="s">
        <v>185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328</v>
      </c>
      <c r="AF67">
        <v>15.96022099940321</v>
      </c>
      <c r="AG67">
        <v>13.50372081429961</v>
      </c>
      <c r="AH67">
        <f>15.6743430171326*1</f>
        <v>15.6743430171326</v>
      </c>
      <c r="AI67">
        <f>2.703311475145*1</f>
        <v>2.703311475145</v>
      </c>
      <c r="AJ67">
        <v>1</v>
      </c>
      <c r="AK67">
        <v>0</v>
      </c>
      <c r="AL67">
        <v>0</v>
      </c>
    </row>
    <row r="68" spans="1:38" hidden="1" x14ac:dyDescent="0.2">
      <c r="A68" t="s">
        <v>186</v>
      </c>
      <c r="B68" t="s">
        <v>187</v>
      </c>
      <c r="C68" t="s">
        <v>187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4.2</v>
      </c>
      <c r="AE68">
        <v>344</v>
      </c>
      <c r="AF68">
        <v>16.166666666666671</v>
      </c>
      <c r="AG68">
        <v>15.38336981216848</v>
      </c>
      <c r="AH68">
        <f>14.7649903590279*1</f>
        <v>14.7649903590279</v>
      </c>
      <c r="AI68">
        <f>2.46083173224805*1</f>
        <v>2.46083173224805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348</v>
      </c>
      <c r="AF69">
        <v>17.942668936593108</v>
      </c>
      <c r="AG69">
        <v>15.690080128421711</v>
      </c>
      <c r="AH69">
        <f>16.3870103074588*1</f>
        <v>16.387010307458802</v>
      </c>
      <c r="AI69">
        <f>2.82029020208638*1</f>
        <v>2.82029020208638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349</v>
      </c>
      <c r="AF70">
        <v>12.506410109901649</v>
      </c>
      <c r="AG70">
        <v>10.800055342622651</v>
      </c>
      <c r="AH70">
        <f>11.4220839744226*1</f>
        <v>11.4220839744226</v>
      </c>
      <c r="AI70">
        <f>1.88597724294724*1</f>
        <v>1.8859772429472399</v>
      </c>
      <c r="AJ70">
        <v>1</v>
      </c>
      <c r="AK70">
        <v>0</v>
      </c>
      <c r="AL70">
        <v>0</v>
      </c>
    </row>
    <row r="71" spans="1:38" hidden="1" x14ac:dyDescent="0.2">
      <c r="A71" t="s">
        <v>193</v>
      </c>
      <c r="B71" t="s">
        <v>194</v>
      </c>
      <c r="C71" t="s">
        <v>194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355</v>
      </c>
      <c r="AF71">
        <v>19.005405405405401</v>
      </c>
      <c r="AG71">
        <v>16.53642591093098</v>
      </c>
      <c r="AH71">
        <f>17.3576057909286*1</f>
        <v>17.357605790928599</v>
      </c>
      <c r="AI71">
        <f>2.89293429516312*1</f>
        <v>2.8929342951631201</v>
      </c>
      <c r="AJ71">
        <v>1</v>
      </c>
      <c r="AK71">
        <v>0</v>
      </c>
      <c r="AL71">
        <v>0</v>
      </c>
    </row>
    <row r="72" spans="1:38" hidden="1" x14ac:dyDescent="0.2">
      <c r="A72" t="s">
        <v>195</v>
      </c>
      <c r="B72" t="s">
        <v>196</v>
      </c>
      <c r="C72" t="s">
        <v>196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4.7</v>
      </c>
      <c r="AE72">
        <v>357</v>
      </c>
      <c r="AF72">
        <v>15.19804245910033</v>
      </c>
      <c r="AG72">
        <v>12.935395710037019</v>
      </c>
      <c r="AH72">
        <f>13.8803474082484*1</f>
        <v>13.880347408248401</v>
      </c>
      <c r="AI72">
        <f>2.95760855290829*1</f>
        <v>2.9576085529082898</v>
      </c>
      <c r="AJ72">
        <v>1</v>
      </c>
      <c r="AK72">
        <v>0</v>
      </c>
      <c r="AL72">
        <v>0</v>
      </c>
    </row>
    <row r="73" spans="1:38" hidden="1" x14ac:dyDescent="0.2">
      <c r="A73" t="s">
        <v>170</v>
      </c>
      <c r="B73" t="s">
        <v>197</v>
      </c>
      <c r="C73" t="s">
        <v>197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359</v>
      </c>
      <c r="AF73">
        <v>21.164179104477618</v>
      </c>
      <c r="AG73">
        <v>20.10700547691793</v>
      </c>
      <c r="AH73">
        <f>19.3292103353505*1</f>
        <v>19.329210335350499</v>
      </c>
      <c r="AI73">
        <f>3.22153506495887*1</f>
        <v>3.2215350649588701</v>
      </c>
      <c r="AJ73">
        <v>1</v>
      </c>
      <c r="AK73">
        <v>0</v>
      </c>
      <c r="AL73">
        <v>0</v>
      </c>
    </row>
    <row r="74" spans="1:38" hidden="1" x14ac:dyDescent="0.2">
      <c r="A74" t="s">
        <v>198</v>
      </c>
      <c r="B74" t="s">
        <v>199</v>
      </c>
      <c r="C74" t="s">
        <v>199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377</v>
      </c>
      <c r="AF74">
        <v>13.95993906204459</v>
      </c>
      <c r="AG74">
        <v>13.08630375523513</v>
      </c>
      <c r="AH74">
        <f>13.4088519430178*1</f>
        <v>13.408851943017799</v>
      </c>
      <c r="AI74">
        <f>2.78777419890002*1</f>
        <v>2.7877741989000202</v>
      </c>
      <c r="AJ74">
        <v>1</v>
      </c>
      <c r="AK74">
        <v>0</v>
      </c>
      <c r="AL74">
        <v>0</v>
      </c>
    </row>
    <row r="75" spans="1:38" hidden="1" x14ac:dyDescent="0.2">
      <c r="A75" t="s">
        <v>200</v>
      </c>
      <c r="B75" t="s">
        <v>201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378</v>
      </c>
      <c r="AF75">
        <v>17.338709677419349</v>
      </c>
      <c r="AG75">
        <v>24.191212326725839</v>
      </c>
      <c r="AH75">
        <f>20.967670267962*1</f>
        <v>20.967670267961999</v>
      </c>
      <c r="AI75">
        <f>4.69485464672922*1</f>
        <v>4.6948546467292198</v>
      </c>
      <c r="AJ75">
        <v>1</v>
      </c>
      <c r="AK75">
        <v>0</v>
      </c>
      <c r="AL75">
        <v>0</v>
      </c>
    </row>
    <row r="76" spans="1:38" hidden="1" x14ac:dyDescent="0.2">
      <c r="A76" t="s">
        <v>202</v>
      </c>
      <c r="B76" t="s">
        <v>203</v>
      </c>
      <c r="C76" t="s">
        <v>203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381</v>
      </c>
      <c r="AF76">
        <v>13.78173165617387</v>
      </c>
      <c r="AG76">
        <v>13.12091289342689</v>
      </c>
      <c r="AH76">
        <f>13.3472674209018*1</f>
        <v>13.347267420901799</v>
      </c>
      <c r="AI76">
        <f>2.63358540609576*1</f>
        <v>2.6335854060957602</v>
      </c>
      <c r="AJ76">
        <v>1</v>
      </c>
      <c r="AK76">
        <v>0</v>
      </c>
      <c r="AL76">
        <v>0</v>
      </c>
    </row>
    <row r="77" spans="1:38" hidden="1" x14ac:dyDescent="0.2">
      <c r="A77" t="s">
        <v>204</v>
      </c>
      <c r="B77" t="s">
        <v>205</v>
      </c>
      <c r="C77" t="s">
        <v>205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386</v>
      </c>
      <c r="AF77">
        <v>18.45527355354697</v>
      </c>
      <c r="AG77">
        <v>17.342484697223469</v>
      </c>
      <c r="AH77">
        <f>17.7496439936153*1</f>
        <v>17.749643993615301</v>
      </c>
      <c r="AI77">
        <f>4.48378073672979*1</f>
        <v>4.4837807367297904</v>
      </c>
      <c r="AJ77">
        <v>1</v>
      </c>
      <c r="AK77">
        <v>0</v>
      </c>
      <c r="AL77">
        <v>0</v>
      </c>
    </row>
    <row r="78" spans="1:38" hidden="1" x14ac:dyDescent="0.2">
      <c r="A78" t="s">
        <v>206</v>
      </c>
      <c r="B78" t="s">
        <v>207</v>
      </c>
      <c r="C78" t="s">
        <v>208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391</v>
      </c>
      <c r="AF78">
        <v>11.56428922055667</v>
      </c>
      <c r="AG78">
        <v>14.80670463891501</v>
      </c>
      <c r="AH78">
        <f>13.2630392323178*1</f>
        <v>13.2630392323178</v>
      </c>
      <c r="AI78">
        <f>2.93363319156512*1</f>
        <v>2.9336331915651201</v>
      </c>
      <c r="AJ78">
        <v>1</v>
      </c>
      <c r="AK78">
        <v>0</v>
      </c>
      <c r="AL78">
        <v>0</v>
      </c>
    </row>
    <row r="79" spans="1:38" hidden="1" x14ac:dyDescent="0.2">
      <c r="A79" t="s">
        <v>209</v>
      </c>
      <c r="B79" t="s">
        <v>210</v>
      </c>
      <c r="C79" t="s">
        <v>210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394</v>
      </c>
      <c r="AF79">
        <v>12.80898876404494</v>
      </c>
      <c r="AG79">
        <v>11.637615797299491</v>
      </c>
      <c r="AH79">
        <f>12.1023993766837*1</f>
        <v>12.102399376683699</v>
      </c>
      <c r="AI79">
        <f>3.0668358564945*1</f>
        <v>3.0668358564945</v>
      </c>
      <c r="AJ79">
        <v>1</v>
      </c>
      <c r="AK79">
        <v>0</v>
      </c>
      <c r="AL79">
        <v>0</v>
      </c>
    </row>
    <row r="80" spans="1:38" hidden="1" x14ac:dyDescent="0.2">
      <c r="A80" t="s">
        <v>211</v>
      </c>
      <c r="B80" t="s">
        <v>144</v>
      </c>
      <c r="C80" t="s">
        <v>144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399</v>
      </c>
      <c r="AF80">
        <v>13.23529411764706</v>
      </c>
      <c r="AG80">
        <v>10.00936114348915</v>
      </c>
      <c r="AH80">
        <f>11.409888238688*1</f>
        <v>11.409888238688</v>
      </c>
      <c r="AI80">
        <f>2.21139230829315*1</f>
        <v>2.2113923082931501</v>
      </c>
      <c r="AJ80">
        <v>1</v>
      </c>
      <c r="AK80">
        <v>0</v>
      </c>
      <c r="AL80">
        <v>0</v>
      </c>
    </row>
    <row r="81" spans="1:38" hidden="1" x14ac:dyDescent="0.2">
      <c r="A81" t="s">
        <v>212</v>
      </c>
      <c r="B81" t="s">
        <v>213</v>
      </c>
      <c r="C81" t="s">
        <v>212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400</v>
      </c>
      <c r="AF81">
        <v>14.48014755367724</v>
      </c>
      <c r="AG81">
        <v>19.742640030065878</v>
      </c>
      <c r="AH81">
        <f>17.2606992838656*1</f>
        <v>17.260699283865598</v>
      </c>
      <c r="AI81">
        <f>3.37867651905057*1</f>
        <v>3.3786765190505701</v>
      </c>
      <c r="AJ81">
        <v>1</v>
      </c>
      <c r="AK81">
        <v>0</v>
      </c>
      <c r="AL81">
        <v>0</v>
      </c>
    </row>
    <row r="82" spans="1:38" hidden="1" x14ac:dyDescent="0.2">
      <c r="A82" t="s">
        <v>214</v>
      </c>
      <c r="B82" t="s">
        <v>215</v>
      </c>
      <c r="C82" t="s">
        <v>215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402</v>
      </c>
      <c r="AF82">
        <v>11.19047619047619</v>
      </c>
      <c r="AG82">
        <v>10.01288705216319</v>
      </c>
      <c r="AH82">
        <f>10.4893594107281*1</f>
        <v>10.489359410728101</v>
      </c>
      <c r="AI82">
        <f>2.05610992612713*1</f>
        <v>2.0561099261271298</v>
      </c>
      <c r="AJ82">
        <v>1</v>
      </c>
      <c r="AK82">
        <v>0</v>
      </c>
      <c r="AL82">
        <v>0</v>
      </c>
    </row>
    <row r="83" spans="1:38" hidden="1" x14ac:dyDescent="0.2">
      <c r="A83" t="s">
        <v>216</v>
      </c>
      <c r="B83" t="s">
        <v>217</v>
      </c>
      <c r="C83" t="s">
        <v>217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408</v>
      </c>
      <c r="AF83">
        <v>14.733096280645279</v>
      </c>
      <c r="AG83">
        <v>14.7672003540509</v>
      </c>
      <c r="AH83">
        <f>14.6710633719162*1</f>
        <v>14.671063371916199</v>
      </c>
      <c r="AI83">
        <f>2.83507773380565*1</f>
        <v>2.8350777338056501</v>
      </c>
      <c r="AJ83">
        <v>1</v>
      </c>
      <c r="AK83">
        <v>0</v>
      </c>
      <c r="AL83">
        <v>0</v>
      </c>
    </row>
    <row r="84" spans="1:38" hidden="1" x14ac:dyDescent="0.2">
      <c r="A84" t="s">
        <v>218</v>
      </c>
      <c r="B84" t="s">
        <v>219</v>
      </c>
      <c r="C84" t="s">
        <v>219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8.4</v>
      </c>
      <c r="AE84">
        <v>415</v>
      </c>
      <c r="AF84">
        <v>31.575274272963458</v>
      </c>
      <c r="AG84">
        <v>30.206775221020589</v>
      </c>
      <c r="AH84">
        <f>0*0</f>
        <v>0</v>
      </c>
      <c r="AI84">
        <f>5.72280129152951*0</f>
        <v>0</v>
      </c>
      <c r="AJ84">
        <v>0</v>
      </c>
      <c r="AK84">
        <v>0</v>
      </c>
      <c r="AL84">
        <v>0</v>
      </c>
    </row>
    <row r="85" spans="1:38" hidden="1" x14ac:dyDescent="0.2">
      <c r="A85" t="s">
        <v>220</v>
      </c>
      <c r="B85" t="s">
        <v>221</v>
      </c>
      <c r="C85" t="s">
        <v>222</v>
      </c>
      <c r="D85" t="s">
        <v>3</v>
      </c>
      <c r="E85">
        <v>1</v>
      </c>
      <c r="F85">
        <v>0</v>
      </c>
      <c r="G85">
        <v>0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5.7</v>
      </c>
      <c r="AE85">
        <v>416</v>
      </c>
      <c r="AF85">
        <v>26.133890929998479</v>
      </c>
      <c r="AG85">
        <v>25.47110261937906</v>
      </c>
      <c r="AH85">
        <f>0*0</f>
        <v>0</v>
      </c>
      <c r="AI85">
        <f>4.62463502360213*0</f>
        <v>0</v>
      </c>
      <c r="AJ85">
        <v>0</v>
      </c>
      <c r="AK85">
        <v>0</v>
      </c>
      <c r="AL85">
        <v>0</v>
      </c>
    </row>
    <row r="86" spans="1:38" hidden="1" x14ac:dyDescent="0.2">
      <c r="A86" t="s">
        <v>223</v>
      </c>
      <c r="B86" t="s">
        <v>224</v>
      </c>
      <c r="C86" t="s">
        <v>223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7.5</v>
      </c>
      <c r="AE86">
        <v>418</v>
      </c>
      <c r="AF86">
        <v>23.44444444444445</v>
      </c>
      <c r="AG86">
        <v>23.4353124606622</v>
      </c>
      <c r="AH86">
        <f>26.1977514148469*1</f>
        <v>26.197751414846898</v>
      </c>
      <c r="AI86">
        <f>4.49681110983593*1</f>
        <v>4.4968111098359298</v>
      </c>
      <c r="AJ86">
        <v>1</v>
      </c>
      <c r="AK86">
        <v>0</v>
      </c>
      <c r="AL86">
        <v>0</v>
      </c>
    </row>
    <row r="87" spans="1:38" hidden="1" x14ac:dyDescent="0.2">
      <c r="A87" t="s">
        <v>225</v>
      </c>
      <c r="B87" t="s">
        <v>226</v>
      </c>
      <c r="C87" t="s">
        <v>227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419</v>
      </c>
      <c r="AF87">
        <v>26.21052631578948</v>
      </c>
      <c r="AG87">
        <v>26.68529452635515</v>
      </c>
      <c r="AH87">
        <f>29.4435571390056*1</f>
        <v>29.443557139005598</v>
      </c>
      <c r="AI87">
        <f>4.96324750743385*1</f>
        <v>4.9632475074338496</v>
      </c>
      <c r="AJ87">
        <v>1</v>
      </c>
      <c r="AK87">
        <v>0</v>
      </c>
      <c r="AL87">
        <v>0</v>
      </c>
    </row>
    <row r="88" spans="1:38" hidden="1" x14ac:dyDescent="0.2">
      <c r="A88" t="s">
        <v>228</v>
      </c>
      <c r="B88" t="s">
        <v>229</v>
      </c>
      <c r="C88" t="s">
        <v>229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420</v>
      </c>
      <c r="AF88">
        <v>12.248813705874939</v>
      </c>
      <c r="AG88">
        <v>9.7790225658830927</v>
      </c>
      <c r="AH88">
        <f>12.9001128425977*1</f>
        <v>12.9001128425977</v>
      </c>
      <c r="AI88">
        <f>1.98551518081005*1</f>
        <v>1.98551518081005</v>
      </c>
      <c r="AJ88">
        <v>1</v>
      </c>
      <c r="AK88">
        <v>0</v>
      </c>
      <c r="AL88">
        <v>0</v>
      </c>
    </row>
    <row r="89" spans="1:38" hidden="1" x14ac:dyDescent="0.2">
      <c r="A89" t="s">
        <v>230</v>
      </c>
      <c r="B89" t="s">
        <v>231</v>
      </c>
      <c r="C89" t="s">
        <v>231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7.2</v>
      </c>
      <c r="AE89">
        <v>422</v>
      </c>
      <c r="AF89">
        <v>13.77276878088489</v>
      </c>
      <c r="AG89">
        <v>17.997279024219019</v>
      </c>
      <c r="AH89">
        <f>16.7410361076919*1</f>
        <v>16.741036107691901</v>
      </c>
      <c r="AI89">
        <f>3.52172695588984*1</f>
        <v>3.5217269558898399</v>
      </c>
      <c r="AJ89">
        <v>1</v>
      </c>
      <c r="AK89">
        <v>0</v>
      </c>
      <c r="AL89">
        <v>0</v>
      </c>
    </row>
    <row r="90" spans="1:38" hidden="1" x14ac:dyDescent="0.2">
      <c r="A90" t="s">
        <v>232</v>
      </c>
      <c r="B90" t="s">
        <v>233</v>
      </c>
      <c r="C90" t="s">
        <v>233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4.5999999999999996</v>
      </c>
      <c r="AE90">
        <v>423</v>
      </c>
      <c r="AF90">
        <v>16.25</v>
      </c>
      <c r="AG90">
        <v>14.19894481991491</v>
      </c>
      <c r="AH90">
        <f>17.5054168253698*1</f>
        <v>17.505416825369799</v>
      </c>
      <c r="AI90">
        <f>2.91930871825523*1</f>
        <v>2.91930871825523</v>
      </c>
      <c r="AJ90">
        <v>1</v>
      </c>
      <c r="AK90">
        <v>0</v>
      </c>
      <c r="AL90">
        <v>0</v>
      </c>
    </row>
    <row r="91" spans="1:38" hidden="1" x14ac:dyDescent="0.2">
      <c r="A91" t="s">
        <v>234</v>
      </c>
      <c r="B91" t="s">
        <v>235</v>
      </c>
      <c r="C91" t="s">
        <v>235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427</v>
      </c>
      <c r="AF91">
        <v>17.34782608695652</v>
      </c>
      <c r="AG91">
        <v>16.85875910387437</v>
      </c>
      <c r="AH91">
        <f>19.2311242048277*1</f>
        <v>19.231124204827701</v>
      </c>
      <c r="AI91">
        <f>3.24921383896793*1</f>
        <v>3.2492138389679299</v>
      </c>
      <c r="AJ91">
        <v>1</v>
      </c>
      <c r="AK91">
        <v>0</v>
      </c>
      <c r="AL91">
        <v>0</v>
      </c>
    </row>
    <row r="92" spans="1:38" hidden="1" x14ac:dyDescent="0.2">
      <c r="A92" t="s">
        <v>236</v>
      </c>
      <c r="B92" t="s">
        <v>237</v>
      </c>
      <c r="C92" t="s">
        <v>238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7.5</v>
      </c>
      <c r="AE92">
        <v>428</v>
      </c>
      <c r="AF92">
        <v>22.188679245283019</v>
      </c>
      <c r="AG92">
        <v>19.25515368207671</v>
      </c>
      <c r="AH92">
        <f>23.8604567240565*1</f>
        <v>23.860456724056501</v>
      </c>
      <c r="AI92">
        <f>4.09849777748379*1</f>
        <v>4.0984977774837903</v>
      </c>
      <c r="AJ92">
        <v>1</v>
      </c>
      <c r="AK92">
        <v>0</v>
      </c>
      <c r="AL92">
        <v>0</v>
      </c>
    </row>
    <row r="93" spans="1:38" hidden="1" x14ac:dyDescent="0.2">
      <c r="A93" t="s">
        <v>239</v>
      </c>
      <c r="B93" t="s">
        <v>240</v>
      </c>
      <c r="C93" t="s">
        <v>240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5.8</v>
      </c>
      <c r="AE93">
        <v>429</v>
      </c>
      <c r="AF93">
        <v>17.831517174096291</v>
      </c>
      <c r="AG93">
        <v>16.033833924533869</v>
      </c>
      <c r="AH93">
        <f>19.3537771208854*1</f>
        <v>19.3537771208854</v>
      </c>
      <c r="AI93">
        <f>3.19879049430762*1</f>
        <v>3.19879049430762</v>
      </c>
      <c r="AJ93">
        <v>1</v>
      </c>
      <c r="AK93">
        <v>0</v>
      </c>
      <c r="AL93">
        <v>0</v>
      </c>
    </row>
    <row r="94" spans="1:38" x14ac:dyDescent="0.2">
      <c r="A94" t="s">
        <v>245</v>
      </c>
      <c r="B94" t="s">
        <v>246</v>
      </c>
      <c r="C94" t="s">
        <v>245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6.6</v>
      </c>
      <c r="AE94">
        <v>438</v>
      </c>
      <c r="AF94">
        <v>28.311377245508972</v>
      </c>
      <c r="AG94">
        <v>30.03590478020233</v>
      </c>
      <c r="AH94">
        <f>32.1904996057263*1</f>
        <v>32.190499605726302</v>
      </c>
      <c r="AI94">
        <f>5.41635693492409*1</f>
        <v>5.4163569349240896</v>
      </c>
      <c r="AJ94">
        <v>1</v>
      </c>
      <c r="AK94">
        <v>1</v>
      </c>
      <c r="AL94">
        <v>1</v>
      </c>
    </row>
    <row r="95" spans="1:38" x14ac:dyDescent="0.2">
      <c r="A95" t="s">
        <v>64</v>
      </c>
      <c r="B95" t="s">
        <v>65</v>
      </c>
      <c r="C95" t="s">
        <v>66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11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26</v>
      </c>
      <c r="AF95">
        <v>24.86746987951808</v>
      </c>
      <c r="AG95">
        <v>25.411352680432639</v>
      </c>
      <c r="AH95">
        <f>31.0724698467469*1</f>
        <v>31.072469846746898</v>
      </c>
      <c r="AI95">
        <f>5.17874497445783*1</f>
        <v>5.17874497445783</v>
      </c>
      <c r="AJ95">
        <v>1</v>
      </c>
      <c r="AK95">
        <v>1</v>
      </c>
      <c r="AL95">
        <v>1</v>
      </c>
    </row>
    <row r="96" spans="1:38" x14ac:dyDescent="0.2">
      <c r="A96" t="s">
        <v>56</v>
      </c>
      <c r="B96" t="s">
        <v>57</v>
      </c>
      <c r="C96" t="s">
        <v>57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11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5.8</v>
      </c>
      <c r="AE96">
        <v>18</v>
      </c>
      <c r="AF96">
        <v>24.610783851207898</v>
      </c>
      <c r="AG96">
        <v>25.66420579972991</v>
      </c>
      <c r="AH96">
        <f>30.7517348096325*1</f>
        <v>30.751734809632499</v>
      </c>
      <c r="AI96">
        <f>4.95094167530557*1</f>
        <v>4.9509416753055699</v>
      </c>
      <c r="AJ96">
        <v>1</v>
      </c>
      <c r="AK96">
        <v>1</v>
      </c>
      <c r="AL96">
        <v>1</v>
      </c>
    </row>
    <row r="97" spans="1:38" hidden="1" x14ac:dyDescent="0.2">
      <c r="A97" t="s">
        <v>247</v>
      </c>
      <c r="B97" t="s">
        <v>248</v>
      </c>
      <c r="C97" t="s">
        <v>248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458</v>
      </c>
      <c r="AF97">
        <v>17.95454545454545</v>
      </c>
      <c r="AG97">
        <v>14.12326927796583</v>
      </c>
      <c r="AH97">
        <f>0*0</f>
        <v>0</v>
      </c>
      <c r="AI97">
        <f>6.00423936245908*0</f>
        <v>0</v>
      </c>
      <c r="AJ97">
        <v>0</v>
      </c>
      <c r="AK97">
        <v>0</v>
      </c>
      <c r="AL97">
        <v>0</v>
      </c>
    </row>
    <row r="98" spans="1:38" x14ac:dyDescent="0.2">
      <c r="A98" t="s">
        <v>370</v>
      </c>
      <c r="B98" t="s">
        <v>371</v>
      </c>
      <c r="C98" t="s">
        <v>371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30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4.5</v>
      </c>
      <c r="AE98">
        <v>814</v>
      </c>
      <c r="AF98">
        <v>17.948275862068961</v>
      </c>
      <c r="AG98">
        <v>20.376744429462899</v>
      </c>
      <c r="AH98">
        <f>23.6976152082454*1</f>
        <v>23.697615208245399</v>
      </c>
      <c r="AI98">
        <f>4.94848893421588*1</f>
        <v>4.94848893421588</v>
      </c>
      <c r="AJ98">
        <v>1</v>
      </c>
      <c r="AK98">
        <v>1</v>
      </c>
      <c r="AL98">
        <v>1</v>
      </c>
    </row>
    <row r="99" spans="1:38" x14ac:dyDescent="0.2">
      <c r="A99" t="s">
        <v>89</v>
      </c>
      <c r="B99" t="s">
        <v>130</v>
      </c>
      <c r="C99" t="s">
        <v>130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15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5.2</v>
      </c>
      <c r="AE99">
        <v>167</v>
      </c>
      <c r="AF99">
        <v>15.891891891891881</v>
      </c>
      <c r="AG99">
        <v>15.407210480310731</v>
      </c>
      <c r="AH99">
        <f>22.8136879664827*1</f>
        <v>22.8136879664827</v>
      </c>
      <c r="AI99">
        <f>4.91492810384494*1</f>
        <v>4.9149281038449404</v>
      </c>
      <c r="AJ99">
        <v>1</v>
      </c>
      <c r="AK99">
        <v>1</v>
      </c>
      <c r="AL99">
        <v>1</v>
      </c>
    </row>
    <row r="100" spans="1:38" hidden="1" x14ac:dyDescent="0.2">
      <c r="A100" t="s">
        <v>253</v>
      </c>
      <c r="B100" t="s">
        <v>254</v>
      </c>
      <c r="C100" t="s">
        <v>254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4.9000000000000004</v>
      </c>
      <c r="AE100">
        <v>472</v>
      </c>
      <c r="AF100">
        <v>13.8</v>
      </c>
      <c r="AG100">
        <v>14.03198955561982</v>
      </c>
      <c r="AH100">
        <f>23.07451987902*1</f>
        <v>23.074519879019999</v>
      </c>
      <c r="AI100">
        <f>4.614903975804*1</f>
        <v>4.6149039758040002</v>
      </c>
      <c r="AJ100">
        <v>1</v>
      </c>
      <c r="AK100">
        <v>0</v>
      </c>
      <c r="AL100">
        <v>0</v>
      </c>
    </row>
    <row r="101" spans="1:38" hidden="1" x14ac:dyDescent="0.2">
      <c r="A101" t="s">
        <v>255</v>
      </c>
      <c r="B101" t="s">
        <v>256</v>
      </c>
      <c r="C101" t="s">
        <v>256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492</v>
      </c>
      <c r="AF101">
        <v>15.10687383964515</v>
      </c>
      <c r="AG101">
        <v>12.538255360409011</v>
      </c>
      <c r="AH101">
        <f>25.2597000523724*1</f>
        <v>25.259700052372398</v>
      </c>
      <c r="AI101">
        <f>4.84046380742903*1</f>
        <v>4.84046380742903</v>
      </c>
      <c r="AJ101">
        <v>1</v>
      </c>
      <c r="AK101">
        <v>0</v>
      </c>
      <c r="AL101">
        <v>0</v>
      </c>
    </row>
    <row r="102" spans="1:38" hidden="1" x14ac:dyDescent="0.2">
      <c r="A102" t="s">
        <v>257</v>
      </c>
      <c r="B102" t="s">
        <v>258</v>
      </c>
      <c r="C102" t="s">
        <v>258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503</v>
      </c>
      <c r="AF102">
        <v>16.630434782608699</v>
      </c>
      <c r="AG102">
        <v>17.563286579843702</v>
      </c>
      <c r="AH102">
        <f>16.2187594168304*1</f>
        <v>16.218759416830402</v>
      </c>
      <c r="AI102">
        <f>3.24375188336608*1</f>
        <v>3.2437518833660799</v>
      </c>
      <c r="AJ102">
        <v>1</v>
      </c>
      <c r="AK102">
        <v>0</v>
      </c>
      <c r="AL102">
        <v>0</v>
      </c>
    </row>
    <row r="103" spans="1:38" hidden="1" x14ac:dyDescent="0.2">
      <c r="A103" t="s">
        <v>259</v>
      </c>
      <c r="B103" t="s">
        <v>260</v>
      </c>
      <c r="C103" t="s">
        <v>260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5.0999999999999996</v>
      </c>
      <c r="AE103">
        <v>504</v>
      </c>
      <c r="AF103">
        <v>16.36690647482013</v>
      </c>
      <c r="AG103">
        <v>16.127150896061071</v>
      </c>
      <c r="AH103">
        <f>15.9617545772445*1</f>
        <v>15.9617545772445</v>
      </c>
      <c r="AI103">
        <f>3.19235091544891*1</f>
        <v>3.1923509154489098</v>
      </c>
      <c r="AJ103">
        <v>1</v>
      </c>
      <c r="AK103">
        <v>0</v>
      </c>
      <c r="AL103">
        <v>0</v>
      </c>
    </row>
    <row r="104" spans="1:38" hidden="1" x14ac:dyDescent="0.2">
      <c r="A104" t="s">
        <v>261</v>
      </c>
      <c r="B104" t="s">
        <v>262</v>
      </c>
      <c r="C104" t="s">
        <v>263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505</v>
      </c>
      <c r="AF104">
        <v>18.839285714285719</v>
      </c>
      <c r="AG104">
        <v>19.261556523466751</v>
      </c>
      <c r="AH104">
        <f>18.3729317109892*1</f>
        <v>18.372931710989199</v>
      </c>
      <c r="AI104">
        <f>3.67458634219785*1</f>
        <v>3.6745863421978502</v>
      </c>
      <c r="AJ104">
        <v>1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6.2</v>
      </c>
      <c r="AE105">
        <v>506</v>
      </c>
      <c r="AF105">
        <v>18.63636363636364</v>
      </c>
      <c r="AG105">
        <v>21.901697028221211</v>
      </c>
      <c r="AH105">
        <f>18.175032834309*1</f>
        <v>18.175032834309</v>
      </c>
      <c r="AI105">
        <f>3.63500656686181*1</f>
        <v>3.6350065668618101</v>
      </c>
      <c r="AJ105">
        <v>1</v>
      </c>
      <c r="AK105">
        <v>0</v>
      </c>
      <c r="AL105">
        <v>0</v>
      </c>
    </row>
    <row r="106" spans="1:38" hidden="1" x14ac:dyDescent="0.2">
      <c r="A106" t="s">
        <v>266</v>
      </c>
      <c r="B106" t="s">
        <v>267</v>
      </c>
      <c r="C106" t="s">
        <v>266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512</v>
      </c>
      <c r="AF106">
        <v>15.2127659574468</v>
      </c>
      <c r="AG106">
        <v>14.294833193904299</v>
      </c>
      <c r="AH106">
        <f>14.8361840417063*1</f>
        <v>14.8361840417063</v>
      </c>
      <c r="AI106">
        <f>2.96723680834127*1</f>
        <v>2.9672368083412701</v>
      </c>
      <c r="AJ106">
        <v>1</v>
      </c>
      <c r="AK106">
        <v>0</v>
      </c>
      <c r="AL106">
        <v>0</v>
      </c>
    </row>
    <row r="107" spans="1:38" hidden="1" x14ac:dyDescent="0.2">
      <c r="A107" t="s">
        <v>268</v>
      </c>
      <c r="B107" t="s">
        <v>269</v>
      </c>
      <c r="C107" t="s">
        <v>270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5.5</v>
      </c>
      <c r="AE107">
        <v>513</v>
      </c>
      <c r="AF107">
        <v>19.515306122448951</v>
      </c>
      <c r="AG107">
        <v>21.09296160934689</v>
      </c>
      <c r="AH107">
        <f>19.0322176830152*1</f>
        <v>19.032217683015201</v>
      </c>
      <c r="AI107">
        <f>3.80644353660305*1</f>
        <v>3.8064435366030498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272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8.1</v>
      </c>
      <c r="AE108">
        <v>514</v>
      </c>
      <c r="AF108">
        <v>33.898018363060388</v>
      </c>
      <c r="AG108">
        <v>19.65993997303681</v>
      </c>
      <c r="AH108">
        <f>33.0588954362584*1</f>
        <v>33.058895436258403</v>
      </c>
      <c r="AI108">
        <f>7.03875289918694*1</f>
        <v>7.0387528991869397</v>
      </c>
      <c r="AJ108">
        <v>1</v>
      </c>
      <c r="AK108">
        <v>0</v>
      </c>
      <c r="AL108">
        <v>0</v>
      </c>
    </row>
    <row r="109" spans="1:38" hidden="1" x14ac:dyDescent="0.2">
      <c r="A109" t="s">
        <v>273</v>
      </c>
      <c r="B109" t="s">
        <v>274</v>
      </c>
      <c r="C109" t="s">
        <v>274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14.3</v>
      </c>
      <c r="AE109">
        <v>516</v>
      </c>
      <c r="AF109">
        <v>38.055555555555557</v>
      </c>
      <c r="AG109">
        <v>43.530033570766449</v>
      </c>
      <c r="AH109">
        <f>37.1135155573222*1</f>
        <v>37.113515557322202</v>
      </c>
      <c r="AI109">
        <f>7.42270311146444*1</f>
        <v>7.4227031114644397</v>
      </c>
      <c r="AJ109">
        <v>1</v>
      </c>
      <c r="AK109">
        <v>0</v>
      </c>
      <c r="AL109">
        <v>0</v>
      </c>
    </row>
    <row r="110" spans="1:38" hidden="1" x14ac:dyDescent="0.2">
      <c r="A110" t="s">
        <v>275</v>
      </c>
      <c r="B110" t="s">
        <v>276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523</v>
      </c>
      <c r="AF110">
        <v>18.274119483648121</v>
      </c>
      <c r="AG110">
        <v>14.430098399940601</v>
      </c>
      <c r="AH110">
        <f>17.8217557949625*1</f>
        <v>17.821755794962499</v>
      </c>
      <c r="AI110">
        <f>2.7195803169911*1</f>
        <v>2.7195803169911001</v>
      </c>
      <c r="AJ110">
        <v>1</v>
      </c>
      <c r="AK110">
        <v>0</v>
      </c>
      <c r="AL110">
        <v>0</v>
      </c>
    </row>
    <row r="111" spans="1:38" hidden="1" x14ac:dyDescent="0.2">
      <c r="A111" t="s">
        <v>277</v>
      </c>
      <c r="B111" t="s">
        <v>278</v>
      </c>
      <c r="C111" t="s">
        <v>278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527</v>
      </c>
      <c r="AF111">
        <v>15.882771829703779</v>
      </c>
      <c r="AG111">
        <v>22.112807252449059</v>
      </c>
      <c r="AH111">
        <f>0*0</f>
        <v>0</v>
      </c>
      <c r="AI111">
        <f>3.09792087273342*0</f>
        <v>0</v>
      </c>
      <c r="AJ111">
        <v>0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281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8.1999999999999993</v>
      </c>
      <c r="AE112">
        <v>538</v>
      </c>
      <c r="AF112">
        <v>20.666666666666671</v>
      </c>
      <c r="AG112">
        <v>25.970194198538049</v>
      </c>
      <c r="AH112">
        <f>23.1390977207145*1</f>
        <v>23.139097720714499</v>
      </c>
      <c r="AI112">
        <f>4.62781953834604*1</f>
        <v>4.6278195383460403</v>
      </c>
      <c r="AJ112">
        <v>1</v>
      </c>
      <c r="AK112">
        <v>0</v>
      </c>
      <c r="AL112">
        <v>0</v>
      </c>
    </row>
    <row r="113" spans="1:38" hidden="1" x14ac:dyDescent="0.2">
      <c r="A113" t="s">
        <v>225</v>
      </c>
      <c r="B113" t="s">
        <v>282</v>
      </c>
      <c r="C113" t="s">
        <v>283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5.2</v>
      </c>
      <c r="AE113">
        <v>542</v>
      </c>
      <c r="AF113">
        <v>17.352941176470591</v>
      </c>
      <c r="AG113">
        <v>17.877682851482831</v>
      </c>
      <c r="AH113">
        <f>19.4289386326463*1</f>
        <v>19.4289386326463</v>
      </c>
      <c r="AI113">
        <f>3.8857876944221*1</f>
        <v>3.8857876944220999</v>
      </c>
      <c r="AJ113">
        <v>1</v>
      </c>
      <c r="AK113">
        <v>0</v>
      </c>
      <c r="AL113">
        <v>0</v>
      </c>
    </row>
    <row r="114" spans="1:38" hidden="1" x14ac:dyDescent="0.2">
      <c r="A114" t="s">
        <v>284</v>
      </c>
      <c r="B114" t="s">
        <v>285</v>
      </c>
      <c r="C114" t="s">
        <v>285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546</v>
      </c>
      <c r="AF114">
        <v>20.45830638055282</v>
      </c>
      <c r="AG114">
        <v>13.601375122435909</v>
      </c>
      <c r="AH114">
        <f>22.9058100303913*1</f>
        <v>22.905810030391301</v>
      </c>
      <c r="AI114">
        <f>4.77263640514233*1</f>
        <v>4.7726364051423298</v>
      </c>
      <c r="AJ114">
        <v>1</v>
      </c>
      <c r="AK114">
        <v>0</v>
      </c>
      <c r="AL114">
        <v>0</v>
      </c>
    </row>
    <row r="115" spans="1:38" hidden="1" x14ac:dyDescent="0.2">
      <c r="A115" t="s">
        <v>286</v>
      </c>
      <c r="B115" t="s">
        <v>287</v>
      </c>
      <c r="C115" t="s">
        <v>288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</v>
      </c>
      <c r="AE115">
        <v>549</v>
      </c>
      <c r="AF115">
        <v>15.8467607670113</v>
      </c>
      <c r="AG115">
        <v>15.37374059105079</v>
      </c>
      <c r="AH115">
        <f>17.7425681723275*1</f>
        <v>17.742568172327498</v>
      </c>
      <c r="AI115">
        <f>3.90158623336793*1</f>
        <v>3.9015862333679299</v>
      </c>
      <c r="AJ115">
        <v>1</v>
      </c>
      <c r="AK115">
        <v>0</v>
      </c>
      <c r="AL115">
        <v>0</v>
      </c>
    </row>
    <row r="116" spans="1:38" hidden="1" x14ac:dyDescent="0.2">
      <c r="A116" t="s">
        <v>289</v>
      </c>
      <c r="B116" t="s">
        <v>290</v>
      </c>
      <c r="C116" t="s">
        <v>291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4.9000000000000004</v>
      </c>
      <c r="AE116">
        <v>557</v>
      </c>
      <c r="AF116">
        <v>15.083333333333339</v>
      </c>
      <c r="AG116">
        <v>12.42349125012505</v>
      </c>
      <c r="AH116">
        <f>16.8878089648848*1</f>
        <v>16.887808964884801</v>
      </c>
      <c r="AI116">
        <f>3.37756177837651*1</f>
        <v>3.3775617783765099</v>
      </c>
      <c r="AJ116">
        <v>1</v>
      </c>
      <c r="AK116">
        <v>0</v>
      </c>
      <c r="AL116">
        <v>0</v>
      </c>
    </row>
    <row r="117" spans="1:38" hidden="1" x14ac:dyDescent="0.2">
      <c r="A117" t="s">
        <v>105</v>
      </c>
      <c r="B117" t="s">
        <v>292</v>
      </c>
      <c r="C117" t="s">
        <v>292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8.4</v>
      </c>
      <c r="AE117">
        <v>558</v>
      </c>
      <c r="AF117">
        <v>22.861918089026339</v>
      </c>
      <c r="AG117">
        <v>20.869694548565882</v>
      </c>
      <c r="AH117">
        <f>25.5969750150388*1</f>
        <v>25.596975015038801</v>
      </c>
      <c r="AI117">
        <f>5.55794524514378*1</f>
        <v>5.5579452451437801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196</v>
      </c>
      <c r="C118" t="s">
        <v>196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564</v>
      </c>
      <c r="AF118">
        <v>18.620689655172409</v>
      </c>
      <c r="AG118">
        <v>17.03733931437564</v>
      </c>
      <c r="AH118">
        <f>20.8483525330537*1</f>
        <v>20.848352533053699</v>
      </c>
      <c r="AI118">
        <f>4.16967049535434*1</f>
        <v>4.1696704953543398</v>
      </c>
      <c r="AJ118">
        <v>1</v>
      </c>
      <c r="AK118">
        <v>0</v>
      </c>
      <c r="AL118">
        <v>0</v>
      </c>
    </row>
    <row r="119" spans="1:38" hidden="1" x14ac:dyDescent="0.2">
      <c r="A119" t="s">
        <v>294</v>
      </c>
      <c r="B119" t="s">
        <v>295</v>
      </c>
      <c r="C119" t="s">
        <v>295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</v>
      </c>
      <c r="AE119">
        <v>565</v>
      </c>
      <c r="AF119">
        <v>32.028273193166442</v>
      </c>
      <c r="AG119">
        <v>23.39233457040898</v>
      </c>
      <c r="AH119">
        <f>35.859935295646*1</f>
        <v>35.859935295645997</v>
      </c>
      <c r="AI119">
        <f>9.50407344357971*1</f>
        <v>9.5040734435797098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297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</v>
      </c>
      <c r="AE120">
        <v>570</v>
      </c>
      <c r="AF120">
        <v>14.999999999999989</v>
      </c>
      <c r="AG120">
        <v>17.97519732703757</v>
      </c>
      <c r="AH120">
        <f>16.794506375568*1</f>
        <v>16.794506375568002</v>
      </c>
      <c r="AI120">
        <f>3.35890129206795*1</f>
        <v>3.3589012920679502</v>
      </c>
      <c r="AJ120">
        <v>1</v>
      </c>
      <c r="AK120">
        <v>0</v>
      </c>
      <c r="AL120">
        <v>0</v>
      </c>
    </row>
    <row r="121" spans="1:38" hidden="1" x14ac:dyDescent="0.2">
      <c r="A121" t="s">
        <v>279</v>
      </c>
      <c r="B121" t="s">
        <v>298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5.8</v>
      </c>
      <c r="AE121">
        <v>583</v>
      </c>
      <c r="AF121">
        <v>17.291666666666661</v>
      </c>
      <c r="AG121">
        <v>16.291693717176688</v>
      </c>
      <c r="AH121">
        <f>18.6682435707924*1</f>
        <v>18.668243570792399</v>
      </c>
      <c r="AI121">
        <f>4.07237912986652*1</f>
        <v>4.07237912986652</v>
      </c>
      <c r="AJ121">
        <v>1</v>
      </c>
      <c r="AK121">
        <v>0</v>
      </c>
      <c r="AL121">
        <v>0</v>
      </c>
    </row>
    <row r="122" spans="1:38" hidden="1" x14ac:dyDescent="0.2">
      <c r="A122" t="s">
        <v>300</v>
      </c>
      <c r="B122" t="s">
        <v>301</v>
      </c>
      <c r="C122" t="s">
        <v>301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4.4000000000000004</v>
      </c>
      <c r="AE122">
        <v>584</v>
      </c>
      <c r="AF122">
        <v>15.303771201870649</v>
      </c>
      <c r="AG122">
        <v>15.273930091412881</v>
      </c>
      <c r="AH122">
        <f>17.3412743139822*1</f>
        <v>17.341274313982201</v>
      </c>
      <c r="AI122">
        <f>4.02409867230856*1</f>
        <v>4.0240986723085603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589</v>
      </c>
      <c r="AF123">
        <v>23.413701015828739</v>
      </c>
      <c r="AG123">
        <v>11.953712733492591</v>
      </c>
      <c r="AH123">
        <f>15.5969943604805*1</f>
        <v>15.596994360480499</v>
      </c>
      <c r="AI123">
        <f>3.28949754428363*1</f>
        <v>3.2894975442836301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7.7</v>
      </c>
      <c r="AE124">
        <v>592</v>
      </c>
      <c r="AF124">
        <v>24.756097560975611</v>
      </c>
      <c r="AG124">
        <v>24.9850123014769</v>
      </c>
      <c r="AH124">
        <f>28.3175793730743*1</f>
        <v>28.317579373074299</v>
      </c>
      <c r="AI124">
        <f>6.10766414648109*1</f>
        <v>6.1076641464810901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4.8</v>
      </c>
      <c r="AE125">
        <v>598</v>
      </c>
      <c r="AF125">
        <v>14.3686937652871</v>
      </c>
      <c r="AG125">
        <v>10.173078648258439</v>
      </c>
      <c r="AH125">
        <f>12.289505432137*1</f>
        <v>12.289505432137</v>
      </c>
      <c r="AI125">
        <f>2.47342383564964*1</f>
        <v>2.4734238356496401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309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5.5</v>
      </c>
      <c r="AE126">
        <v>604</v>
      </c>
      <c r="AF126">
        <v>17.298410599865061</v>
      </c>
      <c r="AG126">
        <v>18.03741926253608</v>
      </c>
      <c r="AH126">
        <f>20.3416919295462*1</f>
        <v>20.341691929546201</v>
      </c>
      <c r="AI126">
        <f>4.99180714126791*1</f>
        <v>4.9918071412679099</v>
      </c>
      <c r="AJ126">
        <v>1</v>
      </c>
      <c r="AK126">
        <v>0</v>
      </c>
      <c r="AL126">
        <v>0</v>
      </c>
    </row>
    <row r="127" spans="1:38" hidden="1" x14ac:dyDescent="0.2">
      <c r="A127" t="s">
        <v>310</v>
      </c>
      <c r="B127" t="s">
        <v>311</v>
      </c>
      <c r="C127" t="s">
        <v>311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6.7</v>
      </c>
      <c r="AE127">
        <v>607</v>
      </c>
      <c r="AF127">
        <v>22.69339674670011</v>
      </c>
      <c r="AG127">
        <v>16.855110246390112</v>
      </c>
      <c r="AH127">
        <f>20.1645493078939*1</f>
        <v>20.1645493078939</v>
      </c>
      <c r="AI127">
        <f>3.4565641472274*1</f>
        <v>3.4565641472273998</v>
      </c>
      <c r="AJ127">
        <v>1</v>
      </c>
      <c r="AK127">
        <v>0</v>
      </c>
      <c r="AL127">
        <v>0</v>
      </c>
    </row>
    <row r="128" spans="1:38" hidden="1" x14ac:dyDescent="0.2">
      <c r="A128" t="s">
        <v>312</v>
      </c>
      <c r="B128" t="s">
        <v>313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5.7</v>
      </c>
      <c r="AE128">
        <v>639</v>
      </c>
      <c r="AF128">
        <v>19.58998857190149</v>
      </c>
      <c r="AG128">
        <v>10.992268450891631</v>
      </c>
      <c r="AH128">
        <f>18.0514469185974*1</f>
        <v>18.051446918597399</v>
      </c>
      <c r="AI128">
        <f>3.0894248670326*1</f>
        <v>3.0894248670326001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315</v>
      </c>
      <c r="D129" t="s">
        <v>6</v>
      </c>
      <c r="E129">
        <v>0</v>
      </c>
      <c r="F129">
        <v>0</v>
      </c>
      <c r="G129">
        <v>0</v>
      </c>
      <c r="H129">
        <v>1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4.8</v>
      </c>
      <c r="AE129">
        <v>659</v>
      </c>
      <c r="AF129">
        <v>18.67625595371101</v>
      </c>
      <c r="AG129">
        <v>15.24555249535001</v>
      </c>
      <c r="AH129">
        <f>25.0361678354684*1</f>
        <v>25.036167835468401</v>
      </c>
      <c r="AI129">
        <f>4.52894184859682*1</f>
        <v>4.52894184859682</v>
      </c>
      <c r="AJ129">
        <v>1</v>
      </c>
      <c r="AK129">
        <v>0</v>
      </c>
      <c r="AL129">
        <v>0</v>
      </c>
    </row>
    <row r="130" spans="1:38" hidden="1" x14ac:dyDescent="0.2">
      <c r="A130" t="s">
        <v>316</v>
      </c>
      <c r="B130" t="s">
        <v>317</v>
      </c>
      <c r="C130" t="s">
        <v>317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4.2</v>
      </c>
      <c r="AE130">
        <v>679</v>
      </c>
      <c r="AF130">
        <v>14.769747256513799</v>
      </c>
      <c r="AG130">
        <v>15.5477789804649</v>
      </c>
      <c r="AH130">
        <f>20.1856456416066*1</f>
        <v>20.185645641606602</v>
      </c>
      <c r="AI130">
        <f>4.68967614914996*1</f>
        <v>4.6896761491499603</v>
      </c>
      <c r="AJ130">
        <v>1</v>
      </c>
      <c r="AK130">
        <v>0</v>
      </c>
      <c r="AL130">
        <v>0</v>
      </c>
    </row>
    <row r="131" spans="1:38" hidden="1" x14ac:dyDescent="0.2">
      <c r="A131" t="s">
        <v>318</v>
      </c>
      <c r="B131" t="s">
        <v>319</v>
      </c>
      <c r="C131" t="s">
        <v>319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4.9000000000000004</v>
      </c>
      <c r="AE131">
        <v>710</v>
      </c>
      <c r="AF131">
        <v>16.666666666666671</v>
      </c>
      <c r="AG131">
        <v>18.997553801076432</v>
      </c>
      <c r="AH131">
        <f>24.4769147167589*1</f>
        <v>24.476914716758898</v>
      </c>
      <c r="AI131">
        <f>5.37971034344894*1</f>
        <v>5.3797103434489397</v>
      </c>
      <c r="AJ131">
        <v>1</v>
      </c>
      <c r="AK131">
        <v>0</v>
      </c>
      <c r="AL131">
        <v>0</v>
      </c>
    </row>
    <row r="132" spans="1:38" hidden="1" x14ac:dyDescent="0.2">
      <c r="A132" t="s">
        <v>320</v>
      </c>
      <c r="B132" t="s">
        <v>321</v>
      </c>
      <c r="C132" t="s">
        <v>321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5.8</v>
      </c>
      <c r="AE132">
        <v>722</v>
      </c>
      <c r="AF132">
        <v>13.46031746031745</v>
      </c>
      <c r="AG132">
        <v>11.409241179303191</v>
      </c>
      <c r="AH132">
        <f>14.0544289819936*1</f>
        <v>14.054428981993601</v>
      </c>
      <c r="AI132">
        <f>3.51360724549841*1</f>
        <v>3.51360724549841</v>
      </c>
      <c r="AJ132">
        <v>1</v>
      </c>
      <c r="AK132">
        <v>0</v>
      </c>
      <c r="AL132">
        <v>0</v>
      </c>
    </row>
    <row r="133" spans="1:38" hidden="1" x14ac:dyDescent="0.2">
      <c r="A133" t="s">
        <v>322</v>
      </c>
      <c r="B133" t="s">
        <v>323</v>
      </c>
      <c r="C133" t="s">
        <v>323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6.8</v>
      </c>
      <c r="AE133">
        <v>733</v>
      </c>
      <c r="AF133">
        <v>15.661971830985919</v>
      </c>
      <c r="AG133">
        <v>15.7259099503224</v>
      </c>
      <c r="AH133">
        <f>16.3532599781183*1</f>
        <v>16.353259978118299</v>
      </c>
      <c r="AI133">
        <f>4.08831499452957*1</f>
        <v>4.0883149945295703</v>
      </c>
      <c r="AJ133">
        <v>1</v>
      </c>
      <c r="AK133">
        <v>0</v>
      </c>
      <c r="AL133">
        <v>0</v>
      </c>
    </row>
    <row r="134" spans="1:38" hidden="1" x14ac:dyDescent="0.2">
      <c r="A134" t="s">
        <v>191</v>
      </c>
      <c r="B134" t="s">
        <v>324</v>
      </c>
      <c r="C134" t="s">
        <v>324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8</v>
      </c>
      <c r="AE134">
        <v>736</v>
      </c>
      <c r="AF134">
        <v>17.65113762377656</v>
      </c>
      <c r="AG134">
        <v>16.07936747320564</v>
      </c>
      <c r="AH134">
        <f>18.4302235750473*1</f>
        <v>18.4302235750473</v>
      </c>
      <c r="AI134">
        <f>4.73938821799542*1</f>
        <v>4.7393882179954199</v>
      </c>
      <c r="AJ134">
        <v>1</v>
      </c>
      <c r="AK134">
        <v>0</v>
      </c>
      <c r="AL134">
        <v>0</v>
      </c>
    </row>
    <row r="135" spans="1:38" hidden="1" x14ac:dyDescent="0.2">
      <c r="A135" t="s">
        <v>325</v>
      </c>
      <c r="B135" t="s">
        <v>326</v>
      </c>
      <c r="C135" t="s">
        <v>327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5.9</v>
      </c>
      <c r="AE135">
        <v>738</v>
      </c>
      <c r="AF135">
        <v>15.219512195121959</v>
      </c>
      <c r="AG135">
        <v>8.331836971732546</v>
      </c>
      <c r="AH135">
        <f>15.8912710578731*1</f>
        <v>15.8912710578731</v>
      </c>
      <c r="AI135">
        <f>3.97281776446829*1</f>
        <v>3.97281776446829</v>
      </c>
      <c r="AJ135">
        <v>1</v>
      </c>
      <c r="AK135">
        <v>0</v>
      </c>
      <c r="AL135">
        <v>0</v>
      </c>
    </row>
    <row r="136" spans="1:38" hidden="1" x14ac:dyDescent="0.2">
      <c r="A136" t="s">
        <v>328</v>
      </c>
      <c r="B136" t="s">
        <v>329</v>
      </c>
      <c r="C136" t="s">
        <v>328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6.9</v>
      </c>
      <c r="AE136">
        <v>740</v>
      </c>
      <c r="AF136">
        <v>15.61581920903955</v>
      </c>
      <c r="AG136">
        <v>14.32346393174446</v>
      </c>
      <c r="AH136">
        <f>16.3050702716429*1</f>
        <v>16.305070271642901</v>
      </c>
      <c r="AI136">
        <f>4.07626756791073*1</f>
        <v>4.0762675679107296</v>
      </c>
      <c r="AJ136">
        <v>1</v>
      </c>
      <c r="AK136">
        <v>0</v>
      </c>
      <c r="AL136">
        <v>0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5.2</v>
      </c>
      <c r="AE137">
        <v>742</v>
      </c>
      <c r="AF137">
        <v>12.4</v>
      </c>
      <c r="AG137">
        <v>10.035801213585341</v>
      </c>
      <c r="AH137">
        <f>12.9473112272799*1</f>
        <v>12.947311227279901</v>
      </c>
      <c r="AI137">
        <f>3.23682780681999*1</f>
        <v>3.2368278068199898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4.4000000000000004</v>
      </c>
      <c r="AE138">
        <v>744</v>
      </c>
      <c r="AF138">
        <v>9.7777777777777786</v>
      </c>
      <c r="AG138">
        <v>11.364661813088119</v>
      </c>
      <c r="AH138">
        <f>10.2093493548444*1</f>
        <v>10.209349354844401</v>
      </c>
      <c r="AI138">
        <f>2.55233733871111*1</f>
        <v>2.5523373387111099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10.1</v>
      </c>
      <c r="AE139">
        <v>747</v>
      </c>
      <c r="AF139">
        <v>26.220716029287299</v>
      </c>
      <c r="AG139">
        <v>17.264741571826619</v>
      </c>
      <c r="AH139">
        <f>27.3780460510735*1</f>
        <v>27.3780460510735</v>
      </c>
      <c r="AI139">
        <f>6.19184331148439*1</f>
        <v>6.1918433114843898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</v>
      </c>
      <c r="AE140">
        <v>750</v>
      </c>
      <c r="AF140">
        <v>12</v>
      </c>
      <c r="AG140">
        <v>7.0880385987426067</v>
      </c>
      <c r="AH140">
        <f>12.5296560264*1</f>
        <v>12.5296560264</v>
      </c>
      <c r="AI140">
        <f>3.1324140066*1</f>
        <v>3.1324140065999999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5.3</v>
      </c>
      <c r="AE141">
        <v>751</v>
      </c>
      <c r="AF141">
        <v>10.664790786982079</v>
      </c>
      <c r="AG141">
        <v>7.3325072266561442</v>
      </c>
      <c r="AH141">
        <f>11.1355133462004*1</f>
        <v>11.135513346200399</v>
      </c>
      <c r="AI141">
        <f>2.79686558034044*1</f>
        <v>2.7968655803404401</v>
      </c>
      <c r="AJ141">
        <v>1</v>
      </c>
      <c r="AK141">
        <v>0</v>
      </c>
      <c r="AL141">
        <v>0</v>
      </c>
    </row>
    <row r="142" spans="1:38" hidden="1" x14ac:dyDescent="0.2">
      <c r="A142" t="s">
        <v>340</v>
      </c>
      <c r="B142" t="s">
        <v>341</v>
      </c>
      <c r="C142" t="s">
        <v>341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4.3</v>
      </c>
      <c r="AE142">
        <v>766</v>
      </c>
      <c r="AF142">
        <v>16.969696969696969</v>
      </c>
      <c r="AG142">
        <v>14.63047155961983</v>
      </c>
      <c r="AH142">
        <f>13.7352140031017*1</f>
        <v>13.735214003101699</v>
      </c>
      <c r="AI142">
        <f>2.8223038585755*1</f>
        <v>2.8223038585754998</v>
      </c>
      <c r="AJ142">
        <v>1</v>
      </c>
      <c r="AK142">
        <v>0</v>
      </c>
      <c r="AL142">
        <v>0</v>
      </c>
    </row>
    <row r="143" spans="1:38" hidden="1" x14ac:dyDescent="0.2">
      <c r="A143" t="s">
        <v>342</v>
      </c>
      <c r="B143" t="s">
        <v>343</v>
      </c>
      <c r="C143" t="s">
        <v>343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7.9</v>
      </c>
      <c r="AE143">
        <v>768</v>
      </c>
      <c r="AF143">
        <v>23.227237236440601</v>
      </c>
      <c r="AG143">
        <v>20.776694515373698</v>
      </c>
      <c r="AH143">
        <f>19.5053415931205*1</f>
        <v>19.505341593120502</v>
      </c>
      <c r="AI143">
        <f>3.23973481197606*1</f>
        <v>3.2397348119760601</v>
      </c>
      <c r="AJ143">
        <v>1</v>
      </c>
      <c r="AK143">
        <v>0</v>
      </c>
      <c r="AL143">
        <v>0</v>
      </c>
    </row>
    <row r="144" spans="1:38" hidden="1" x14ac:dyDescent="0.2">
      <c r="A144" t="s">
        <v>344</v>
      </c>
      <c r="B144" t="s">
        <v>345</v>
      </c>
      <c r="C144" t="s">
        <v>345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4.5999999999999996</v>
      </c>
      <c r="AE144">
        <v>770</v>
      </c>
      <c r="AF144">
        <v>13.571428571428569</v>
      </c>
      <c r="AG144">
        <v>7.37433273553515</v>
      </c>
      <c r="AH144">
        <f>6.92308774052062*1</f>
        <v>6.9230877405206197</v>
      </c>
      <c r="AI144">
        <f>0.953209095355602*1</f>
        <v>0.95320909535560205</v>
      </c>
      <c r="AJ144">
        <v>1</v>
      </c>
      <c r="AK144">
        <v>0</v>
      </c>
      <c r="AL144">
        <v>0</v>
      </c>
    </row>
    <row r="145" spans="1:38" hidden="1" x14ac:dyDescent="0.2">
      <c r="A145" t="s">
        <v>346</v>
      </c>
      <c r="B145" t="s">
        <v>347</v>
      </c>
      <c r="C145" t="s">
        <v>346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4.4000000000000004</v>
      </c>
      <c r="AE145">
        <v>774</v>
      </c>
      <c r="AF145">
        <v>9.8519283379744103</v>
      </c>
      <c r="AG145">
        <v>8.8169031766143355</v>
      </c>
      <c r="AH145">
        <f>8.27738541980405*1</f>
        <v>8.27738541980405</v>
      </c>
      <c r="AI145">
        <f>1.40682883306302*1</f>
        <v>1.4068288330630201</v>
      </c>
      <c r="AJ145">
        <v>1</v>
      </c>
      <c r="AK145">
        <v>0</v>
      </c>
      <c r="AL145">
        <v>0</v>
      </c>
    </row>
    <row r="146" spans="1:38" hidden="1" x14ac:dyDescent="0.2">
      <c r="A146" t="s">
        <v>348</v>
      </c>
      <c r="B146" t="s">
        <v>349</v>
      </c>
      <c r="C146" t="s">
        <v>350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</v>
      </c>
      <c r="AE146">
        <v>781</v>
      </c>
      <c r="AF146">
        <v>16.967991113108599</v>
      </c>
      <c r="AG146">
        <v>19.461635880059081</v>
      </c>
      <c r="AH146">
        <f>18.2707531011092*1</f>
        <v>18.2707531011092</v>
      </c>
      <c r="AI146">
        <f>4.05136645671078*1</f>
        <v>4.0513664567107801</v>
      </c>
      <c r="AJ146">
        <v>1</v>
      </c>
      <c r="AK146">
        <v>0</v>
      </c>
      <c r="AL146">
        <v>0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4.9000000000000004</v>
      </c>
      <c r="AE147">
        <v>783</v>
      </c>
      <c r="AF147">
        <v>16.03448275862068</v>
      </c>
      <c r="AG147">
        <v>16.28655820319149</v>
      </c>
      <c r="AH147">
        <f>15.2899625525109*1</f>
        <v>15.2899625525109</v>
      </c>
      <c r="AI147">
        <f>2.02556339707334*1</f>
        <v>2.02556339707334</v>
      </c>
      <c r="AJ147">
        <v>1</v>
      </c>
      <c r="AK147">
        <v>0</v>
      </c>
      <c r="AL147">
        <v>0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4.5</v>
      </c>
      <c r="AE148">
        <v>785</v>
      </c>
      <c r="AF148">
        <v>15.842475841914469</v>
      </c>
      <c r="AG148">
        <v>18.436115585127158</v>
      </c>
      <c r="AH148">
        <f>17.3079857249855*1</f>
        <v>17.3079857249855</v>
      </c>
      <c r="AI148">
        <f>3.57669511324765*1</f>
        <v>3.5766951132476499</v>
      </c>
      <c r="AJ148">
        <v>1</v>
      </c>
      <c r="AK148">
        <v>0</v>
      </c>
      <c r="AL148">
        <v>0</v>
      </c>
    </row>
    <row r="149" spans="1:38" hidden="1" x14ac:dyDescent="0.2">
      <c r="A149" t="s">
        <v>355</v>
      </c>
      <c r="B149" t="s">
        <v>356</v>
      </c>
      <c r="C149" t="s">
        <v>262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5</v>
      </c>
      <c r="AE149">
        <v>787</v>
      </c>
      <c r="AF149">
        <v>11.110919963214061</v>
      </c>
      <c r="AG149">
        <v>10.78575273786624</v>
      </c>
      <c r="AH149">
        <f>10.1257585187424*1</f>
        <v>10.1257585187424</v>
      </c>
      <c r="AI149">
        <f>2.29471360754923*1</f>
        <v>2.2947136075492298</v>
      </c>
      <c r="AJ149">
        <v>1</v>
      </c>
      <c r="AK149">
        <v>0</v>
      </c>
      <c r="AL149">
        <v>0</v>
      </c>
    </row>
    <row r="150" spans="1:38" hidden="1" x14ac:dyDescent="0.2">
      <c r="A150" t="s">
        <v>191</v>
      </c>
      <c r="B150" t="s">
        <v>357</v>
      </c>
      <c r="C150" t="s">
        <v>357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5.9</v>
      </c>
      <c r="AE150">
        <v>789</v>
      </c>
      <c r="AF150">
        <v>19.012846566099949</v>
      </c>
      <c r="AG150">
        <v>17.367709478401409</v>
      </c>
      <c r="AH150">
        <f>16.304956777946*1</f>
        <v>16.304956777946</v>
      </c>
      <c r="AI150">
        <f>2.79435821854786*1</f>
        <v>2.7943582185478602</v>
      </c>
      <c r="AJ150">
        <v>1</v>
      </c>
      <c r="AK150">
        <v>0</v>
      </c>
      <c r="AL150">
        <v>0</v>
      </c>
    </row>
    <row r="151" spans="1:38" hidden="1" x14ac:dyDescent="0.2">
      <c r="A151" t="s">
        <v>358</v>
      </c>
      <c r="B151" t="s">
        <v>359</v>
      </c>
      <c r="C151" t="s">
        <v>359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6.8</v>
      </c>
      <c r="AE151">
        <v>791</v>
      </c>
      <c r="AF151">
        <v>21.462803829734099</v>
      </c>
      <c r="AG151">
        <v>30.639733176116628</v>
      </c>
      <c r="AH151">
        <f>28.7648481011253*1</f>
        <v>28.764848101125299</v>
      </c>
      <c r="AI151">
        <f>4.57957726017054*1</f>
        <v>4.5795772601705398</v>
      </c>
      <c r="AJ151">
        <v>1</v>
      </c>
      <c r="AK151">
        <v>0</v>
      </c>
      <c r="AL151">
        <v>0</v>
      </c>
    </row>
    <row r="152" spans="1:38" hidden="1" x14ac:dyDescent="0.2">
      <c r="A152" t="s">
        <v>360</v>
      </c>
      <c r="B152" t="s">
        <v>361</v>
      </c>
      <c r="C152" t="s">
        <v>361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4.5999999999999996</v>
      </c>
      <c r="AE152">
        <v>798</v>
      </c>
      <c r="AF152">
        <v>19.052244605557959</v>
      </c>
      <c r="AG152">
        <v>10.068073266316111</v>
      </c>
      <c r="AH152">
        <f>18.0733224234334*1</f>
        <v>18.0733224234334</v>
      </c>
      <c r="AI152">
        <f>3.93454221581509*1</f>
        <v>3.9345422158150898</v>
      </c>
      <c r="AJ152">
        <v>1</v>
      </c>
      <c r="AK152">
        <v>0</v>
      </c>
      <c r="AL152">
        <v>0</v>
      </c>
    </row>
    <row r="153" spans="1:38" hidden="1" x14ac:dyDescent="0.2">
      <c r="A153" t="s">
        <v>362</v>
      </c>
      <c r="B153" t="s">
        <v>363</v>
      </c>
      <c r="C153" t="s">
        <v>363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4.5</v>
      </c>
      <c r="AE153">
        <v>804</v>
      </c>
      <c r="AF153">
        <v>16.14827253587563</v>
      </c>
      <c r="AG153">
        <v>17.171719098382489</v>
      </c>
      <c r="AH153">
        <f>20.6096003769404*1</f>
        <v>20.609600376940399</v>
      </c>
      <c r="AI153">
        <f>3.39823825335992*1</f>
        <v>3.3982382533599198</v>
      </c>
      <c r="AJ153">
        <v>1</v>
      </c>
      <c r="AK153">
        <v>0</v>
      </c>
      <c r="AL153">
        <v>0</v>
      </c>
    </row>
    <row r="154" spans="1:38" hidden="1" x14ac:dyDescent="0.2">
      <c r="A154" t="s">
        <v>364</v>
      </c>
      <c r="B154" t="s">
        <v>365</v>
      </c>
      <c r="C154" t="s">
        <v>366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5.4</v>
      </c>
      <c r="AE154">
        <v>809</v>
      </c>
      <c r="AF154">
        <v>32.292619005366589</v>
      </c>
      <c r="AG154">
        <v>18.398001420218471</v>
      </c>
      <c r="AH154">
        <f>0*0</f>
        <v>0</v>
      </c>
      <c r="AI154">
        <f>5.37980775280756*0</f>
        <v>0</v>
      </c>
      <c r="AJ154">
        <v>0</v>
      </c>
      <c r="AK154">
        <v>0</v>
      </c>
      <c r="AL154">
        <v>0</v>
      </c>
    </row>
    <row r="155" spans="1:38" hidden="1" x14ac:dyDescent="0.2">
      <c r="A155" t="s">
        <v>367</v>
      </c>
      <c r="B155" t="s">
        <v>368</v>
      </c>
      <c r="C155" t="s">
        <v>369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810</v>
      </c>
      <c r="AF155">
        <v>14</v>
      </c>
      <c r="AG155">
        <v>10.73395072837104</v>
      </c>
      <c r="AH155">
        <f>15.3238381660376*1</f>
        <v>15.3238381660376</v>
      </c>
      <c r="AI155">
        <f>2.65648407143711*1</f>
        <v>2.6564840714371099</v>
      </c>
      <c r="AJ155">
        <v>1</v>
      </c>
      <c r="AK155">
        <v>0</v>
      </c>
      <c r="AL155">
        <v>0</v>
      </c>
    </row>
    <row r="156" spans="1:38" x14ac:dyDescent="0.2">
      <c r="A156" t="s">
        <v>81</v>
      </c>
      <c r="B156" t="s">
        <v>82</v>
      </c>
      <c r="C156" t="s">
        <v>82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12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8.9</v>
      </c>
      <c r="AE156">
        <v>64</v>
      </c>
      <c r="AF156">
        <v>23.646616541353399</v>
      </c>
      <c r="AG156">
        <v>18.534193909400251</v>
      </c>
      <c r="AH156">
        <f>18.6165972209718*0.75</f>
        <v>13.962447915728852</v>
      </c>
      <c r="AI156">
        <f>4.96442592559248*0.75</f>
        <v>3.7233194441943605</v>
      </c>
      <c r="AJ156">
        <v>0.75</v>
      </c>
      <c r="AK156">
        <v>1</v>
      </c>
      <c r="AL156">
        <v>1</v>
      </c>
    </row>
    <row r="157" spans="1:38" hidden="1" x14ac:dyDescent="0.2">
      <c r="A157" t="s">
        <v>372</v>
      </c>
      <c r="B157" t="s">
        <v>373</v>
      </c>
      <c r="C157" t="s">
        <v>374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4.9000000000000004</v>
      </c>
      <c r="AE157">
        <v>816</v>
      </c>
      <c r="AF157">
        <v>13.38461538461538</v>
      </c>
      <c r="AG157">
        <v>9.7933296438189412</v>
      </c>
      <c r="AH157">
        <f>14.3631168544673*1</f>
        <v>14.3631168544673</v>
      </c>
      <c r="AI157">
        <f>2.36426021730561*1</f>
        <v>2.3642602173056102</v>
      </c>
      <c r="AJ157">
        <v>1</v>
      </c>
      <c r="AK157">
        <v>0</v>
      </c>
      <c r="AL157">
        <v>0</v>
      </c>
    </row>
    <row r="158" spans="1:38" x14ac:dyDescent="0.2">
      <c r="A158" t="s">
        <v>386</v>
      </c>
      <c r="B158" t="s">
        <v>387</v>
      </c>
      <c r="C158" t="s">
        <v>388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5.5</v>
      </c>
      <c r="AE158">
        <v>825</v>
      </c>
      <c r="AF158">
        <v>39.806189581365238</v>
      </c>
      <c r="AG158">
        <v>18.596932452365969</v>
      </c>
      <c r="AH158">
        <f>36.2673131770023*1</f>
        <v>36.267313177002301</v>
      </c>
      <c r="AI158">
        <f>3.63011647246499*1</f>
        <v>3.6301164724649899</v>
      </c>
      <c r="AJ158">
        <v>1</v>
      </c>
      <c r="AK158">
        <v>1</v>
      </c>
      <c r="AL158">
        <v>1</v>
      </c>
    </row>
    <row r="159" spans="1:38" hidden="1" x14ac:dyDescent="0.2">
      <c r="A159" t="s">
        <v>378</v>
      </c>
      <c r="B159" t="s">
        <v>379</v>
      </c>
      <c r="C159" t="s">
        <v>379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4.7</v>
      </c>
      <c r="AE159">
        <v>820</v>
      </c>
      <c r="AF159">
        <v>31.677009538255131</v>
      </c>
      <c r="AG159">
        <v>17.42621154925618</v>
      </c>
      <c r="AH159">
        <f>30.4699904097342*1</f>
        <v>30.469990409734201</v>
      </c>
      <c r="AI159">
        <f>6.47409179203542*1</f>
        <v>6.47409179203542</v>
      </c>
      <c r="AJ159">
        <v>1</v>
      </c>
      <c r="AK159">
        <v>0</v>
      </c>
      <c r="AL159">
        <v>0</v>
      </c>
    </row>
    <row r="160" spans="1:38" hidden="1" x14ac:dyDescent="0.2">
      <c r="A160" t="s">
        <v>380</v>
      </c>
      <c r="B160" t="s">
        <v>381</v>
      </c>
      <c r="C160" t="s">
        <v>382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4.5</v>
      </c>
      <c r="AE160">
        <v>822</v>
      </c>
      <c r="AF160">
        <v>16.600000000000001</v>
      </c>
      <c r="AG160">
        <v>17.659929401454569</v>
      </c>
      <c r="AH160">
        <f>21.1909380410676*1</f>
        <v>21.1909380410676</v>
      </c>
      <c r="AI160">
        <f>3.79842730001558*1</f>
        <v>3.7984273000155802</v>
      </c>
      <c r="AJ160">
        <v>1</v>
      </c>
      <c r="AK160">
        <v>0</v>
      </c>
      <c r="AL160">
        <v>0</v>
      </c>
    </row>
    <row r="161" spans="1:38" hidden="1" x14ac:dyDescent="0.2">
      <c r="A161" t="s">
        <v>383</v>
      </c>
      <c r="B161" t="s">
        <v>384</v>
      </c>
      <c r="C161" t="s">
        <v>385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4.4000000000000004</v>
      </c>
      <c r="AE161">
        <v>823</v>
      </c>
      <c r="AF161">
        <v>14.170212765957441</v>
      </c>
      <c r="AG161">
        <v>13.46232752544516</v>
      </c>
      <c r="AH161">
        <f>17.1013797739343*1</f>
        <v>17.101379773934301</v>
      </c>
      <c r="AI161">
        <f>3.2604919198486*1</f>
        <v>3.2604919198486</v>
      </c>
      <c r="AJ161">
        <v>1</v>
      </c>
      <c r="AK161">
        <v>0</v>
      </c>
      <c r="AL161">
        <v>0</v>
      </c>
    </row>
    <row r="162" spans="1:38" x14ac:dyDescent="0.2">
      <c r="A162" t="s">
        <v>249</v>
      </c>
      <c r="B162" t="s">
        <v>250</v>
      </c>
      <c r="C162" t="s">
        <v>250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4.7</v>
      </c>
      <c r="AE162">
        <v>465</v>
      </c>
      <c r="AF162">
        <v>11.09194590130457</v>
      </c>
      <c r="AG162">
        <v>8.0260855778939089</v>
      </c>
      <c r="AH162">
        <f>13.9098546846014*0.75</f>
        <v>10.432391013451051</v>
      </c>
      <c r="AI162">
        <f>3.07417126861652*0.75</f>
        <v>2.3056284514623897</v>
      </c>
      <c r="AJ162">
        <v>0.75</v>
      </c>
      <c r="AK162">
        <v>1</v>
      </c>
      <c r="AL162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2024-04-01T18:53:18Z</dcterms:created>
  <dcterms:modified xsi:type="dcterms:W3CDTF">2024-04-01T19:04:42Z</dcterms:modified>
</cp:coreProperties>
</file>