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<sst xmlns="http://schemas.openxmlformats.org/spreadsheetml/2006/main" count="795" uniqueCount="350">
  <si>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</si>
  <si>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</si>
  <si>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</si>
  <si>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</si>
  <si>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</si>
  <si>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</si>
  <si>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</si>
  <si>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</si>
  <si>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</si>
  <si>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</si>
  <si>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</si>
  <si>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</si>
  <si>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</si>
  <si>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</si>
  <si>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</si>
  <si>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</si>
  <si>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</si>
  <si>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</si>
  <si>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</si>
  <si>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</si>
  <si>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</si>
  <si>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</si>
  <si>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</si>
  <si>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</si>
  <si>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</si>
  <si>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</si>
  <si>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</si>
  <si>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</si>
  <si>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</si>
  <si>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</si>
  <si>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</si>
  <si>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</si>
  <si>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</si>
  <si>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</si>
  <si>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</si>
  <si>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</si>
  <si>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</si>
  <si>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</si>
  <si>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</si>
  <si>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</si>
  <si>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</si>
  <si>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</si>
  <si>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</si>
  <si>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</si>
  <si>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</si>
  <si>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</si>
  <si>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</si>
  <si>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</si>
  <si>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</si>
  <si>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Jurriën</t>
  </si>
  <si>
    <t>Timber</t>
  </si>
  <si>
    <t>J.Timber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</si>
  <si>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</si>
  <si>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</si>
  <si>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</si>
  <si>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</si>
  <si>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</si>
  <si>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</si>
  <si>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</si>
  <si>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</si>
  <si>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</si>
  <si>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</si>
  <si>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</si>
  <si>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</si>
  <si>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Emiliano</t>
  </si>
  <si>
    <t>Martínez Romero</t>
  </si>
  <si>
    <t>Martinez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</si>
  <si>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</si>
  <si>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</si>
  <si>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</si>
  <si>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</si>
  <si>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</si>
  <si>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</si>
  <si>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</si>
  <si>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</si>
  <si>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</si>
  <si>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</si>
  <si>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</si>
  <si>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Jacob</t>
  </si>
  <si>
    <t>Ramsey</t>
  </si>
  <si>
    <t>J.Ramsey</t>
  </si>
  <si>
    <t>John</t>
  </si>
  <si>
    <t>McGinn</t>
  </si>
  <si>
    <t>Ollie</t>
  </si>
  <si>
    <t>Watkins</t>
  </si>
  <si>
    <t>Illia</t>
  </si>
  <si>
    <t>Zabarnyi</t>
  </si>
  <si>
    <t>Justin</t>
  </si>
  <si>
    <t>Kluivert</t>
  </si>
  <si>
    <t>Antoine</t>
  </si>
  <si>
    <t>Semenyo</t>
  </si>
  <si>
    <t>Dango</t>
  </si>
  <si>
    <t>Ouattara</t>
  </si>
  <si>
    <t>O.Dango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</si>
  <si>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</si>
  <si>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</si>
  <si>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</si>
  <si>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</si>
  <si>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</si>
  <si>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</si>
  <si>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</si>
  <si>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</si>
  <si>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</si>
  <si>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</si>
  <si>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</si>
  <si>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</si>
  <si>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</si>
  <si>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</si>
  <si>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</si>
  <si>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</si>
  <si>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</si>
  <si>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</si>
  <si>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</si>
  <si>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</si>
  <si>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Yoane</t>
  </si>
  <si>
    <t>Wissa</t>
  </si>
  <si>
    <t>Bart</t>
  </si>
  <si>
    <t>Verbruggen</t>
  </si>
  <si>
    <t>Jan Paul</t>
  </si>
  <si>
    <t>van Hecke</t>
  </si>
  <si>
    <t>Van Hecke</t>
  </si>
  <si>
    <t>Yasin</t>
  </si>
  <si>
    <t>Ayari</t>
  </si>
  <si>
    <t>Carlos</t>
  </si>
  <si>
    <t>Baleba</t>
  </si>
  <si>
    <t>Facundo</t>
  </si>
  <si>
    <t>Buonanotte</t>
  </si>
  <si>
    <t>Danny</t>
  </si>
  <si>
    <t>Welbeck</t>
  </si>
  <si>
    <t>Marc</t>
  </si>
  <si>
    <t>Cucurella Saseta</t>
  </si>
  <si>
    <t>Cucurella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</si>
  <si>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</si>
  <si>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</si>
  <si>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</si>
  <si>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</si>
  <si>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</si>
  <si>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</si>
  <si>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</si>
  <si>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</si>
  <si>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</si>
  <si>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</si>
  <si>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</si>
  <si>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</si>
  <si>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</si>
  <si>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</si>
  <si>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</si>
  <si>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</si>
  <si>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</si>
  <si>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</si>
  <si>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</si>
  <si>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</si>
  <si>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</si>
  <si>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</si>
  <si>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Eberechi</t>
  </si>
  <si>
    <t>Eze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</si>
  <si>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</si>
  <si>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</si>
  <si>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</si>
  <si>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</si>
  <si>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</si>
  <si>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</si>
  <si>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</si>
  <si>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</si>
  <si>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</si>
  <si>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</si>
  <si>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</si>
  <si>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</si>
  <si>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</si>
  <si>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</si>
  <si>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</si>
  <si>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</si>
  <si>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</si>
  <si>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</si>
  <si>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</si>
  <si>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</si>
  <si>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</si>
  <si>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</si>
  <si>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</si>
  <si>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</si>
  <si>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</si>
  <si>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</si>
  <si>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</si>
  <si>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</si>
  <si>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</si>
  <si>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</si>
  <si>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Alex</t>
  </si>
  <si>
    <t>Iwobi</t>
  </si>
  <si>
    <t>Emile</t>
  </si>
  <si>
    <t>Smith Rowe</t>
  </si>
  <si>
    <t>Andreas</t>
  </si>
  <si>
    <t>Hoelgebaum Pereira</t>
  </si>
  <si>
    <t>Sander</t>
  </si>
  <si>
    <t>Berge</t>
  </si>
  <si>
    <t>Saša</t>
  </si>
  <si>
    <t>Lukić</t>
  </si>
  <si>
    <t>Rodrigo</t>
  </si>
  <si>
    <t>Muniz Carvalho</t>
  </si>
  <si>
    <t>Muniz</t>
  </si>
  <si>
    <t>Jack</t>
  </si>
  <si>
    <t>Harrison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</si>
  <si>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</si>
  <si>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</si>
  <si>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</si>
  <si>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</si>
  <si>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</si>
  <si>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</si>
  <si>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</si>
  <si>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</si>
  <si>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</si>
  <si>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</si>
  <si>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</si>
  <si>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</si>
  <si>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</si>
  <si>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</si>
  <si>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</si>
  <si>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</si>
  <si>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</si>
  <si>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</si>
  <si>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</si>
  <si>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</si>
  <si>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</si>
  <si>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</si>
  <si>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</si>
  <si>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</si>
  <si>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</si>
  <si>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</si>
  <si>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</si>
  <si>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</si>
  <si>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</si>
  <si>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</si>
  <si>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</si>
  <si>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</si>
  <si>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</si>
  <si>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</si>
  <si>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</si>
  <si>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</si>
  <si>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</si>
  <si>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</si>
  <si>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</si>
  <si>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Onana</t>
  </si>
  <si>
    <t>Diogo</t>
  </si>
  <si>
    <t>Dalot Teixeira</t>
  </si>
  <si>
    <t>Dalot</t>
  </si>
  <si>
    <t>Harry</t>
  </si>
  <si>
    <t>Maguire</t>
  </si>
  <si>
    <t>Bruno</t>
  </si>
  <si>
    <t>Borges Fernandes</t>
  </si>
  <si>
    <t>B.Fernandes</t>
  </si>
  <si>
    <t>Jadon</t>
  </si>
  <si>
    <t>Sancho</t>
  </si>
  <si>
    <t>Rasmus</t>
  </si>
  <si>
    <t>Højlund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</si>
  <si>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</si>
  <si>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</si>
  <si>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</si>
  <si>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</si>
  <si>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</si>
  <si>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</si>
  <si>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</si>
  <si>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</si>
  <si>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</si>
  <si>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</si>
  <si>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</si>
  <si>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</si>
  <si>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</si>
  <si>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</si>
  <si>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</si>
  <si>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</si>
  <si>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</si>
  <si>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</si>
  <si>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</si>
  <si>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</si>
  <si>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</si>
  <si>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</si>
  <si>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</si>
  <si>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</si>
  <si>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</si>
  <si>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Alexander</t>
  </si>
  <si>
    <t>Isak</t>
  </si>
  <si>
    <t>Matz</t>
  </si>
  <si>
    <t>Sels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</si>
  <si>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</si>
  <si>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</si>
  <si>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</si>
  <si>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</si>
  <si>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</si>
  <si>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</si>
  <si>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</si>
  <si>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</si>
  <si>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</si>
  <si>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</si>
  <si>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</si>
  <si>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</si>
  <si>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</si>
  <si>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</si>
  <si>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Chris</t>
  </si>
  <si>
    <t>Wood</t>
  </si>
  <si>
    <t>Taiwo</t>
  </si>
  <si>
    <t>Awoniyi</t>
  </si>
  <si>
    <t>Simon</t>
  </si>
  <si>
    <t>Adingra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</si>
  <si>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</si>
  <si>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</si>
  <si>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</si>
  <si>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</si>
  <si>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</si>
  <si>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</si>
  <si>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</si>
  <si>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</si>
  <si>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</si>
  <si>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</si>
  <si>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</si>
  <si>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</si>
  <si>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</si>
  <si>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</si>
  <si>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</si>
  <si>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</si>
  <si>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</si>
  <si>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</si>
  <si>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</si>
  <si>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</si>
  <si>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Aaron</t>
  </si>
  <si>
    <t>Wan-Bissaka</t>
  </si>
  <si>
    <t>Tolentino Coelho de Lima</t>
  </si>
  <si>
    <t>L.Paquetá</t>
  </si>
  <si>
    <t>Tomáš</t>
  </si>
  <si>
    <t>Souček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</si>
  <si>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</si>
  <si>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</si>
  <si>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</si>
  <si>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</si>
  <si>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</si>
  <si>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</si>
  <si>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</si>
  <si>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</si>
  <si>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</si>
  <si>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</si>
  <si>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</si>
  <si>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</si>
  <si>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</si>
  <si>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</si>
  <si>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</si>
  <si>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</si>
  <si>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</si>
  <si>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</si>
  <si>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</si>
  <si>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</si>
  <si>
    <t>Jørgen</t>
  </si>
  <si>
    <t>Strand Larsen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</si>
</sst>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L146" totalsRowShown="0">
  <autoFilter ref="A1:AL146"/>
  <tableColumns count="38">
    <tableColumn id="1" name="First Name"/>
    <tableColumn id="2" name="Surname"/>
    <tableColumn id="3" name="Web Name"/>
    <tableColumn id="4" name="Position"/>
    <tableColumn id="5" name="GKP"/>
    <tableColumn id="6" name="DEF"/>
    <tableColumn id="7" name="MID"/>
    <tableColumn id="8" name="FWD"/>
    <tableColumn id="9" name="Team"/>
    <tableColumn id="10" name="ARS"/>
    <tableColumn id="11" name="AVL"/>
    <tableColumn id="12" name="BUR"/>
    <tableColumn id="13" name="BOU"/>
    <tableColumn id="14" name="BRE"/>
    <tableColumn id="15" name="BHA"/>
    <tableColumn id="16" name="CHE"/>
    <tableColumn id="17" name="CRY"/>
    <tableColumn id="18" name="EVE"/>
    <tableColumn id="19" name="FUL"/>
    <tableColumn id="20" name="LEE"/>
    <tableColumn id="21" name="LIV"/>
    <tableColumn id="22" name="MCI"/>
    <tableColumn id="23" name="MUN"/>
    <tableColumn id="24" name="NEW"/>
    <tableColumn id="25" name="NFO"/>
    <tableColumn id="26" name="SUN"/>
    <tableColumn id="27" name="TOT"/>
    <tableColumn id="28" name="WHU"/>
    <tableColumn id="29" name="WOL"/>
    <tableColumn id="30" name="Cost"/>
    <tableColumn id="31" name="ID"/>
    <tableColumn id="32" name="ARIMA"/>
    <tableColumn id="33" name="LSTM"/>
    <tableColumn id="34" name="PP"/>
    <tableColumn id="35" name="NEXT"/>
    <tableColumn id="36" name="Health"/>
    <tableColumn id="37" name="PREV"/>
    <tableColumn id="38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46"/>
  <sheetViews>
    <sheetView tabSelected="1" workbookViewId="0"/>
  </sheetViews>
  <sheetFormatPr defaultRowHeight="15"/>
  <cols>
    <col min="5" max="8" width="0" hidden="1" customWidth="1"/>
    <col min="10" max="29" width="0" hidden="1" customWidth="1"/>
    <col min="31" max="33" width="0" hidden="1" customWidth="1"/>
  </cols>
  <sheetData>
    <row r="1" spans="1:43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</v>
      </c>
      <c r="AE2">
        <v>4</v>
      </c>
      <c r="AF2">
        <v>161.2432432432432</v>
      </c>
      <c r="AG2">
        <v>161.2432432432432</v>
      </c>
      <c r="AH2">
        <f>71.66366366366366*1</f>
        <v>0</v>
      </c>
      <c r="AI2">
        <f>1.6284716213969992*1</f>
        <v>0</v>
      </c>
      <c r="AJ2">
        <v>1</v>
      </c>
      <c r="AK2">
        <v>0</v>
      </c>
      <c r="AL2">
        <v>1</v>
      </c>
      <c r="AN2" t="s">
        <v>0</v>
      </c>
      <c r="AO2">
        <f>SUMPRODUCT(Table1[Selected], Table1[PP])</f>
        <v>0</v>
      </c>
      <c r="AP2" t="s">
        <v>1</v>
      </c>
    </row>
    <row r="3" spans="1:43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144.8108108108108</v>
      </c>
      <c r="AG3">
        <v>144.8108108108108</v>
      </c>
      <c r="AH3">
        <f>64.36036036036036*1</f>
        <v>0</v>
      </c>
      <c r="AI3">
        <f>1.9373028711605875*1</f>
        <v>0</v>
      </c>
      <c r="AJ3">
        <v>1</v>
      </c>
      <c r="AK3">
        <v>0</v>
      </c>
      <c r="AL3">
        <v>0</v>
      </c>
    </row>
    <row r="4" spans="1:43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7</v>
      </c>
      <c r="AF4">
        <v>0</v>
      </c>
      <c r="AG4">
        <v>0</v>
      </c>
      <c r="AH4">
        <f>0*1</f>
        <v>0</v>
      </c>
      <c r="AI4">
        <f>0*1</f>
        <v>0</v>
      </c>
      <c r="AJ4">
        <v>1</v>
      </c>
      <c r="AK4">
        <v>1</v>
      </c>
      <c r="AL4">
        <v>0</v>
      </c>
      <c r="AN4" t="s">
        <v>2</v>
      </c>
      <c r="AO4">
        <f>SUMPRODUCT(Table1[Selected],Table1[Cost])</f>
        <v>0</v>
      </c>
      <c r="AP4">
        <v>100</v>
      </c>
    </row>
    <row r="5" spans="1:43">
      <c r="A5" t="s">
        <v>52</v>
      </c>
      <c r="B5" t="s">
        <v>53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16</v>
      </c>
      <c r="AF5">
        <v>160.2162162162162</v>
      </c>
      <c r="AG5">
        <v>160.2162162162162</v>
      </c>
      <c r="AH5">
        <f>71.20720720720719*1</f>
        <v>0</v>
      </c>
      <c r="AI5">
        <f>2.0465687176610814*1</f>
        <v>0</v>
      </c>
      <c r="AJ5">
        <v>1</v>
      </c>
      <c r="AK5">
        <v>0</v>
      </c>
      <c r="AL5">
        <v>0</v>
      </c>
    </row>
    <row r="6" spans="1:43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17</v>
      </c>
      <c r="AF6">
        <v>146.8648648648649</v>
      </c>
      <c r="AG6">
        <v>146.8648648648649</v>
      </c>
      <c r="AH6">
        <f>65.27327327327328*1</f>
        <v>0</v>
      </c>
      <c r="AI6">
        <f>1.3939905772823395*1</f>
        <v>0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0</v>
      </c>
      <c r="AQ6">
        <v>2</v>
      </c>
    </row>
    <row r="7" spans="1:43">
      <c r="A7" t="s">
        <v>45</v>
      </c>
      <c r="B7" t="s">
        <v>56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18</v>
      </c>
      <c r="AF7">
        <v>126.3243243243243</v>
      </c>
      <c r="AG7">
        <v>126.3243243243243</v>
      </c>
      <c r="AH7">
        <f>56.14414414414414*1</f>
        <v>0</v>
      </c>
      <c r="AI7">
        <f>1.7736367902806256*1</f>
        <v>0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0</v>
      </c>
      <c r="AQ7">
        <v>5</v>
      </c>
    </row>
    <row r="8" spans="1:43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19</v>
      </c>
      <c r="AF8">
        <v>139.6756756756757</v>
      </c>
      <c r="AG8">
        <v>139.6756756756757</v>
      </c>
      <c r="AH8">
        <f>62.07807807807808*1</f>
        <v>0</v>
      </c>
      <c r="AI8">
        <f>1.7209738368676313*1</f>
        <v>0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0</v>
      </c>
      <c r="AQ8">
        <v>5</v>
      </c>
    </row>
    <row r="9" spans="1:43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20</v>
      </c>
      <c r="AF9">
        <v>141.7297297297297</v>
      </c>
      <c r="AG9">
        <v>141.7297297297297</v>
      </c>
      <c r="AH9">
        <f>62.99099099099099*1</f>
        <v>0</v>
      </c>
      <c r="AI9">
        <f>1.6160935871544777*1</f>
        <v>0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0</v>
      </c>
      <c r="AQ9">
        <v>3</v>
      </c>
    </row>
    <row r="10" spans="1:43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5.5</v>
      </c>
      <c r="AE10">
        <v>23</v>
      </c>
      <c r="AF10">
        <v>118.1081081081081</v>
      </c>
      <c r="AG10">
        <v>118.1081081081081</v>
      </c>
      <c r="AH10">
        <f>52.49249249249249*1</f>
        <v>0</v>
      </c>
      <c r="AI10">
        <f>1.2637213230321795*1</f>
        <v>0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0</v>
      </c>
      <c r="AQ10">
        <v>15</v>
      </c>
    </row>
    <row r="11" spans="1:43">
      <c r="A11" t="s">
        <v>64</v>
      </c>
      <c r="B11" t="s">
        <v>65</v>
      </c>
      <c r="C11" t="s">
        <v>66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33</v>
      </c>
      <c r="AF11">
        <v>109.8918918918919</v>
      </c>
      <c r="AG11">
        <v>109.8918918918919</v>
      </c>
      <c r="AH11">
        <f>48.84084084084085*0.9736842105263158</f>
        <v>0</v>
      </c>
      <c r="AI11">
        <f>1.1611992308803147*0.9736842105263158</f>
        <v>0</v>
      </c>
      <c r="AJ11">
        <v>0.9736842105263158</v>
      </c>
      <c r="AK11">
        <v>1</v>
      </c>
      <c r="AL11">
        <v>0</v>
      </c>
    </row>
    <row r="12" spans="1:43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38</v>
      </c>
      <c r="AF12">
        <v>107.8378378378378</v>
      </c>
      <c r="AG12">
        <v>107.8378378378378</v>
      </c>
      <c r="AH12">
        <f>47.927927927927925*1</f>
        <v>0</v>
      </c>
      <c r="AI12">
        <f>1.1078146381212384*1</f>
        <v>0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0</v>
      </c>
    </row>
    <row r="13" spans="1:43">
      <c r="A13" t="s">
        <v>69</v>
      </c>
      <c r="B13" t="s">
        <v>70</v>
      </c>
      <c r="C13" t="s">
        <v>71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39</v>
      </c>
      <c r="AF13">
        <v>107.8378378378378</v>
      </c>
      <c r="AG13">
        <v>107.8378378378378</v>
      </c>
      <c r="AH13">
        <f>47.927927927927925*1</f>
        <v>0</v>
      </c>
      <c r="AI13">
        <f>1.2647959133473372*1</f>
        <v>0</v>
      </c>
      <c r="AJ13">
        <v>1</v>
      </c>
      <c r="AK13">
        <v>1</v>
      </c>
      <c r="AL13">
        <v>0</v>
      </c>
      <c r="AN13" t="s">
        <v>9</v>
      </c>
      <c r="AO13">
        <v>15</v>
      </c>
    </row>
    <row r="14" spans="1:43">
      <c r="A14" t="s">
        <v>72</v>
      </c>
      <c r="B14" t="s">
        <v>73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40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1</v>
      </c>
      <c r="AL14">
        <v>0</v>
      </c>
    </row>
    <row r="15" spans="1:43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48</v>
      </c>
      <c r="AF15">
        <v>164.3243243243243</v>
      </c>
      <c r="AG15">
        <v>164.3243243243243</v>
      </c>
      <c r="AH15">
        <f>73.03303303303302*1</f>
        <v>0</v>
      </c>
      <c r="AI15">
        <f>1.7276928978250108*1</f>
        <v>0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49</v>
      </c>
      <c r="AF16">
        <v>126.3243243243243</v>
      </c>
      <c r="AG16">
        <v>126.3243243243243</v>
      </c>
      <c r="AH16">
        <f>56.14414414414414*1</f>
        <v>0</v>
      </c>
      <c r="AI16">
        <f>1.4238444933535594*1</f>
        <v>0</v>
      </c>
      <c r="AJ16">
        <v>1</v>
      </c>
      <c r="AK16">
        <v>0</v>
      </c>
      <c r="AL16">
        <v>0</v>
      </c>
    </row>
    <row r="17" spans="1:42">
      <c r="A17" t="s">
        <v>78</v>
      </c>
      <c r="B17" t="s">
        <v>79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53</v>
      </c>
      <c r="AF17">
        <v>85.24324324324326</v>
      </c>
      <c r="AG17">
        <v>85.24324324324326</v>
      </c>
      <c r="AH17">
        <f>37.88588588588589*1</f>
        <v>0</v>
      </c>
      <c r="AI17">
        <f>1.2269040510298972*1</f>
        <v>0</v>
      </c>
      <c r="AJ17">
        <v>1</v>
      </c>
      <c r="AK17">
        <v>0</v>
      </c>
      <c r="AL17">
        <v>0</v>
      </c>
      <c r="AN17" t="s">
        <v>11</v>
      </c>
      <c r="AO17">
        <f>AO2-AO15*38</f>
        <v>0</v>
      </c>
    </row>
    <row r="18" spans="1:4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55</v>
      </c>
      <c r="AF18">
        <v>87.29729729729731</v>
      </c>
      <c r="AG18">
        <v>87.29729729729731</v>
      </c>
      <c r="AH18">
        <f>38.7987987987988*1</f>
        <v>0</v>
      </c>
      <c r="AI18">
        <f>1.2869182196520168*1</f>
        <v>0</v>
      </c>
      <c r="AJ18">
        <v>1</v>
      </c>
      <c r="AK18">
        <v>0</v>
      </c>
      <c r="AL18">
        <v>0</v>
      </c>
    </row>
    <row r="19" spans="1:42">
      <c r="A19" t="s">
        <v>83</v>
      </c>
      <c r="B19" t="s">
        <v>84</v>
      </c>
      <c r="C19" t="s">
        <v>84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65</v>
      </c>
      <c r="AF19">
        <v>172.5405405405405</v>
      </c>
      <c r="AG19">
        <v>172.5405405405405</v>
      </c>
      <c r="AH19">
        <f>76.68468468468467*1</f>
        <v>0</v>
      </c>
      <c r="AI19">
        <f>2.1033209903709107*1</f>
        <v>0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>
      <c r="A20" t="s">
        <v>85</v>
      </c>
      <c r="B20" t="s">
        <v>86</v>
      </c>
      <c r="C20" t="s">
        <v>86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15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109</v>
      </c>
      <c r="AF20">
        <v>97.56756756756756</v>
      </c>
      <c r="AG20">
        <v>97.56756756756756</v>
      </c>
      <c r="AH20">
        <f>43.36336336336336*1</f>
        <v>0</v>
      </c>
      <c r="AI20">
        <f>1.045246668201118*1</f>
        <v>0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15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</v>
      </c>
      <c r="AE21">
        <v>119</v>
      </c>
      <c r="AF21">
        <v>168.4324324324324</v>
      </c>
      <c r="AG21">
        <v>168.4324324324324</v>
      </c>
      <c r="AH21">
        <f>74.85885885885885*1</f>
        <v>0</v>
      </c>
      <c r="AI21">
        <f>1.9478213265200828*1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15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7</v>
      </c>
      <c r="AE22">
        <v>120</v>
      </c>
      <c r="AF22">
        <v>169.4594594594595</v>
      </c>
      <c r="AG22">
        <v>169.4594594594595</v>
      </c>
      <c r="AH22">
        <f>75.31531531531532*1</f>
        <v>0</v>
      </c>
      <c r="AI22">
        <f>2.03209889218594*1</f>
        <v>0</v>
      </c>
      <c r="AJ22">
        <v>1</v>
      </c>
      <c r="AK22">
        <v>1</v>
      </c>
      <c r="AL22">
        <v>1</v>
      </c>
      <c r="AN22" t="s">
        <v>15</v>
      </c>
      <c r="AO22">
        <f>SUMPRODUCT(Table1[Selected],Table1[BOU])</f>
        <v>0</v>
      </c>
      <c r="AP22">
        <v>3</v>
      </c>
    </row>
    <row r="23" spans="1:42">
      <c r="A23" t="s">
        <v>91</v>
      </c>
      <c r="B23" t="s">
        <v>92</v>
      </c>
      <c r="C23" t="s">
        <v>93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121</v>
      </c>
      <c r="AF23">
        <v>126.3243243243243</v>
      </c>
      <c r="AG23">
        <v>126.3243243243243</v>
      </c>
      <c r="AH23">
        <f>56.14414414414414*1</f>
        <v>0</v>
      </c>
      <c r="AI23">
        <f>1.0920055021482686*1</f>
        <v>0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>
      <c r="A24" t="s">
        <v>94</v>
      </c>
      <c r="B24" t="s">
        <v>95</v>
      </c>
      <c r="C24" t="s">
        <v>95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122</v>
      </c>
      <c r="AF24">
        <v>107.8378378378378</v>
      </c>
      <c r="AG24">
        <v>107.8378378378378</v>
      </c>
      <c r="AH24">
        <f>47.927927927927925*1</f>
        <v>0</v>
      </c>
      <c r="AI24">
        <f>1.4955299437986473*1</f>
        <v>0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0</v>
      </c>
      <c r="AP24">
        <v>3</v>
      </c>
    </row>
    <row r="25" spans="1:42">
      <c r="A25" t="s">
        <v>96</v>
      </c>
      <c r="B25" t="s">
        <v>97</v>
      </c>
      <c r="C25" t="s">
        <v>97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123</v>
      </c>
      <c r="AF25">
        <v>76</v>
      </c>
      <c r="AG25">
        <v>76</v>
      </c>
      <c r="AH25">
        <f>33.77777777777778*1</f>
        <v>0</v>
      </c>
      <c r="AI25">
        <f>1.0063678839701629*1</f>
        <v>0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0</v>
      </c>
      <c r="AP25">
        <v>3</v>
      </c>
    </row>
    <row r="26" spans="1:4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124</v>
      </c>
      <c r="AF26">
        <v>63.67567567567568</v>
      </c>
      <c r="AG26">
        <v>63.67567567567568</v>
      </c>
      <c r="AH26">
        <f>28.300300300300297*1</f>
        <v>0</v>
      </c>
      <c r="AI26">
        <f>0.6573614777974441*1</f>
        <v>0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0</v>
      </c>
      <c r="AP26">
        <v>3</v>
      </c>
    </row>
    <row r="27" spans="1:42">
      <c r="A27" t="s">
        <v>100</v>
      </c>
      <c r="B27" t="s">
        <v>101</v>
      </c>
      <c r="C27" t="s">
        <v>101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125</v>
      </c>
      <c r="AF27">
        <v>97.56756756756756</v>
      </c>
      <c r="AG27">
        <v>97.56756756756756</v>
      </c>
      <c r="AH27">
        <f>43.36336336336336*1</f>
        <v>0</v>
      </c>
      <c r="AI27">
        <f>1.0138876678055788*1</f>
        <v>0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>
      <c r="A28" t="s">
        <v>102</v>
      </c>
      <c r="B28" t="s">
        <v>103</v>
      </c>
      <c r="C28" t="s">
        <v>103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126</v>
      </c>
      <c r="AF28">
        <v>86.27027027027026</v>
      </c>
      <c r="AG28">
        <v>86.27027027027026</v>
      </c>
      <c r="AH28">
        <f>38.342342342342334*1</f>
        <v>0</v>
      </c>
      <c r="AI28">
        <f>0.8880216492920334*1</f>
        <v>0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>
      <c r="A29" t="s">
        <v>104</v>
      </c>
      <c r="B29" t="s">
        <v>105</v>
      </c>
      <c r="C29" t="s">
        <v>105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16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144</v>
      </c>
      <c r="AF29">
        <v>124.2702702702703</v>
      </c>
      <c r="AG29">
        <v>124.2702702702703</v>
      </c>
      <c r="AH29">
        <f>55.23123123123122*1</f>
        <v>0</v>
      </c>
      <c r="AI29">
        <f>1.1658178380068651*1</f>
        <v>0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>
      <c r="A30" t="s">
        <v>106</v>
      </c>
      <c r="B30" t="s">
        <v>107</v>
      </c>
      <c r="C30" t="s">
        <v>107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16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145</v>
      </c>
      <c r="AF30">
        <v>95.51351351351352</v>
      </c>
      <c r="AG30">
        <v>95.51351351351352</v>
      </c>
      <c r="AH30">
        <f>42.450450450450454*1</f>
        <v>0</v>
      </c>
      <c r="AI30">
        <f>1.156054526040749*1</f>
        <v>0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0</v>
      </c>
      <c r="AP30">
        <v>3</v>
      </c>
    </row>
    <row r="31" spans="1:42">
      <c r="A31" t="s">
        <v>108</v>
      </c>
      <c r="B31" t="s">
        <v>109</v>
      </c>
      <c r="C31" t="s">
        <v>109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</v>
      </c>
      <c r="AE31">
        <v>157</v>
      </c>
      <c r="AF31">
        <v>150.972972972973</v>
      </c>
      <c r="AG31">
        <v>150.972972972973</v>
      </c>
      <c r="AH31">
        <f>67.09909909909909*1</f>
        <v>0</v>
      </c>
      <c r="AI31">
        <f>1.7186095046359893*1</f>
        <v>0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>
      <c r="A32" t="s">
        <v>110</v>
      </c>
      <c r="B32" t="s">
        <v>111</v>
      </c>
      <c r="C32" t="s">
        <v>111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158</v>
      </c>
      <c r="AF32">
        <v>133.5135135135135</v>
      </c>
      <c r="AG32">
        <v>133.5135135135135</v>
      </c>
      <c r="AH32">
        <f>59.33933933933934*1</f>
        <v>0</v>
      </c>
      <c r="AI32">
        <f>1.2380933601599633*1</f>
        <v>0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>
      <c r="A33" t="s">
        <v>112</v>
      </c>
      <c r="B33" t="s">
        <v>113</v>
      </c>
      <c r="C33" t="s">
        <v>113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162</v>
      </c>
      <c r="AF33">
        <v>95.51351351351352</v>
      </c>
      <c r="AG33">
        <v>95.51351351351352</v>
      </c>
      <c r="AH33">
        <f>42.450450450450454*1</f>
        <v>0</v>
      </c>
      <c r="AI33">
        <f>1.1259781426498725*1</f>
        <v>0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0</v>
      </c>
      <c r="AP33">
        <v>3</v>
      </c>
    </row>
    <row r="34" spans="1:42">
      <c r="A34" t="s">
        <v>114</v>
      </c>
      <c r="B34" t="s">
        <v>115</v>
      </c>
      <c r="C34" t="s">
        <v>115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7.5</v>
      </c>
      <c r="AE34">
        <v>172</v>
      </c>
      <c r="AF34">
        <v>210.5405405405405</v>
      </c>
      <c r="AG34">
        <v>210.5405405405405</v>
      </c>
      <c r="AH34">
        <f>93.57357357357357*0</f>
        <v>0</v>
      </c>
      <c r="AI34">
        <f>2.0565072926247314*0</f>
        <v>0</v>
      </c>
      <c r="AJ34">
        <v>0</v>
      </c>
      <c r="AK34">
        <v>1</v>
      </c>
      <c r="AL34">
        <v>0</v>
      </c>
      <c r="AN34" t="s">
        <v>27</v>
      </c>
      <c r="AO34">
        <f>SUMPRODUCT(Table1[Selected],Table1[NFO])</f>
        <v>0</v>
      </c>
      <c r="AP34">
        <v>3</v>
      </c>
    </row>
    <row r="35" spans="1:42">
      <c r="A35" t="s">
        <v>116</v>
      </c>
      <c r="B35" t="s">
        <v>117</v>
      </c>
      <c r="C35" t="s">
        <v>117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176</v>
      </c>
      <c r="AF35">
        <v>106.8108108108108</v>
      </c>
      <c r="AG35">
        <v>106.8108108108108</v>
      </c>
      <c r="AH35">
        <f>47.47147147147147*1</f>
        <v>0</v>
      </c>
      <c r="AI35">
        <f>1.3984058280660865*1</f>
        <v>0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>
      <c r="A36" t="s">
        <v>118</v>
      </c>
      <c r="B36" t="s">
        <v>119</v>
      </c>
      <c r="C36" t="s">
        <v>120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188</v>
      </c>
      <c r="AF36">
        <v>92.43243243243244</v>
      </c>
      <c r="AG36">
        <v>92.43243243243244</v>
      </c>
      <c r="AH36">
        <f>41.08108108108108*1</f>
        <v>0</v>
      </c>
      <c r="AI36">
        <f>0.989013603690696*1</f>
        <v>0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>
      <c r="A37" t="s">
        <v>121</v>
      </c>
      <c r="B37" t="s">
        <v>122</v>
      </c>
      <c r="C37" t="s">
        <v>122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203</v>
      </c>
      <c r="AF37">
        <v>0</v>
      </c>
      <c r="AG37">
        <v>0</v>
      </c>
      <c r="AH37">
        <f>0*1</f>
        <v>0</v>
      </c>
      <c r="AI37">
        <f>0*1</f>
        <v>0</v>
      </c>
      <c r="AJ37">
        <v>1</v>
      </c>
      <c r="AK37">
        <v>1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>
      <c r="A38" t="s">
        <v>123</v>
      </c>
      <c r="B38" t="s">
        <v>124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204</v>
      </c>
      <c r="AF38">
        <v>93.45945945945947</v>
      </c>
      <c r="AG38">
        <v>93.45945945945947</v>
      </c>
      <c r="AH38">
        <f>41.53753753753754*1</f>
        <v>0</v>
      </c>
      <c r="AI38">
        <f>0.8542729043273724*1</f>
        <v>0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>
      <c r="A39" t="s">
        <v>125</v>
      </c>
      <c r="B39" t="s">
        <v>126</v>
      </c>
      <c r="C39" t="s">
        <v>126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205</v>
      </c>
      <c r="AF39">
        <v>88.32432432432432</v>
      </c>
      <c r="AG39">
        <v>88.32432432432432</v>
      </c>
      <c r="AH39">
        <f>39.25525525525526*1</f>
        <v>0</v>
      </c>
      <c r="AI39">
        <f>1.0783246203570103*1</f>
        <v>0</v>
      </c>
      <c r="AJ39">
        <v>1</v>
      </c>
      <c r="AK39">
        <v>0</v>
      </c>
      <c r="AL39">
        <v>0</v>
      </c>
    </row>
    <row r="40" spans="1:42">
      <c r="A40" t="s">
        <v>127</v>
      </c>
      <c r="B40" t="s">
        <v>128</v>
      </c>
      <c r="C40" t="s">
        <v>128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215</v>
      </c>
      <c r="AF40">
        <v>144.8108108108108</v>
      </c>
      <c r="AG40">
        <v>144.8108108108108</v>
      </c>
      <c r="AH40">
        <f>64.36036036036036*1</f>
        <v>0</v>
      </c>
      <c r="AI40">
        <f>1.4708525561014845*1</f>
        <v>0</v>
      </c>
      <c r="AJ40">
        <v>1</v>
      </c>
      <c r="AK40">
        <v>0</v>
      </c>
      <c r="AL40">
        <v>0</v>
      </c>
    </row>
    <row r="41" spans="1:42">
      <c r="A41" t="s">
        <v>129</v>
      </c>
      <c r="B41" t="s">
        <v>130</v>
      </c>
      <c r="C41" t="s">
        <v>131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</v>
      </c>
      <c r="AE41">
        <v>223</v>
      </c>
      <c r="AF41">
        <v>137.6216216216216</v>
      </c>
      <c r="AG41">
        <v>137.6216216216216</v>
      </c>
      <c r="AH41">
        <f>61.165165165165156*1</f>
        <v>0</v>
      </c>
      <c r="AI41">
        <f>1.303568490238298*1</f>
        <v>0</v>
      </c>
      <c r="AJ41">
        <v>1</v>
      </c>
      <c r="AK41">
        <v>0</v>
      </c>
      <c r="AL41">
        <v>0</v>
      </c>
    </row>
    <row r="42" spans="1:42">
      <c r="A42" t="s">
        <v>132</v>
      </c>
      <c r="B42" t="s">
        <v>133</v>
      </c>
      <c r="C42" t="s">
        <v>133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227</v>
      </c>
      <c r="AF42">
        <v>81.13513513513513</v>
      </c>
      <c r="AG42">
        <v>81.13513513513513</v>
      </c>
      <c r="AH42">
        <f>36.06006006006006*1</f>
        <v>0</v>
      </c>
      <c r="AI42">
        <f>0.9859706201172174*1</f>
        <v>0</v>
      </c>
      <c r="AJ42">
        <v>1</v>
      </c>
      <c r="AK42">
        <v>0</v>
      </c>
      <c r="AL42">
        <v>0</v>
      </c>
    </row>
    <row r="43" spans="1:42">
      <c r="A43" t="s">
        <v>134</v>
      </c>
      <c r="B43" t="s">
        <v>135</v>
      </c>
      <c r="C43" t="s">
        <v>135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10.5</v>
      </c>
      <c r="AE43">
        <v>234</v>
      </c>
      <c r="AF43">
        <v>219.7837837837838</v>
      </c>
      <c r="AG43">
        <v>219.7837837837838</v>
      </c>
      <c r="AH43">
        <f>97.6816816816817*1</f>
        <v>0</v>
      </c>
      <c r="AI43">
        <f>1.7362976977711502*1</f>
        <v>0</v>
      </c>
      <c r="AJ43">
        <v>1</v>
      </c>
      <c r="AK43">
        <v>0</v>
      </c>
      <c r="AL43">
        <v>0</v>
      </c>
    </row>
    <row r="44" spans="1:42">
      <c r="A44" t="s">
        <v>136</v>
      </c>
      <c r="B44" t="s">
        <v>137</v>
      </c>
      <c r="C44" t="s">
        <v>138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>
        <v>235</v>
      </c>
      <c r="AF44">
        <v>108.8648648648649</v>
      </c>
      <c r="AG44">
        <v>108.8648648648649</v>
      </c>
      <c r="AH44">
        <f>48.38438438438438*1</f>
        <v>0</v>
      </c>
      <c r="AI44">
        <f>1.4252123615087526*1</f>
        <v>0</v>
      </c>
      <c r="AJ44">
        <v>1</v>
      </c>
      <c r="AK44">
        <v>0</v>
      </c>
      <c r="AL44">
        <v>0</v>
      </c>
    </row>
    <row r="45" spans="1:42">
      <c r="A45" t="s">
        <v>139</v>
      </c>
      <c r="B45" t="s">
        <v>140</v>
      </c>
      <c r="C45" t="s">
        <v>139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6.5</v>
      </c>
      <c r="AE45">
        <v>236</v>
      </c>
      <c r="AF45">
        <v>140.7027027027027</v>
      </c>
      <c r="AG45">
        <v>140.7027027027027</v>
      </c>
      <c r="AH45">
        <f>62.53453453453454*1</f>
        <v>0</v>
      </c>
      <c r="AI45">
        <f>1.2570965255602355*1</f>
        <v>0</v>
      </c>
      <c r="AJ45">
        <v>1</v>
      </c>
      <c r="AK45">
        <v>0</v>
      </c>
      <c r="AL45">
        <v>0</v>
      </c>
    </row>
    <row r="46" spans="1:42">
      <c r="A46" t="s">
        <v>141</v>
      </c>
      <c r="B46" t="s">
        <v>142</v>
      </c>
      <c r="C46" t="s">
        <v>143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240</v>
      </c>
      <c r="AF46">
        <v>99.62162162162161</v>
      </c>
      <c r="AG46">
        <v>99.62162162162161</v>
      </c>
      <c r="AH46">
        <f>44.27627627627627*1</f>
        <v>0</v>
      </c>
      <c r="AI46">
        <f>1.1078039759173073*1</f>
        <v>0</v>
      </c>
      <c r="AJ46">
        <v>1</v>
      </c>
      <c r="AK46">
        <v>0</v>
      </c>
      <c r="AL46">
        <v>0</v>
      </c>
    </row>
    <row r="47" spans="1:42">
      <c r="A47" t="s">
        <v>144</v>
      </c>
      <c r="B47" t="s">
        <v>145</v>
      </c>
      <c r="C47" t="s">
        <v>144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7.5</v>
      </c>
      <c r="AE47">
        <v>248</v>
      </c>
      <c r="AF47">
        <v>161.2432432432432</v>
      </c>
      <c r="AG47">
        <v>161.2432432432432</v>
      </c>
      <c r="AH47">
        <f>71.66366366366366*1</f>
        <v>0</v>
      </c>
      <c r="AI47">
        <f>1.7198848288932416*1</f>
        <v>0</v>
      </c>
      <c r="AJ47">
        <v>1</v>
      </c>
      <c r="AK47">
        <v>0</v>
      </c>
      <c r="AL47">
        <v>0</v>
      </c>
    </row>
    <row r="48" spans="1:42">
      <c r="A48" t="s">
        <v>146</v>
      </c>
      <c r="B48" t="s">
        <v>147</v>
      </c>
      <c r="C48" t="s">
        <v>148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18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6.5</v>
      </c>
      <c r="AE48">
        <v>250</v>
      </c>
      <c r="AF48">
        <v>169.4594594594595</v>
      </c>
      <c r="AG48">
        <v>169.4594594594595</v>
      </c>
      <c r="AH48">
        <f>75.31531531531532*0.9736842105263158</f>
        <v>0</v>
      </c>
      <c r="AI48">
        <f>1.7953909447311234*0.9736842105263158</f>
        <v>0</v>
      </c>
      <c r="AJ48">
        <v>0.9736842105263158</v>
      </c>
      <c r="AK48">
        <v>0</v>
      </c>
      <c r="AL48">
        <v>1</v>
      </c>
    </row>
    <row r="49" spans="1:38">
      <c r="A49" t="s">
        <v>149</v>
      </c>
      <c r="B49" t="s">
        <v>150</v>
      </c>
      <c r="C49" t="s">
        <v>150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252</v>
      </c>
      <c r="AF49">
        <v>134.5405405405405</v>
      </c>
      <c r="AG49">
        <v>134.5405405405405</v>
      </c>
      <c r="AH49">
        <f>59.79579579579578*1</f>
        <v>0</v>
      </c>
      <c r="AI49">
        <f>1.6509902413771789*1</f>
        <v>0</v>
      </c>
      <c r="AJ49">
        <v>1</v>
      </c>
      <c r="AK49">
        <v>0</v>
      </c>
      <c r="AL49">
        <v>0</v>
      </c>
    </row>
    <row r="50" spans="1:38">
      <c r="A50" t="s">
        <v>151</v>
      </c>
      <c r="B50" t="s">
        <v>152</v>
      </c>
      <c r="C50" t="s">
        <v>152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257</v>
      </c>
      <c r="AF50">
        <v>128.3783783783784</v>
      </c>
      <c r="AG50">
        <v>128.3783783783784</v>
      </c>
      <c r="AH50">
        <f>57.05705705705706*1</f>
        <v>0</v>
      </c>
      <c r="AI50">
        <f>1.35120145464214*1</f>
        <v>0</v>
      </c>
      <c r="AJ50">
        <v>1</v>
      </c>
      <c r="AK50">
        <v>0</v>
      </c>
      <c r="AL50">
        <v>0</v>
      </c>
    </row>
    <row r="51" spans="1:38">
      <c r="A51" t="s">
        <v>129</v>
      </c>
      <c r="B51" t="s">
        <v>153</v>
      </c>
      <c r="C51" t="s">
        <v>153</v>
      </c>
      <c r="D51" t="s">
        <v>4</v>
      </c>
      <c r="E51">
        <v>0</v>
      </c>
      <c r="F51">
        <v>1</v>
      </c>
      <c r="G51">
        <v>0</v>
      </c>
      <c r="H51">
        <v>0</v>
      </c>
      <c r="I51" t="s">
        <v>19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4.5</v>
      </c>
      <c r="AE51">
        <v>259</v>
      </c>
      <c r="AF51">
        <v>121.1891891891892</v>
      </c>
      <c r="AG51">
        <v>121.1891891891892</v>
      </c>
      <c r="AH51">
        <f>53.861861861861854*1</f>
        <v>0</v>
      </c>
      <c r="AI51">
        <f>1.6142121102331526*1</f>
        <v>0</v>
      </c>
      <c r="AJ51">
        <v>1</v>
      </c>
      <c r="AK51">
        <v>0</v>
      </c>
      <c r="AL51">
        <v>1</v>
      </c>
    </row>
    <row r="52" spans="1:38">
      <c r="A52" t="s">
        <v>154</v>
      </c>
      <c r="B52" t="s">
        <v>155</v>
      </c>
      <c r="C52" t="s">
        <v>155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7.5</v>
      </c>
      <c r="AE52">
        <v>265</v>
      </c>
      <c r="AF52">
        <v>186.9189189189189</v>
      </c>
      <c r="AG52">
        <v>186.9189189189189</v>
      </c>
      <c r="AH52">
        <f>83.07507507507508*1</f>
        <v>0</v>
      </c>
      <c r="AI52">
        <f>1.8606328654969078*1</f>
        <v>0</v>
      </c>
      <c r="AJ52">
        <v>1</v>
      </c>
      <c r="AK52">
        <v>0</v>
      </c>
      <c r="AL52">
        <v>1</v>
      </c>
    </row>
    <row r="53" spans="1:38">
      <c r="A53" t="s">
        <v>156</v>
      </c>
      <c r="B53" t="s">
        <v>157</v>
      </c>
      <c r="C53" t="s">
        <v>157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6.5</v>
      </c>
      <c r="AE53">
        <v>266</v>
      </c>
      <c r="AF53">
        <v>153.027027027027</v>
      </c>
      <c r="AG53">
        <v>153.027027027027</v>
      </c>
      <c r="AH53">
        <f>68.01201201201201*1</f>
        <v>0</v>
      </c>
      <c r="AI53">
        <f>1.6905247262143976*1</f>
        <v>0</v>
      </c>
      <c r="AJ53">
        <v>1</v>
      </c>
      <c r="AK53">
        <v>0</v>
      </c>
      <c r="AL53">
        <v>0</v>
      </c>
    </row>
    <row r="54" spans="1:38">
      <c r="A54" t="s">
        <v>158</v>
      </c>
      <c r="B54" t="s">
        <v>159</v>
      </c>
      <c r="C54" t="s">
        <v>159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269</v>
      </c>
      <c r="AF54">
        <v>83.18918918918918</v>
      </c>
      <c r="AG54">
        <v>83.18918918918918</v>
      </c>
      <c r="AH54">
        <f>36.97297297297297*1</f>
        <v>0</v>
      </c>
      <c r="AI54">
        <f>1.0326581971669548*1</f>
        <v>0</v>
      </c>
      <c r="AJ54">
        <v>1</v>
      </c>
      <c r="AK54">
        <v>0</v>
      </c>
      <c r="AL54">
        <v>0</v>
      </c>
    </row>
    <row r="55" spans="1:38">
      <c r="A55" t="s">
        <v>160</v>
      </c>
      <c r="B55" t="s">
        <v>161</v>
      </c>
      <c r="C55" t="s">
        <v>162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271</v>
      </c>
      <c r="AF55">
        <v>70.86486486486487</v>
      </c>
      <c r="AG55">
        <v>70.86486486486487</v>
      </c>
      <c r="AH55">
        <f>31.495495495495494*1</f>
        <v>0</v>
      </c>
      <c r="AI55">
        <f>1.0490794437420856*1</f>
        <v>0</v>
      </c>
      <c r="AJ55">
        <v>1</v>
      </c>
      <c r="AK55">
        <v>0</v>
      </c>
      <c r="AL55">
        <v>0</v>
      </c>
    </row>
    <row r="56" spans="1:38">
      <c r="A56" t="s">
        <v>163</v>
      </c>
      <c r="B56" t="s">
        <v>164</v>
      </c>
      <c r="C56" t="s">
        <v>164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7.5</v>
      </c>
      <c r="AE56">
        <v>282</v>
      </c>
      <c r="AF56">
        <v>180.7567567567568</v>
      </c>
      <c r="AG56">
        <v>180.7567567567568</v>
      </c>
      <c r="AH56">
        <f>80.33633633633634*1</f>
        <v>0</v>
      </c>
      <c r="AI56">
        <f>1.8211797702520833*1</f>
        <v>0</v>
      </c>
      <c r="AJ56">
        <v>1</v>
      </c>
      <c r="AK56">
        <v>0</v>
      </c>
      <c r="AL56">
        <v>0</v>
      </c>
    </row>
    <row r="57" spans="1:38">
      <c r="A57" t="s">
        <v>165</v>
      </c>
      <c r="B57" t="s">
        <v>166</v>
      </c>
      <c r="C57" t="s">
        <v>166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5.5</v>
      </c>
      <c r="AE57">
        <v>283</v>
      </c>
      <c r="AF57">
        <v>66.75675675675676</v>
      </c>
      <c r="AG57">
        <v>66.75675675675676</v>
      </c>
      <c r="AH57">
        <f>29.66966966966967*1</f>
        <v>0</v>
      </c>
      <c r="AI57">
        <f>0.9609610348686002*1</f>
        <v>0</v>
      </c>
      <c r="AJ57">
        <v>1</v>
      </c>
      <c r="AK57">
        <v>0</v>
      </c>
      <c r="AL57">
        <v>0</v>
      </c>
    </row>
    <row r="58" spans="1:38">
      <c r="A58" t="s">
        <v>167</v>
      </c>
      <c r="B58" t="s">
        <v>168</v>
      </c>
      <c r="C58" t="s">
        <v>168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286</v>
      </c>
      <c r="AF58">
        <v>153.027027027027</v>
      </c>
      <c r="AG58">
        <v>153.027027027027</v>
      </c>
      <c r="AH58">
        <f>68.01201201201201*1</f>
        <v>0</v>
      </c>
      <c r="AI58">
        <f>1.5813000522931624*1</f>
        <v>0</v>
      </c>
      <c r="AJ58">
        <v>1</v>
      </c>
      <c r="AK58">
        <v>1</v>
      </c>
      <c r="AL58">
        <v>0</v>
      </c>
    </row>
    <row r="59" spans="1:38">
      <c r="A59" t="s">
        <v>169</v>
      </c>
      <c r="B59" t="s">
        <v>170</v>
      </c>
      <c r="C59" t="s">
        <v>170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289</v>
      </c>
      <c r="AF59">
        <v>125.2972972972973</v>
      </c>
      <c r="AG59">
        <v>125.2972972972973</v>
      </c>
      <c r="AH59">
        <f>55.687687687687685*1</f>
        <v>0</v>
      </c>
      <c r="AI59">
        <f>1.293887960204811*1</f>
        <v>0</v>
      </c>
      <c r="AJ59">
        <v>1</v>
      </c>
      <c r="AK59">
        <v>0</v>
      </c>
      <c r="AL59">
        <v>0</v>
      </c>
    </row>
    <row r="60" spans="1:38">
      <c r="A60" t="s">
        <v>171</v>
      </c>
      <c r="B60" t="s">
        <v>172</v>
      </c>
      <c r="C60" t="s">
        <v>172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290</v>
      </c>
      <c r="AF60">
        <v>121.1891891891892</v>
      </c>
      <c r="AG60">
        <v>121.1891891891892</v>
      </c>
      <c r="AH60">
        <f>53.861861861861854*1</f>
        <v>0</v>
      </c>
      <c r="AI60">
        <f>1.226180869138013*1</f>
        <v>0</v>
      </c>
      <c r="AJ60">
        <v>1</v>
      </c>
      <c r="AK60">
        <v>0</v>
      </c>
      <c r="AL60">
        <v>0</v>
      </c>
    </row>
    <row r="61" spans="1:38">
      <c r="A61" t="s">
        <v>173</v>
      </c>
      <c r="B61" t="s">
        <v>174</v>
      </c>
      <c r="C61" t="s">
        <v>174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291</v>
      </c>
      <c r="AF61">
        <v>126.3243243243243</v>
      </c>
      <c r="AG61">
        <v>126.3243243243243</v>
      </c>
      <c r="AH61">
        <f>56.14414414414414*1</f>
        <v>0</v>
      </c>
      <c r="AI61">
        <f>1.8626112566706434*1</f>
        <v>0</v>
      </c>
      <c r="AJ61">
        <v>1</v>
      </c>
      <c r="AK61">
        <v>0</v>
      </c>
      <c r="AL61">
        <v>0</v>
      </c>
    </row>
    <row r="62" spans="1:38">
      <c r="A62" t="s">
        <v>175</v>
      </c>
      <c r="B62" t="s">
        <v>176</v>
      </c>
      <c r="C62" t="s">
        <v>177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310</v>
      </c>
      <c r="AF62">
        <v>94.48648648648648</v>
      </c>
      <c r="AG62">
        <v>94.48648648648648</v>
      </c>
      <c r="AH62">
        <f>41.99399399399399*1</f>
        <v>0</v>
      </c>
      <c r="AI62">
        <f>0.8293038705939366*1</f>
        <v>0</v>
      </c>
      <c r="AJ62">
        <v>1</v>
      </c>
      <c r="AK62">
        <v>0</v>
      </c>
      <c r="AL62">
        <v>0</v>
      </c>
    </row>
    <row r="63" spans="1:38">
      <c r="A63" t="s">
        <v>178</v>
      </c>
      <c r="B63" t="s">
        <v>179</v>
      </c>
      <c r="C63" t="s">
        <v>179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314</v>
      </c>
      <c r="AF63">
        <v>115.027027027027</v>
      </c>
      <c r="AG63">
        <v>115.027027027027</v>
      </c>
      <c r="AH63">
        <f>51.12312312312312*1</f>
        <v>0</v>
      </c>
      <c r="AI63">
        <f>1.5851167658238117*1</f>
        <v>0</v>
      </c>
      <c r="AJ63">
        <v>1</v>
      </c>
      <c r="AK63">
        <v>0</v>
      </c>
      <c r="AL63">
        <v>0</v>
      </c>
    </row>
    <row r="64" spans="1:38">
      <c r="A64" t="s">
        <v>180</v>
      </c>
      <c r="B64" t="s">
        <v>181</v>
      </c>
      <c r="C64" t="s">
        <v>181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21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316</v>
      </c>
      <c r="AF64">
        <v>108.8648648648649</v>
      </c>
      <c r="AG64">
        <v>108.8648648648649</v>
      </c>
      <c r="AH64">
        <f>48.38438438438438*1</f>
        <v>0</v>
      </c>
      <c r="AI64">
        <f>1.1403030627266713*1</f>
        <v>0</v>
      </c>
      <c r="AJ64">
        <v>1</v>
      </c>
      <c r="AK64">
        <v>0</v>
      </c>
      <c r="AL64">
        <v>0</v>
      </c>
    </row>
    <row r="65" spans="1:38">
      <c r="A65" t="s">
        <v>182</v>
      </c>
      <c r="B65" t="s">
        <v>183</v>
      </c>
      <c r="C65" t="s">
        <v>183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317</v>
      </c>
      <c r="AF65">
        <v>82.16216216216216</v>
      </c>
      <c r="AG65">
        <v>82.16216216216216</v>
      </c>
      <c r="AH65">
        <f>36.51651651651651*1</f>
        <v>0</v>
      </c>
      <c r="AI65">
        <f>1.1371174713436545*1</f>
        <v>0</v>
      </c>
      <c r="AJ65">
        <v>1</v>
      </c>
      <c r="AK65">
        <v>0</v>
      </c>
      <c r="AL65">
        <v>0</v>
      </c>
    </row>
    <row r="66" spans="1:38">
      <c r="A66" t="s">
        <v>184</v>
      </c>
      <c r="B66" t="s">
        <v>185</v>
      </c>
      <c r="C66" t="s">
        <v>185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318</v>
      </c>
      <c r="AF66">
        <v>78.05405405405405</v>
      </c>
      <c r="AG66">
        <v>78.05405405405405</v>
      </c>
      <c r="AH66">
        <f>34.69069069069069*1</f>
        <v>0</v>
      </c>
      <c r="AI66">
        <f>1.0175828532482913*1</f>
        <v>0</v>
      </c>
      <c r="AJ66">
        <v>1</v>
      </c>
      <c r="AK66">
        <v>0</v>
      </c>
      <c r="AL66">
        <v>0</v>
      </c>
    </row>
    <row r="67" spans="1:38">
      <c r="A67" t="s">
        <v>186</v>
      </c>
      <c r="B67" t="s">
        <v>187</v>
      </c>
      <c r="C67" t="s">
        <v>187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6.5</v>
      </c>
      <c r="AE67">
        <v>324</v>
      </c>
      <c r="AF67">
        <v>158.1621621621622</v>
      </c>
      <c r="AG67">
        <v>158.1621621621622</v>
      </c>
      <c r="AH67">
        <f>70.29429429429429*1</f>
        <v>0</v>
      </c>
      <c r="AI67">
        <f>1.5433759351568361*1</f>
        <v>0</v>
      </c>
      <c r="AJ67">
        <v>1</v>
      </c>
      <c r="AK67">
        <v>0</v>
      </c>
      <c r="AL67">
        <v>0</v>
      </c>
    </row>
    <row r="68" spans="1:38">
      <c r="A68" t="s">
        <v>188</v>
      </c>
      <c r="B68" t="s">
        <v>189</v>
      </c>
      <c r="C68" t="s">
        <v>189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</v>
      </c>
      <c r="AE68">
        <v>325</v>
      </c>
      <c r="AF68">
        <v>125.2972972972973</v>
      </c>
      <c r="AG68">
        <v>125.2972972972973</v>
      </c>
      <c r="AH68">
        <f>55.687687687687685*1</f>
        <v>0</v>
      </c>
      <c r="AI68">
        <f>1.5337565337518035*1</f>
        <v>0</v>
      </c>
      <c r="AJ68">
        <v>1</v>
      </c>
      <c r="AK68">
        <v>0</v>
      </c>
      <c r="AL68">
        <v>0</v>
      </c>
    </row>
    <row r="69" spans="1:38">
      <c r="A69" t="s">
        <v>190</v>
      </c>
      <c r="B69" t="s">
        <v>191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327</v>
      </c>
      <c r="AF69">
        <v>93.45945945945947</v>
      </c>
      <c r="AG69">
        <v>93.45945945945947</v>
      </c>
      <c r="AH69">
        <f>41.53753753753754*1</f>
        <v>0</v>
      </c>
      <c r="AI69">
        <f>1.5167032078778384*1</f>
        <v>0</v>
      </c>
      <c r="AJ69">
        <v>1</v>
      </c>
      <c r="AK69">
        <v>0</v>
      </c>
      <c r="AL69">
        <v>0</v>
      </c>
    </row>
    <row r="70" spans="1:38">
      <c r="A70" t="s">
        <v>192</v>
      </c>
      <c r="B70" t="s">
        <v>193</v>
      </c>
      <c r="C70" t="s">
        <v>193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330</v>
      </c>
      <c r="AF70">
        <v>68.81081081081081</v>
      </c>
      <c r="AG70">
        <v>68.81081081081081</v>
      </c>
      <c r="AH70">
        <f>30.582582582582578*1</f>
        <v>0</v>
      </c>
      <c r="AI70">
        <f>0.8992520777963717*1</f>
        <v>0</v>
      </c>
      <c r="AJ70">
        <v>1</v>
      </c>
      <c r="AK70">
        <v>0</v>
      </c>
      <c r="AL70">
        <v>0</v>
      </c>
    </row>
    <row r="71" spans="1:38">
      <c r="A71" t="s">
        <v>194</v>
      </c>
      <c r="B71" t="s">
        <v>195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332</v>
      </c>
      <c r="AF71">
        <v>69.83783783783784</v>
      </c>
      <c r="AG71">
        <v>69.83783783783784</v>
      </c>
      <c r="AH71">
        <f>31.03903903903904*1</f>
        <v>0</v>
      </c>
      <c r="AI71">
        <f>0.8432847902691265*1</f>
        <v>0</v>
      </c>
      <c r="AJ71">
        <v>1</v>
      </c>
      <c r="AK71">
        <v>0</v>
      </c>
      <c r="AL71">
        <v>0</v>
      </c>
    </row>
    <row r="72" spans="1:38">
      <c r="A72" t="s">
        <v>196</v>
      </c>
      <c r="B72" t="s">
        <v>197</v>
      </c>
      <c r="C72" t="s">
        <v>198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338</v>
      </c>
      <c r="AF72">
        <v>106.8108108108108</v>
      </c>
      <c r="AG72">
        <v>106.8108108108108</v>
      </c>
      <c r="AH72">
        <f>47.47147147147147*1</f>
        <v>0</v>
      </c>
      <c r="AI72">
        <f>1.4064999223863262*1</f>
        <v>0</v>
      </c>
      <c r="AJ72">
        <v>1</v>
      </c>
      <c r="AK72">
        <v>0</v>
      </c>
      <c r="AL72">
        <v>0</v>
      </c>
    </row>
    <row r="73" spans="1:38">
      <c r="A73" t="s">
        <v>199</v>
      </c>
      <c r="B73" t="s">
        <v>200</v>
      </c>
      <c r="C73" t="s">
        <v>200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353</v>
      </c>
      <c r="AF73">
        <v>91.4054054054054</v>
      </c>
      <c r="AG73">
        <v>91.4054054054054</v>
      </c>
      <c r="AH73">
        <f>40.62462462462462*1</f>
        <v>0</v>
      </c>
      <c r="AI73">
        <f>1.348973581813029*1</f>
        <v>0</v>
      </c>
      <c r="AJ73">
        <v>1</v>
      </c>
      <c r="AK73">
        <v>0</v>
      </c>
      <c r="AL73">
        <v>0</v>
      </c>
    </row>
    <row r="74" spans="1:38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</v>
      </c>
      <c r="AE74">
        <v>375</v>
      </c>
      <c r="AF74">
        <v>136.5945945945946</v>
      </c>
      <c r="AG74">
        <v>136.5945945945946</v>
      </c>
      <c r="AH74">
        <f>60.70870870870871*1</f>
        <v>0</v>
      </c>
      <c r="AI74">
        <f>1.4220036710522148*1</f>
        <v>0</v>
      </c>
      <c r="AJ74">
        <v>1</v>
      </c>
      <c r="AK74">
        <v>0</v>
      </c>
      <c r="AL74">
        <v>0</v>
      </c>
    </row>
    <row r="75" spans="1:38">
      <c r="A75" t="s">
        <v>203</v>
      </c>
      <c r="B75" t="s">
        <v>204</v>
      </c>
      <c r="C75" t="s">
        <v>204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376</v>
      </c>
      <c r="AF75">
        <v>119.1351351351351</v>
      </c>
      <c r="AG75">
        <v>119.1351351351351</v>
      </c>
      <c r="AH75">
        <f>52.948948948948946*1</f>
        <v>0</v>
      </c>
      <c r="AI75">
        <f>1.1487847678914491*1</f>
        <v>0</v>
      </c>
      <c r="AJ75">
        <v>1</v>
      </c>
      <c r="AK75">
        <v>0</v>
      </c>
      <c r="AL75">
        <v>0</v>
      </c>
    </row>
    <row r="76" spans="1:38">
      <c r="A76" t="s">
        <v>205</v>
      </c>
      <c r="B76" t="s">
        <v>206</v>
      </c>
      <c r="C76" t="s">
        <v>205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</v>
      </c>
      <c r="AE76">
        <v>377</v>
      </c>
      <c r="AF76">
        <v>147.8918918918919</v>
      </c>
      <c r="AG76">
        <v>147.8918918918919</v>
      </c>
      <c r="AH76">
        <f>65.72972972972973*1</f>
        <v>0</v>
      </c>
      <c r="AI76">
        <f>1.5726922899686526*1</f>
        <v>0</v>
      </c>
      <c r="AJ76">
        <v>1</v>
      </c>
      <c r="AK76">
        <v>0</v>
      </c>
      <c r="AL76">
        <v>0</v>
      </c>
    </row>
    <row r="77" spans="1:38">
      <c r="A77" t="s">
        <v>207</v>
      </c>
      <c r="B77" t="s">
        <v>208</v>
      </c>
      <c r="C77" t="s">
        <v>208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378</v>
      </c>
      <c r="AF77">
        <v>123.2432432432433</v>
      </c>
      <c r="AG77">
        <v>123.2432432432433</v>
      </c>
      <c r="AH77">
        <f>54.77477477477478*1</f>
        <v>0</v>
      </c>
      <c r="AI77">
        <f>1.3388217458163716*1</f>
        <v>0</v>
      </c>
      <c r="AJ77">
        <v>1</v>
      </c>
      <c r="AK77">
        <v>0</v>
      </c>
      <c r="AL77">
        <v>0</v>
      </c>
    </row>
    <row r="78" spans="1:38">
      <c r="A78" t="s">
        <v>209</v>
      </c>
      <c r="B78" t="s">
        <v>210</v>
      </c>
      <c r="C78" t="s">
        <v>211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23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14.5</v>
      </c>
      <c r="AE78">
        <v>385</v>
      </c>
      <c r="AF78">
        <v>334.8108108108108</v>
      </c>
      <c r="AG78">
        <v>334.8108108108108</v>
      </c>
      <c r="AH78">
        <f>148.80480480480477*1</f>
        <v>0</v>
      </c>
      <c r="AI78">
        <f>3.1824178262147056*1</f>
        <v>0</v>
      </c>
      <c r="AJ78">
        <v>1</v>
      </c>
      <c r="AK78">
        <v>0</v>
      </c>
      <c r="AL78">
        <v>1</v>
      </c>
    </row>
    <row r="79" spans="1:38">
      <c r="A79" t="s">
        <v>212</v>
      </c>
      <c r="B79" t="s">
        <v>213</v>
      </c>
      <c r="C79" t="s">
        <v>213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7.5</v>
      </c>
      <c r="AE79">
        <v>388</v>
      </c>
      <c r="AF79">
        <v>145.8378378378378</v>
      </c>
      <c r="AG79">
        <v>145.8378378378378</v>
      </c>
      <c r="AH79">
        <f>64.81681681681681*1</f>
        <v>0</v>
      </c>
      <c r="AI79">
        <f>1.2694118411005753*1</f>
        <v>0</v>
      </c>
      <c r="AJ79">
        <v>1</v>
      </c>
      <c r="AK79">
        <v>0</v>
      </c>
      <c r="AL79">
        <v>0</v>
      </c>
    </row>
    <row r="80" spans="1:38">
      <c r="A80" t="s">
        <v>214</v>
      </c>
      <c r="B80" t="s">
        <v>215</v>
      </c>
      <c r="C80" t="s">
        <v>215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6.5</v>
      </c>
      <c r="AE80">
        <v>390</v>
      </c>
      <c r="AF80">
        <v>135.5675675675676</v>
      </c>
      <c r="AG80">
        <v>135.5675675675676</v>
      </c>
      <c r="AH80">
        <f>60.252252252252255*1</f>
        <v>0</v>
      </c>
      <c r="AI80">
        <f>1.3145985335671648*1</f>
        <v>0</v>
      </c>
      <c r="AJ80">
        <v>1</v>
      </c>
      <c r="AK80">
        <v>0</v>
      </c>
      <c r="AL80">
        <v>0</v>
      </c>
    </row>
    <row r="81" spans="1:38">
      <c r="A81" t="s">
        <v>216</v>
      </c>
      <c r="B81" t="s">
        <v>217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6.5</v>
      </c>
      <c r="AE81">
        <v>391</v>
      </c>
      <c r="AF81">
        <v>144.8108108108108</v>
      </c>
      <c r="AG81">
        <v>144.8108108108108</v>
      </c>
      <c r="AH81">
        <f>64.36036036036036*1</f>
        <v>0</v>
      </c>
      <c r="AI81">
        <f>1.566701351392049*1</f>
        <v>0</v>
      </c>
      <c r="AJ81">
        <v>1</v>
      </c>
      <c r="AK81">
        <v>0</v>
      </c>
      <c r="AL81">
        <v>0</v>
      </c>
    </row>
    <row r="82" spans="1:38">
      <c r="A82" t="s">
        <v>218</v>
      </c>
      <c r="B82" t="s">
        <v>219</v>
      </c>
      <c r="C82" t="s">
        <v>220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5.5</v>
      </c>
      <c r="AE82">
        <v>392</v>
      </c>
      <c r="AF82">
        <v>90.37837837837839</v>
      </c>
      <c r="AG82">
        <v>90.37837837837839</v>
      </c>
      <c r="AH82">
        <f>40.16816816816817*1</f>
        <v>0</v>
      </c>
      <c r="AI82">
        <f>1.04476719353201*1</f>
        <v>0</v>
      </c>
      <c r="AJ82">
        <v>1</v>
      </c>
      <c r="AK82">
        <v>0</v>
      </c>
      <c r="AL82">
        <v>0</v>
      </c>
    </row>
    <row r="83" spans="1:38">
      <c r="A83" t="s">
        <v>100</v>
      </c>
      <c r="B83" t="s">
        <v>221</v>
      </c>
      <c r="C83" t="s">
        <v>221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394</v>
      </c>
      <c r="AF83">
        <v>92.43243243243244</v>
      </c>
      <c r="AG83">
        <v>92.43243243243244</v>
      </c>
      <c r="AH83">
        <f>41.08108108108108*1</f>
        <v>0</v>
      </c>
      <c r="AI83">
        <f>0.953951200075367*1</f>
        <v>0</v>
      </c>
      <c r="AJ83">
        <v>1</v>
      </c>
      <c r="AK83">
        <v>0</v>
      </c>
      <c r="AL83">
        <v>0</v>
      </c>
    </row>
    <row r="84" spans="1:38">
      <c r="A84" t="s">
        <v>222</v>
      </c>
      <c r="B84" t="s">
        <v>223</v>
      </c>
      <c r="C84" t="s">
        <v>222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6.5</v>
      </c>
      <c r="AE84">
        <v>401</v>
      </c>
      <c r="AF84">
        <v>86.27027027027026</v>
      </c>
      <c r="AG84">
        <v>86.27027027027026</v>
      </c>
      <c r="AH84">
        <f>38.342342342342334*1</f>
        <v>0</v>
      </c>
      <c r="AI84">
        <f>1.189244444296196*1</f>
        <v>0</v>
      </c>
      <c r="AJ84">
        <v>1</v>
      </c>
      <c r="AK84">
        <v>0</v>
      </c>
      <c r="AL84">
        <v>0</v>
      </c>
    </row>
    <row r="85" spans="1:38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408</v>
      </c>
      <c r="AF85">
        <v>128.3783783783784</v>
      </c>
      <c r="AG85">
        <v>128.3783783783784</v>
      </c>
      <c r="AH85">
        <f>57.05705705705706*1</f>
        <v>0</v>
      </c>
      <c r="AI85">
        <f>0.8726794274691099*1</f>
        <v>0</v>
      </c>
      <c r="AJ85">
        <v>1</v>
      </c>
      <c r="AK85">
        <v>1</v>
      </c>
      <c r="AL85">
        <v>0</v>
      </c>
    </row>
    <row r="86" spans="1:38">
      <c r="A86" t="s">
        <v>226</v>
      </c>
      <c r="B86" t="s">
        <v>227</v>
      </c>
      <c r="C86" t="s">
        <v>227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</v>
      </c>
      <c r="AE86">
        <v>409</v>
      </c>
      <c r="AF86">
        <v>153.027027027027</v>
      </c>
      <c r="AG86">
        <v>153.027027027027</v>
      </c>
      <c r="AH86">
        <f>68.01201201201201*1</f>
        <v>0</v>
      </c>
      <c r="AI86">
        <f>1.7287868304774756*1</f>
        <v>0</v>
      </c>
      <c r="AJ86">
        <v>1</v>
      </c>
      <c r="AK86">
        <v>0</v>
      </c>
      <c r="AL86">
        <v>0</v>
      </c>
    </row>
    <row r="87" spans="1:38">
      <c r="A87" t="s">
        <v>228</v>
      </c>
      <c r="B87" t="s">
        <v>102</v>
      </c>
      <c r="C87" t="s">
        <v>102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416</v>
      </c>
      <c r="AF87">
        <v>99.62162162162161</v>
      </c>
      <c r="AG87">
        <v>99.62162162162161</v>
      </c>
      <c r="AH87">
        <f>44.27627627627627*1</f>
        <v>0</v>
      </c>
      <c r="AI87">
        <f>1.0492972935685256*1</f>
        <v>0</v>
      </c>
      <c r="AJ87">
        <v>1</v>
      </c>
      <c r="AK87">
        <v>0</v>
      </c>
      <c r="AL87">
        <v>0</v>
      </c>
    </row>
    <row r="88" spans="1:38">
      <c r="A88" t="s">
        <v>229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</v>
      </c>
      <c r="AE88">
        <v>420</v>
      </c>
      <c r="AF88">
        <v>199.2432432432432</v>
      </c>
      <c r="AG88">
        <v>199.2432432432432</v>
      </c>
      <c r="AH88">
        <f>88.55255255255254*1</f>
        <v>0</v>
      </c>
      <c r="AI88">
        <f>1.777421158670025*1</f>
        <v>0</v>
      </c>
      <c r="AJ88">
        <v>1</v>
      </c>
      <c r="AK88">
        <v>0</v>
      </c>
      <c r="AL88">
        <v>0</v>
      </c>
    </row>
    <row r="89" spans="1:38">
      <c r="A89" t="s">
        <v>231</v>
      </c>
      <c r="B89" t="s">
        <v>232</v>
      </c>
      <c r="C89" t="s">
        <v>232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6.5</v>
      </c>
      <c r="AE89">
        <v>424</v>
      </c>
      <c r="AF89">
        <v>126.3243243243243</v>
      </c>
      <c r="AG89">
        <v>126.3243243243243</v>
      </c>
      <c r="AH89">
        <f>56.14414414414414*1</f>
        <v>0</v>
      </c>
      <c r="AI89">
        <f>1.4346602179253292*1</f>
        <v>0</v>
      </c>
      <c r="AJ89">
        <v>1</v>
      </c>
      <c r="AK89">
        <v>0</v>
      </c>
      <c r="AL89">
        <v>0</v>
      </c>
    </row>
    <row r="90" spans="1:38">
      <c r="A90" t="s">
        <v>233</v>
      </c>
      <c r="B90" t="s">
        <v>234</v>
      </c>
      <c r="C90" t="s">
        <v>234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</v>
      </c>
      <c r="AE90">
        <v>428</v>
      </c>
      <c r="AF90">
        <v>125.2972972972973</v>
      </c>
      <c r="AG90">
        <v>125.2972972972973</v>
      </c>
      <c r="AH90">
        <f>55.687687687687685*1</f>
        <v>0</v>
      </c>
      <c r="AI90">
        <f>1.2344555185634856*1</f>
        <v>0</v>
      </c>
      <c r="AJ90">
        <v>1</v>
      </c>
      <c r="AK90">
        <v>0</v>
      </c>
      <c r="AL90">
        <v>0</v>
      </c>
    </row>
    <row r="91" spans="1:38">
      <c r="A91" t="s">
        <v>235</v>
      </c>
      <c r="B91" t="s">
        <v>236</v>
      </c>
      <c r="C91" t="s">
        <v>236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14</v>
      </c>
      <c r="AE91">
        <v>436</v>
      </c>
      <c r="AF91">
        <v>246.4864864864865</v>
      </c>
      <c r="AG91">
        <v>246.4864864864865</v>
      </c>
      <c r="AH91">
        <f>109.54954954954955*1</f>
        <v>0</v>
      </c>
      <c r="AI91">
        <f>3.0001146289471983*1</f>
        <v>0</v>
      </c>
      <c r="AJ91">
        <v>1</v>
      </c>
      <c r="AK91">
        <v>0</v>
      </c>
      <c r="AL91">
        <v>0</v>
      </c>
    </row>
    <row r="92" spans="1:38">
      <c r="A92" t="s">
        <v>237</v>
      </c>
      <c r="B92" t="s">
        <v>238</v>
      </c>
      <c r="C92" t="s">
        <v>238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25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</v>
      </c>
      <c r="AE92">
        <v>437</v>
      </c>
      <c r="AF92">
        <v>233.1351351351351</v>
      </c>
      <c r="AG92">
        <v>233.1351351351351</v>
      </c>
      <c r="AH92">
        <f>103.6156156156156*1</f>
        <v>0</v>
      </c>
      <c r="AI92">
        <f>2.458174824109061*1</f>
        <v>0</v>
      </c>
      <c r="AJ92">
        <v>1</v>
      </c>
      <c r="AK92">
        <v>1</v>
      </c>
      <c r="AL92">
        <v>1</v>
      </c>
    </row>
    <row r="93" spans="1:38">
      <c r="A93" t="s">
        <v>239</v>
      </c>
      <c r="B93" t="s">
        <v>240</v>
      </c>
      <c r="C93" t="s">
        <v>240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439</v>
      </c>
      <c r="AF93">
        <v>134.5405405405405</v>
      </c>
      <c r="AG93">
        <v>134.5405405405405</v>
      </c>
      <c r="AH93">
        <f>59.79579579579578*1</f>
        <v>0</v>
      </c>
      <c r="AI93">
        <f>1.5037236952012334*1</f>
        <v>0</v>
      </c>
      <c r="AJ93">
        <v>1</v>
      </c>
      <c r="AK93">
        <v>0</v>
      </c>
      <c r="AL93">
        <v>0</v>
      </c>
    </row>
    <row r="94" spans="1:38">
      <c r="A94" t="s">
        <v>241</v>
      </c>
      <c r="B94" t="s">
        <v>242</v>
      </c>
      <c r="C94" t="s">
        <v>243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25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447</v>
      </c>
      <c r="AF94">
        <v>116.054054054054</v>
      </c>
      <c r="AG94">
        <v>116.054054054054</v>
      </c>
      <c r="AH94">
        <f>51.57957957957958*1</f>
        <v>0</v>
      </c>
      <c r="AI94">
        <f>1.5861149702145805*1</f>
        <v>0</v>
      </c>
      <c r="AJ94">
        <v>1</v>
      </c>
      <c r="AK94">
        <v>0</v>
      </c>
      <c r="AL94">
        <v>1</v>
      </c>
    </row>
    <row r="95" spans="1:38">
      <c r="A95" t="s">
        <v>244</v>
      </c>
      <c r="B95" t="s">
        <v>245</v>
      </c>
      <c r="C95" t="s">
        <v>245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449</v>
      </c>
      <c r="AF95">
        <v>86.27027027027026</v>
      </c>
      <c r="AG95">
        <v>86.27027027027026</v>
      </c>
      <c r="AH95">
        <f>38.342342342342334*1</f>
        <v>0</v>
      </c>
      <c r="AI95">
        <f>1.281638855191846*1</f>
        <v>0</v>
      </c>
      <c r="AJ95">
        <v>1</v>
      </c>
      <c r="AK95">
        <v>0</v>
      </c>
      <c r="AL95">
        <v>0</v>
      </c>
    </row>
    <row r="96" spans="1:38">
      <c r="A96" t="s">
        <v>246</v>
      </c>
      <c r="B96" t="s">
        <v>247</v>
      </c>
      <c r="C96" t="s">
        <v>248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</v>
      </c>
      <c r="AE96">
        <v>456</v>
      </c>
      <c r="AF96">
        <v>178.7027027027027</v>
      </c>
      <c r="AG96">
        <v>178.7027027027027</v>
      </c>
      <c r="AH96">
        <f>79.42342342342342*1</f>
        <v>0</v>
      </c>
      <c r="AI96">
        <f>2.1353594496719963*1</f>
        <v>0</v>
      </c>
      <c r="AJ96">
        <v>1</v>
      </c>
      <c r="AK96">
        <v>0</v>
      </c>
      <c r="AL96">
        <v>0</v>
      </c>
    </row>
    <row r="97" spans="1:38">
      <c r="A97" t="s">
        <v>249</v>
      </c>
      <c r="B97" t="s">
        <v>250</v>
      </c>
      <c r="C97" t="s">
        <v>250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</v>
      </c>
      <c r="AE97">
        <v>463</v>
      </c>
      <c r="AF97">
        <v>110.9189189189189</v>
      </c>
      <c r="AG97">
        <v>110.9189189189189</v>
      </c>
      <c r="AH97">
        <f>49.29729729729729*1</f>
        <v>0</v>
      </c>
      <c r="AI97">
        <f>1.4279962326182043*1</f>
        <v>0</v>
      </c>
      <c r="AJ97">
        <v>1</v>
      </c>
      <c r="AK97">
        <v>0</v>
      </c>
      <c r="AL97">
        <v>0</v>
      </c>
    </row>
    <row r="98" spans="1:38">
      <c r="A98" t="s">
        <v>251</v>
      </c>
      <c r="B98" t="s">
        <v>252</v>
      </c>
      <c r="C98" t="s">
        <v>252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6.5</v>
      </c>
      <c r="AE98">
        <v>472</v>
      </c>
      <c r="AF98">
        <v>104.7567567567567</v>
      </c>
      <c r="AG98">
        <v>104.7567567567567</v>
      </c>
      <c r="AH98">
        <f>46.55855855855855*1</f>
        <v>0</v>
      </c>
      <c r="AI98">
        <f>1.2532396167630067*1</f>
        <v>0</v>
      </c>
      <c r="AJ98">
        <v>1</v>
      </c>
      <c r="AK98">
        <v>0</v>
      </c>
      <c r="AL98">
        <v>0</v>
      </c>
    </row>
    <row r="99" spans="1:38">
      <c r="A99" t="s">
        <v>253</v>
      </c>
      <c r="B99" t="s">
        <v>254</v>
      </c>
      <c r="C99" t="s">
        <v>254</v>
      </c>
      <c r="D99" t="s">
        <v>3</v>
      </c>
      <c r="E99">
        <v>1</v>
      </c>
      <c r="F99">
        <v>0</v>
      </c>
      <c r="G99">
        <v>0</v>
      </c>
      <c r="H99">
        <v>0</v>
      </c>
      <c r="I99" t="s">
        <v>26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476</v>
      </c>
      <c r="AF99">
        <v>144.8108108108108</v>
      </c>
      <c r="AG99">
        <v>144.8108108108108</v>
      </c>
      <c r="AH99">
        <f>64.36036036036036*1</f>
        <v>0</v>
      </c>
      <c r="AI99">
        <f>1.8792286025452027*1</f>
        <v>0</v>
      </c>
      <c r="AJ99">
        <v>1</v>
      </c>
      <c r="AK99">
        <v>0</v>
      </c>
      <c r="AL99">
        <v>1</v>
      </c>
    </row>
    <row r="100" spans="1:38">
      <c r="A100" t="s">
        <v>102</v>
      </c>
      <c r="B100" t="s">
        <v>255</v>
      </c>
      <c r="C100" t="s">
        <v>255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480</v>
      </c>
      <c r="AF100">
        <v>136.5945945945946</v>
      </c>
      <c r="AG100">
        <v>136.5945945945946</v>
      </c>
      <c r="AH100">
        <f>60.70870870870871*1</f>
        <v>0</v>
      </c>
      <c r="AI100">
        <f>1.4957146819055491*1</f>
        <v>0</v>
      </c>
      <c r="AJ100">
        <v>1</v>
      </c>
      <c r="AK100">
        <v>0</v>
      </c>
      <c r="AL100">
        <v>0</v>
      </c>
    </row>
    <row r="101" spans="1:38">
      <c r="A101" t="s">
        <v>256</v>
      </c>
      <c r="B101" t="s">
        <v>257</v>
      </c>
      <c r="C101" t="s">
        <v>257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481</v>
      </c>
      <c r="AF101">
        <v>122.2162162162162</v>
      </c>
      <c r="AG101">
        <v>122.2162162162162</v>
      </c>
      <c r="AH101">
        <f>54.31831831831831*1</f>
        <v>0</v>
      </c>
      <c r="AI101">
        <f>1.817601887180882*1</f>
        <v>0</v>
      </c>
      <c r="AJ101">
        <v>1</v>
      </c>
      <c r="AK101">
        <v>1</v>
      </c>
      <c r="AL101">
        <v>0</v>
      </c>
    </row>
    <row r="102" spans="1:38">
      <c r="A102" t="s">
        <v>258</v>
      </c>
      <c r="B102" t="s">
        <v>259</v>
      </c>
      <c r="C102" t="s">
        <v>259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483</v>
      </c>
      <c r="AF102">
        <v>116.054054054054</v>
      </c>
      <c r="AG102">
        <v>116.054054054054</v>
      </c>
      <c r="AH102">
        <f>51.57957957957958*1</f>
        <v>0</v>
      </c>
      <c r="AI102">
        <f>1.2367052754387875*1</f>
        <v>0</v>
      </c>
      <c r="AJ102">
        <v>1</v>
      </c>
      <c r="AK102">
        <v>0</v>
      </c>
      <c r="AL102">
        <v>0</v>
      </c>
    </row>
    <row r="103" spans="1:38">
      <c r="A103" t="s">
        <v>260</v>
      </c>
      <c r="B103" t="s">
        <v>261</v>
      </c>
      <c r="C103" t="s">
        <v>261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484</v>
      </c>
      <c r="AF103">
        <v>107.8378378378378</v>
      </c>
      <c r="AG103">
        <v>107.8378378378378</v>
      </c>
      <c r="AH103">
        <f>47.927927927927925*1</f>
        <v>0</v>
      </c>
      <c r="AI103">
        <f>1.153085377358385*1</f>
        <v>0</v>
      </c>
      <c r="AJ103">
        <v>1</v>
      </c>
      <c r="AK103">
        <v>0</v>
      </c>
      <c r="AL103">
        <v>0</v>
      </c>
    </row>
    <row r="104" spans="1:38">
      <c r="A104" t="s">
        <v>262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7.5</v>
      </c>
      <c r="AE104">
        <v>492</v>
      </c>
      <c r="AF104">
        <v>149.9459459459459</v>
      </c>
      <c r="AG104">
        <v>149.9459459459459</v>
      </c>
      <c r="AH104">
        <f>66.64264264264263*1</f>
        <v>0</v>
      </c>
      <c r="AI104">
        <f>1.0940570018475002*1</f>
        <v>0</v>
      </c>
      <c r="AJ104">
        <v>1</v>
      </c>
      <c r="AK104">
        <v>0</v>
      </c>
      <c r="AL104">
        <v>0</v>
      </c>
    </row>
    <row r="105" spans="1:38">
      <c r="A105" t="s">
        <v>262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</v>
      </c>
      <c r="AE105">
        <v>493</v>
      </c>
      <c r="AF105">
        <v>156.1081081081081</v>
      </c>
      <c r="AG105">
        <v>156.1081081081081</v>
      </c>
      <c r="AH105">
        <f>69.38138138138137*1</f>
        <v>0</v>
      </c>
      <c r="AI105">
        <f>1.598622356915816*1</f>
        <v>0</v>
      </c>
      <c r="AJ105">
        <v>1</v>
      </c>
      <c r="AK105">
        <v>0</v>
      </c>
      <c r="AL105">
        <v>0</v>
      </c>
    </row>
    <row r="106" spans="1:38">
      <c r="A106" t="s">
        <v>265</v>
      </c>
      <c r="B106" t="s">
        <v>266</v>
      </c>
      <c r="C106" t="s">
        <v>266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494</v>
      </c>
      <c r="AF106">
        <v>133.5135135135135</v>
      </c>
      <c r="AG106">
        <v>133.5135135135135</v>
      </c>
      <c r="AH106">
        <f>59.33933933933934*1</f>
        <v>0</v>
      </c>
      <c r="AI106">
        <f>1.762641984311048*1</f>
        <v>0</v>
      </c>
      <c r="AJ106">
        <v>1</v>
      </c>
      <c r="AK106">
        <v>0</v>
      </c>
      <c r="AL106">
        <v>0</v>
      </c>
    </row>
    <row r="107" spans="1:38">
      <c r="A107" t="s">
        <v>246</v>
      </c>
      <c r="B107" t="s">
        <v>267</v>
      </c>
      <c r="C107" t="s">
        <v>268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6.5</v>
      </c>
      <c r="AE107">
        <v>495</v>
      </c>
      <c r="AF107">
        <v>130.4324324324324</v>
      </c>
      <c r="AG107">
        <v>130.4324324324324</v>
      </c>
      <c r="AH107">
        <f>57.96996996996996*1</f>
        <v>0</v>
      </c>
      <c r="AI107">
        <f>1.6235802205989562*1</f>
        <v>0</v>
      </c>
      <c r="AJ107">
        <v>1</v>
      </c>
      <c r="AK107">
        <v>0</v>
      </c>
      <c r="AL107">
        <v>0</v>
      </c>
    </row>
    <row r="108" spans="1:38">
      <c r="A108" t="s">
        <v>78</v>
      </c>
      <c r="B108" t="s">
        <v>269</v>
      </c>
      <c r="C108" t="s">
        <v>270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6.5</v>
      </c>
      <c r="AE108">
        <v>496</v>
      </c>
      <c r="AF108">
        <v>180.7567567567568</v>
      </c>
      <c r="AG108">
        <v>180.7567567567568</v>
      </c>
      <c r="AH108">
        <f>80.33633633633634*1</f>
        <v>0</v>
      </c>
      <c r="AI108">
        <f>1.6862801856692013*1</f>
        <v>0</v>
      </c>
      <c r="AJ108">
        <v>1</v>
      </c>
      <c r="AK108">
        <v>1</v>
      </c>
      <c r="AL108">
        <v>1</v>
      </c>
    </row>
    <row r="109" spans="1:38">
      <c r="A109" t="s">
        <v>271</v>
      </c>
      <c r="B109" t="s">
        <v>272</v>
      </c>
      <c r="C109" t="s">
        <v>273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</v>
      </c>
      <c r="AE109">
        <v>497</v>
      </c>
      <c r="AF109">
        <v>112.972972972973</v>
      </c>
      <c r="AG109">
        <v>112.972972972973</v>
      </c>
      <c r="AH109">
        <f>50.2102102102102*1</f>
        <v>0</v>
      </c>
      <c r="AI109">
        <f>1.379544118013495*1</f>
        <v>0</v>
      </c>
      <c r="AJ109">
        <v>1</v>
      </c>
      <c r="AK109">
        <v>0</v>
      </c>
      <c r="AL109">
        <v>0</v>
      </c>
    </row>
    <row r="110" spans="1:38">
      <c r="A110" t="s">
        <v>274</v>
      </c>
      <c r="B110" t="s">
        <v>275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498</v>
      </c>
      <c r="AF110">
        <v>102.7027027027027</v>
      </c>
      <c r="AG110">
        <v>102.7027027027027</v>
      </c>
      <c r="AH110">
        <f>45.64564564564564*1</f>
        <v>0</v>
      </c>
      <c r="AI110">
        <f>1.0781168743804361*1</f>
        <v>0</v>
      </c>
      <c r="AJ110">
        <v>1</v>
      </c>
      <c r="AK110">
        <v>1</v>
      </c>
      <c r="AL110">
        <v>0</v>
      </c>
    </row>
    <row r="111" spans="1:38">
      <c r="A111" t="s">
        <v>276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500</v>
      </c>
      <c r="AF111">
        <v>55.45945945945946</v>
      </c>
      <c r="AG111">
        <v>55.45945945945946</v>
      </c>
      <c r="AH111">
        <f>24.648648648648646*1</f>
        <v>0</v>
      </c>
      <c r="AI111">
        <f>0.8590486773541999*1</f>
        <v>0</v>
      </c>
      <c r="AJ111">
        <v>1</v>
      </c>
      <c r="AK111">
        <v>0</v>
      </c>
      <c r="AL111">
        <v>0</v>
      </c>
    </row>
    <row r="112" spans="1:38">
      <c r="A112" t="s">
        <v>278</v>
      </c>
      <c r="B112" t="s">
        <v>279</v>
      </c>
      <c r="C112" t="s">
        <v>279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10.5</v>
      </c>
      <c r="AE112">
        <v>505</v>
      </c>
      <c r="AF112">
        <v>248.5405405405405</v>
      </c>
      <c r="AG112">
        <v>248.5405405405405</v>
      </c>
      <c r="AH112">
        <f>110.46246246246244*1</f>
        <v>0</v>
      </c>
      <c r="AI112">
        <f>2.531979597539913*1</f>
        <v>0</v>
      </c>
      <c r="AJ112">
        <v>1</v>
      </c>
      <c r="AK112">
        <v>0</v>
      </c>
      <c r="AL112">
        <v>0</v>
      </c>
    </row>
    <row r="113" spans="1:38">
      <c r="A113" t="s">
        <v>280</v>
      </c>
      <c r="B113" t="s">
        <v>281</v>
      </c>
      <c r="C113" t="s">
        <v>281</v>
      </c>
      <c r="D113" t="s">
        <v>3</v>
      </c>
      <c r="E113">
        <v>1</v>
      </c>
      <c r="F113">
        <v>0</v>
      </c>
      <c r="G113">
        <v>0</v>
      </c>
      <c r="H113">
        <v>0</v>
      </c>
      <c r="I113" t="s">
        <v>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508</v>
      </c>
      <c r="AF113">
        <v>150.972972972973</v>
      </c>
      <c r="AG113">
        <v>150.972972972973</v>
      </c>
      <c r="AH113">
        <f>67.09909909909909*1</f>
        <v>0</v>
      </c>
      <c r="AI113">
        <f>1.4569271111121822*1</f>
        <v>0</v>
      </c>
      <c r="AJ113">
        <v>1</v>
      </c>
      <c r="AK113">
        <v>0</v>
      </c>
      <c r="AL113">
        <v>1</v>
      </c>
    </row>
    <row r="114" spans="1:38">
      <c r="A114" t="s">
        <v>282</v>
      </c>
      <c r="B114" t="s">
        <v>283</v>
      </c>
      <c r="C114" t="s">
        <v>283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513</v>
      </c>
      <c r="AF114">
        <v>132.4864864864865</v>
      </c>
      <c r="AG114">
        <v>132.4864864864865</v>
      </c>
      <c r="AH114">
        <f>58.88288288288288*1</f>
        <v>0</v>
      </c>
      <c r="AI114">
        <f>1.4749867221331965*1</f>
        <v>0</v>
      </c>
      <c r="AJ114">
        <v>1</v>
      </c>
      <c r="AK114">
        <v>0</v>
      </c>
      <c r="AL114">
        <v>1</v>
      </c>
    </row>
    <row r="115" spans="1:38">
      <c r="A115" t="s">
        <v>284</v>
      </c>
      <c r="B115" t="s">
        <v>285</v>
      </c>
      <c r="C115" t="s">
        <v>286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514</v>
      </c>
      <c r="AF115">
        <v>114</v>
      </c>
      <c r="AG115">
        <v>114</v>
      </c>
      <c r="AH115">
        <f>50.666666666666664*1</f>
        <v>0</v>
      </c>
      <c r="AI115">
        <f>0.9248864100245516*1</f>
        <v>0</v>
      </c>
      <c r="AJ115">
        <v>1</v>
      </c>
      <c r="AK115">
        <v>0</v>
      </c>
      <c r="AL115">
        <v>0</v>
      </c>
    </row>
    <row r="116" spans="1:38">
      <c r="A116" t="s">
        <v>74</v>
      </c>
      <c r="B116" t="s">
        <v>287</v>
      </c>
      <c r="C116" t="s">
        <v>287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7.5</v>
      </c>
      <c r="AE116">
        <v>521</v>
      </c>
      <c r="AF116">
        <v>176.6486486486486</v>
      </c>
      <c r="AG116">
        <v>176.6486486486486</v>
      </c>
      <c r="AH116">
        <f>78.51051051051051*1</f>
        <v>0</v>
      </c>
      <c r="AI116">
        <f>2.0201932767355912*1</f>
        <v>0</v>
      </c>
      <c r="AJ116">
        <v>1</v>
      </c>
      <c r="AK116">
        <v>0</v>
      </c>
      <c r="AL116">
        <v>0</v>
      </c>
    </row>
    <row r="117" spans="1:38">
      <c r="A117" t="s">
        <v>288</v>
      </c>
      <c r="B117" t="s">
        <v>289</v>
      </c>
      <c r="C117" t="s">
        <v>289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522</v>
      </c>
      <c r="AF117">
        <v>136.5945945945946</v>
      </c>
      <c r="AG117">
        <v>136.5945945945946</v>
      </c>
      <c r="AH117">
        <f>60.70870870870871*1</f>
        <v>0</v>
      </c>
      <c r="AI117">
        <f>1.3846833593772785*1</f>
        <v>0</v>
      </c>
      <c r="AJ117">
        <v>1</v>
      </c>
      <c r="AK117">
        <v>0</v>
      </c>
      <c r="AL117">
        <v>0</v>
      </c>
    </row>
    <row r="118" spans="1:38">
      <c r="A118" t="s">
        <v>290</v>
      </c>
      <c r="B118" t="s">
        <v>291</v>
      </c>
      <c r="C118" t="s">
        <v>291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5.5</v>
      </c>
      <c r="AE118">
        <v>523</v>
      </c>
      <c r="AF118">
        <v>109.8918918918919</v>
      </c>
      <c r="AG118">
        <v>109.8918918918919</v>
      </c>
      <c r="AH118">
        <f>48.84084084084085*1</f>
        <v>0</v>
      </c>
      <c r="AI118">
        <f>2.085336887719535*1</f>
        <v>0</v>
      </c>
      <c r="AJ118">
        <v>1</v>
      </c>
      <c r="AK118">
        <v>0</v>
      </c>
      <c r="AL118">
        <v>0</v>
      </c>
    </row>
    <row r="119" spans="1:38">
      <c r="A119" t="s">
        <v>292</v>
      </c>
      <c r="B119" t="s">
        <v>293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525</v>
      </c>
      <c r="AF119">
        <v>58.54054054054054</v>
      </c>
      <c r="AG119">
        <v>58.54054054054054</v>
      </c>
      <c r="AH119">
        <f>26.018018018018015*1</f>
        <v>0</v>
      </c>
      <c r="AI119">
        <f>0.8493954773238672*1</f>
        <v>0</v>
      </c>
      <c r="AJ119">
        <v>1</v>
      </c>
      <c r="AK119">
        <v>0</v>
      </c>
      <c r="AL119">
        <v>0</v>
      </c>
    </row>
    <row r="120" spans="1:38">
      <c r="A120" t="s">
        <v>100</v>
      </c>
      <c r="B120" t="s">
        <v>295</v>
      </c>
      <c r="C120" t="s">
        <v>295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528</v>
      </c>
      <c r="AF120">
        <v>74.97297297297297</v>
      </c>
      <c r="AG120">
        <v>74.97297297297297</v>
      </c>
      <c r="AH120">
        <f>33.321321321321314*1</f>
        <v>0</v>
      </c>
      <c r="AI120">
        <f>0.8380580782913678*1</f>
        <v>0</v>
      </c>
      <c r="AJ120">
        <v>1</v>
      </c>
      <c r="AK120">
        <v>0</v>
      </c>
      <c r="AL120">
        <v>0</v>
      </c>
    </row>
    <row r="121" spans="1:38">
      <c r="A121" t="s">
        <v>296</v>
      </c>
      <c r="B121" t="s">
        <v>297</v>
      </c>
      <c r="C121" t="s">
        <v>297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7.5</v>
      </c>
      <c r="AE121">
        <v>531</v>
      </c>
      <c r="AF121">
        <v>218.7567567567568</v>
      </c>
      <c r="AG121">
        <v>218.7567567567568</v>
      </c>
      <c r="AH121">
        <f>97.22522522522523*1</f>
        <v>0</v>
      </c>
      <c r="AI121">
        <f>1.5177561977267937*1</f>
        <v>0</v>
      </c>
      <c r="AJ121">
        <v>1</v>
      </c>
      <c r="AK121">
        <v>0</v>
      </c>
      <c r="AL121">
        <v>1</v>
      </c>
    </row>
    <row r="122" spans="1:38">
      <c r="A122" t="s">
        <v>298</v>
      </c>
      <c r="B122" t="s">
        <v>299</v>
      </c>
      <c r="C122" t="s">
        <v>299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5.5</v>
      </c>
      <c r="AE122">
        <v>533</v>
      </c>
      <c r="AF122">
        <v>64.70270270270269</v>
      </c>
      <c r="AG122">
        <v>64.70270270270269</v>
      </c>
      <c r="AH122">
        <f>28.756756756756754*1</f>
        <v>0</v>
      </c>
      <c r="AI122">
        <f>0.5602441804810754*1</f>
        <v>0</v>
      </c>
      <c r="AJ122">
        <v>1</v>
      </c>
      <c r="AK122">
        <v>0</v>
      </c>
      <c r="AL122">
        <v>0</v>
      </c>
    </row>
    <row r="123" spans="1:38">
      <c r="A123" t="s">
        <v>300</v>
      </c>
      <c r="B123" t="s">
        <v>301</v>
      </c>
      <c r="C123" t="s">
        <v>301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5.5</v>
      </c>
      <c r="AE123">
        <v>549</v>
      </c>
      <c r="AF123">
        <v>78.05405405405405</v>
      </c>
      <c r="AG123">
        <v>78.05405405405405</v>
      </c>
      <c r="AH123">
        <f>34.69069069069069*1</f>
        <v>0</v>
      </c>
      <c r="AI123">
        <f>1.1627296529716349*1</f>
        <v>0</v>
      </c>
      <c r="AJ123">
        <v>1</v>
      </c>
      <c r="AK123">
        <v>0</v>
      </c>
      <c r="AL123">
        <v>0</v>
      </c>
    </row>
    <row r="124" spans="1:38">
      <c r="A124" t="s">
        <v>302</v>
      </c>
      <c r="B124" t="s">
        <v>303</v>
      </c>
      <c r="C124" t="s">
        <v>302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8.5</v>
      </c>
      <c r="AE124">
        <v>586</v>
      </c>
      <c r="AF124">
        <v>159.1891891891892</v>
      </c>
      <c r="AG124">
        <v>159.1891891891892</v>
      </c>
      <c r="AH124">
        <f>70.75075075075075*1</f>
        <v>0</v>
      </c>
      <c r="AI124">
        <f>2.3692869297788643*1</f>
        <v>0</v>
      </c>
      <c r="AJ124">
        <v>1</v>
      </c>
      <c r="AK124">
        <v>0</v>
      </c>
      <c r="AL124">
        <v>0</v>
      </c>
    </row>
    <row r="125" spans="1:38">
      <c r="A125" t="s">
        <v>304</v>
      </c>
      <c r="B125" t="s">
        <v>305</v>
      </c>
      <c r="C125" t="s">
        <v>305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7</v>
      </c>
      <c r="AE125">
        <v>587</v>
      </c>
      <c r="AF125">
        <v>156.1081081081081</v>
      </c>
      <c r="AG125">
        <v>156.1081081081081</v>
      </c>
      <c r="AH125">
        <f>69.38138138138137*1</f>
        <v>0</v>
      </c>
      <c r="AI125">
        <f>1.5988178499115149*1</f>
        <v>0</v>
      </c>
      <c r="AJ125">
        <v>1</v>
      </c>
      <c r="AK125">
        <v>0</v>
      </c>
      <c r="AL125">
        <v>0</v>
      </c>
    </row>
    <row r="126" spans="1:38">
      <c r="A126" t="s">
        <v>171</v>
      </c>
      <c r="B126" t="s">
        <v>306</v>
      </c>
      <c r="C126" t="s">
        <v>306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7</v>
      </c>
      <c r="AE126">
        <v>588</v>
      </c>
      <c r="AF126">
        <v>149.9459459459459</v>
      </c>
      <c r="AG126">
        <v>149.9459459459459</v>
      </c>
      <c r="AH126">
        <f>66.64264264264263*1</f>
        <v>0</v>
      </c>
      <c r="AI126">
        <f>1.9460298740465387*1</f>
        <v>0</v>
      </c>
      <c r="AJ126">
        <v>1</v>
      </c>
      <c r="AK126">
        <v>0</v>
      </c>
      <c r="AL126">
        <v>0</v>
      </c>
    </row>
    <row r="127" spans="1:38">
      <c r="A127" t="s">
        <v>307</v>
      </c>
      <c r="B127" t="s">
        <v>308</v>
      </c>
      <c r="C127" t="s">
        <v>308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6.5</v>
      </c>
      <c r="AE127">
        <v>589</v>
      </c>
      <c r="AF127">
        <v>130.4324324324324</v>
      </c>
      <c r="AG127">
        <v>130.4324324324324</v>
      </c>
      <c r="AH127">
        <f>57.96996996996996*1</f>
        <v>0</v>
      </c>
      <c r="AI127">
        <f>1.6683395676950397*1</f>
        <v>0</v>
      </c>
      <c r="AJ127">
        <v>1</v>
      </c>
      <c r="AK127">
        <v>0</v>
      </c>
      <c r="AL127">
        <v>0</v>
      </c>
    </row>
    <row r="128" spans="1:38">
      <c r="A128" t="s">
        <v>309</v>
      </c>
      <c r="B128" t="s">
        <v>310</v>
      </c>
      <c r="C128" t="s">
        <v>310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6.5</v>
      </c>
      <c r="AE128">
        <v>590</v>
      </c>
      <c r="AF128">
        <v>142.7567567567567</v>
      </c>
      <c r="AG128">
        <v>142.7567567567567</v>
      </c>
      <c r="AH128">
        <f>63.44744744744744*1</f>
        <v>0</v>
      </c>
      <c r="AI128">
        <f>1.6413721218898345*1</f>
        <v>0</v>
      </c>
      <c r="AJ128">
        <v>1</v>
      </c>
      <c r="AK128">
        <v>0</v>
      </c>
      <c r="AL128">
        <v>0</v>
      </c>
    </row>
    <row r="129" spans="1:38">
      <c r="A129" t="s">
        <v>196</v>
      </c>
      <c r="B129" t="s">
        <v>311</v>
      </c>
      <c r="C129" t="s">
        <v>311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5.5</v>
      </c>
      <c r="AE129">
        <v>592</v>
      </c>
      <c r="AF129">
        <v>64.70270270270269</v>
      </c>
      <c r="AG129">
        <v>64.70270270270269</v>
      </c>
      <c r="AH129">
        <f>28.756756756756754*1</f>
        <v>0</v>
      </c>
      <c r="AI129">
        <f>0.5573138301963015*1</f>
        <v>0</v>
      </c>
      <c r="AJ129">
        <v>1</v>
      </c>
      <c r="AK129">
        <v>0</v>
      </c>
      <c r="AL129">
        <v>0</v>
      </c>
    </row>
    <row r="130" spans="1:38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5.5</v>
      </c>
      <c r="AE130">
        <v>594</v>
      </c>
      <c r="AF130">
        <v>65.72972972972974</v>
      </c>
      <c r="AG130">
        <v>65.72972972972974</v>
      </c>
      <c r="AH130">
        <f>29.21321321321322*1</f>
        <v>0</v>
      </c>
      <c r="AI130">
        <f>0.8161220586946144*1</f>
        <v>0</v>
      </c>
      <c r="AJ130">
        <v>1</v>
      </c>
      <c r="AK130">
        <v>0</v>
      </c>
      <c r="AL130">
        <v>0</v>
      </c>
    </row>
    <row r="131" spans="1:38">
      <c r="A131" t="s">
        <v>314</v>
      </c>
      <c r="B131" t="s">
        <v>157</v>
      </c>
      <c r="C131" t="s">
        <v>315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5</v>
      </c>
      <c r="AE131">
        <v>600</v>
      </c>
      <c r="AF131">
        <v>76</v>
      </c>
      <c r="AG131">
        <v>76</v>
      </c>
      <c r="AH131">
        <f>33.77777777777778*1</f>
        <v>0</v>
      </c>
      <c r="AI131">
        <f>0.9145914123026361*1</f>
        <v>0</v>
      </c>
      <c r="AJ131">
        <v>1</v>
      </c>
      <c r="AK131">
        <v>0</v>
      </c>
      <c r="AL131">
        <v>0</v>
      </c>
    </row>
    <row r="132" spans="1:38">
      <c r="A132" t="s">
        <v>316</v>
      </c>
      <c r="B132" t="s">
        <v>317</v>
      </c>
      <c r="C132" t="s">
        <v>317</v>
      </c>
      <c r="D132" t="s">
        <v>3</v>
      </c>
      <c r="E132">
        <v>1</v>
      </c>
      <c r="F132">
        <v>0</v>
      </c>
      <c r="G132">
        <v>0</v>
      </c>
      <c r="H132">
        <v>0</v>
      </c>
      <c r="I132" t="s">
        <v>30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4.5</v>
      </c>
      <c r="AE132">
        <v>607</v>
      </c>
      <c r="AF132">
        <v>106.8108108108108</v>
      </c>
      <c r="AG132">
        <v>106.8108108108108</v>
      </c>
      <c r="AH132">
        <f>47.47147147147147*1</f>
        <v>0</v>
      </c>
      <c r="AI132">
        <f>1.7026086878113387*1</f>
        <v>0</v>
      </c>
      <c r="AJ132">
        <v>1</v>
      </c>
      <c r="AK132">
        <v>0</v>
      </c>
      <c r="AL132">
        <v>0</v>
      </c>
    </row>
    <row r="133" spans="1:38">
      <c r="A133" t="s">
        <v>318</v>
      </c>
      <c r="B133" t="s">
        <v>319</v>
      </c>
      <c r="C133" t="s">
        <v>318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611</v>
      </c>
      <c r="AF133">
        <v>79.08108108108108</v>
      </c>
      <c r="AG133">
        <v>79.08108108108108</v>
      </c>
      <c r="AH133">
        <f>35.147147147147145*1</f>
        <v>0</v>
      </c>
      <c r="AI133">
        <f>0.8054873415212912*1</f>
        <v>0</v>
      </c>
      <c r="AJ133">
        <v>1</v>
      </c>
      <c r="AK133">
        <v>0</v>
      </c>
      <c r="AL133">
        <v>0</v>
      </c>
    </row>
    <row r="134" spans="1:38">
      <c r="A134" t="s">
        <v>320</v>
      </c>
      <c r="B134" t="s">
        <v>321</v>
      </c>
      <c r="C134" t="s">
        <v>321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30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4.5</v>
      </c>
      <c r="AE134">
        <v>613</v>
      </c>
      <c r="AF134">
        <v>52.37837837837837</v>
      </c>
      <c r="AG134">
        <v>52.37837837837837</v>
      </c>
      <c r="AH134">
        <f>23.279279279279276*1</f>
        <v>0</v>
      </c>
      <c r="AI134">
        <f>0.7299678525038855*1</f>
        <v>0</v>
      </c>
      <c r="AJ134">
        <v>1</v>
      </c>
      <c r="AK134">
        <v>0</v>
      </c>
      <c r="AL134">
        <v>0</v>
      </c>
    </row>
    <row r="135" spans="1:38">
      <c r="A135" t="s">
        <v>322</v>
      </c>
      <c r="B135" t="s">
        <v>323</v>
      </c>
      <c r="C135" t="s">
        <v>323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30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4.5</v>
      </c>
      <c r="AE135">
        <v>617</v>
      </c>
      <c r="AF135">
        <v>127.3513513513514</v>
      </c>
      <c r="AG135">
        <v>127.3513513513514</v>
      </c>
      <c r="AH135">
        <f>56.60060060060059*1</f>
        <v>0</v>
      </c>
      <c r="AI135">
        <f>1.527816877828906*1</f>
        <v>0</v>
      </c>
      <c r="AJ135">
        <v>1</v>
      </c>
      <c r="AK135">
        <v>0</v>
      </c>
      <c r="AL135">
        <v>1</v>
      </c>
    </row>
    <row r="136" spans="1:38">
      <c r="A136" t="s">
        <v>67</v>
      </c>
      <c r="B136" t="s">
        <v>324</v>
      </c>
      <c r="C136" t="s">
        <v>325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6</v>
      </c>
      <c r="AE136">
        <v>619</v>
      </c>
      <c r="AF136">
        <v>89.35135135135135</v>
      </c>
      <c r="AG136">
        <v>89.35135135135135</v>
      </c>
      <c r="AH136">
        <f>39.71171171171171*1</f>
        <v>0</v>
      </c>
      <c r="AI136">
        <f>1.1511654404958034*1</f>
        <v>0</v>
      </c>
      <c r="AJ136">
        <v>1</v>
      </c>
      <c r="AK136">
        <v>0</v>
      </c>
      <c r="AL136">
        <v>0</v>
      </c>
    </row>
    <row r="137" spans="1:38">
      <c r="A137" t="s">
        <v>326</v>
      </c>
      <c r="B137" t="s">
        <v>327</v>
      </c>
      <c r="C137" t="s">
        <v>327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6</v>
      </c>
      <c r="AE137">
        <v>620</v>
      </c>
      <c r="AF137">
        <v>141.7297297297297</v>
      </c>
      <c r="AG137">
        <v>141.7297297297297</v>
      </c>
      <c r="AH137">
        <f>62.99099099099099*1</f>
        <v>0</v>
      </c>
      <c r="AI137">
        <f>1.178331208518605*1</f>
        <v>0</v>
      </c>
      <c r="AJ137">
        <v>1</v>
      </c>
      <c r="AK137">
        <v>0</v>
      </c>
      <c r="AL137">
        <v>0</v>
      </c>
    </row>
    <row r="138" spans="1:38">
      <c r="A138" t="s">
        <v>328</v>
      </c>
      <c r="B138" t="s">
        <v>329</v>
      </c>
      <c r="C138" t="s">
        <v>330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5</v>
      </c>
      <c r="AE138">
        <v>623</v>
      </c>
      <c r="AF138">
        <v>61.62162162162163</v>
      </c>
      <c r="AG138">
        <v>61.62162162162163</v>
      </c>
      <c r="AH138">
        <f>27.38738738738739*1</f>
        <v>0</v>
      </c>
      <c r="AI138">
        <f>0.7147599900406472*1</f>
        <v>0</v>
      </c>
      <c r="AJ138">
        <v>1</v>
      </c>
      <c r="AK138">
        <v>0</v>
      </c>
      <c r="AL138">
        <v>0</v>
      </c>
    </row>
    <row r="139" spans="1:38">
      <c r="A139" t="s">
        <v>331</v>
      </c>
      <c r="B139" t="s">
        <v>332</v>
      </c>
      <c r="C139" t="s">
        <v>332</v>
      </c>
      <c r="D139" t="s">
        <v>6</v>
      </c>
      <c r="E139">
        <v>0</v>
      </c>
      <c r="F139">
        <v>0</v>
      </c>
      <c r="G139">
        <v>0</v>
      </c>
      <c r="H139">
        <v>1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8</v>
      </c>
      <c r="AE139">
        <v>631</v>
      </c>
      <c r="AF139">
        <v>215.6756756756757</v>
      </c>
      <c r="AG139">
        <v>215.6756756756757</v>
      </c>
      <c r="AH139">
        <f>95.85585585585585*1</f>
        <v>0</v>
      </c>
      <c r="AI139">
        <f>2.3444719641240526*1</f>
        <v>0</v>
      </c>
      <c r="AJ139">
        <v>1</v>
      </c>
      <c r="AK139">
        <v>1</v>
      </c>
      <c r="AL139">
        <v>1</v>
      </c>
    </row>
    <row r="140" spans="1:38">
      <c r="A140" t="s">
        <v>333</v>
      </c>
      <c r="B140" t="s">
        <v>334</v>
      </c>
      <c r="C140" t="s">
        <v>334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</v>
      </c>
      <c r="AE140">
        <v>634</v>
      </c>
      <c r="AF140">
        <v>57.51351351351352</v>
      </c>
      <c r="AG140">
        <v>57.51351351351352</v>
      </c>
      <c r="AH140">
        <f>25.56156156156156*1</f>
        <v>0</v>
      </c>
      <c r="AI140">
        <f>0.913291629325237*1</f>
        <v>0</v>
      </c>
      <c r="AJ140">
        <v>1</v>
      </c>
      <c r="AK140">
        <v>0</v>
      </c>
      <c r="AL140">
        <v>0</v>
      </c>
    </row>
    <row r="141" spans="1:38">
      <c r="A141" t="s">
        <v>335</v>
      </c>
      <c r="B141" t="s">
        <v>336</v>
      </c>
      <c r="C141" t="s">
        <v>337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31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4.5</v>
      </c>
      <c r="AE141">
        <v>636</v>
      </c>
      <c r="AF141">
        <v>123.2432432432433</v>
      </c>
      <c r="AG141">
        <v>123.2432432432433</v>
      </c>
      <c r="AH141">
        <f>54.77477477477478*1</f>
        <v>0</v>
      </c>
      <c r="AI141">
        <f>1.5844885860008446*1</f>
        <v>0</v>
      </c>
      <c r="AJ141">
        <v>1</v>
      </c>
      <c r="AK141">
        <v>0</v>
      </c>
      <c r="AL141">
        <v>0</v>
      </c>
    </row>
    <row r="142" spans="1:38">
      <c r="A142" t="s">
        <v>338</v>
      </c>
      <c r="B142" t="s">
        <v>339</v>
      </c>
      <c r="C142" t="s">
        <v>339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31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4.5</v>
      </c>
      <c r="AE142">
        <v>640</v>
      </c>
      <c r="AF142">
        <v>84.21621621621621</v>
      </c>
      <c r="AG142">
        <v>84.21621621621621</v>
      </c>
      <c r="AH142">
        <f>37.429429429429426*1</f>
        <v>0</v>
      </c>
      <c r="AI142">
        <f>1.2208832095184323*1</f>
        <v>0</v>
      </c>
      <c r="AJ142">
        <v>1</v>
      </c>
      <c r="AK142">
        <v>0</v>
      </c>
      <c r="AL142">
        <v>0</v>
      </c>
    </row>
    <row r="143" spans="1:38">
      <c r="A143" t="s">
        <v>340</v>
      </c>
      <c r="B143" t="s">
        <v>341</v>
      </c>
      <c r="C143" t="s">
        <v>341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5.5</v>
      </c>
      <c r="AE143">
        <v>652</v>
      </c>
      <c r="AF143">
        <v>95.51351351351352</v>
      </c>
      <c r="AG143">
        <v>95.51351351351352</v>
      </c>
      <c r="AH143">
        <f>42.450450450450454*1</f>
        <v>0</v>
      </c>
      <c r="AI143">
        <f>1.0753573685587423*1</f>
        <v>0</v>
      </c>
      <c r="AJ143">
        <v>1</v>
      </c>
      <c r="AK143">
        <v>0</v>
      </c>
      <c r="AL143">
        <v>0</v>
      </c>
    </row>
    <row r="144" spans="1:38">
      <c r="A144" t="s">
        <v>342</v>
      </c>
      <c r="B144" t="s">
        <v>343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5.5</v>
      </c>
      <c r="AE144">
        <v>654</v>
      </c>
      <c r="AF144">
        <v>91.4054054054054</v>
      </c>
      <c r="AG144">
        <v>91.4054054054054</v>
      </c>
      <c r="AH144">
        <f>40.62462462462462*1</f>
        <v>0</v>
      </c>
      <c r="AI144">
        <f>0.9346987990507482*1</f>
        <v>0</v>
      </c>
      <c r="AJ144">
        <v>1</v>
      </c>
      <c r="AK144">
        <v>0</v>
      </c>
      <c r="AL144">
        <v>0</v>
      </c>
    </row>
    <row r="145" spans="1:38">
      <c r="A145" t="s">
        <v>345</v>
      </c>
      <c r="B145" t="s">
        <v>346</v>
      </c>
      <c r="C145" t="s">
        <v>347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5.5</v>
      </c>
      <c r="AE145">
        <v>655</v>
      </c>
      <c r="AF145">
        <v>80.1081081081081</v>
      </c>
      <c r="AG145">
        <v>80.1081081081081</v>
      </c>
      <c r="AH145">
        <f>35.603603603603595*1</f>
        <v>0</v>
      </c>
      <c r="AI145">
        <f>1.0231667475721016*1</f>
        <v>0</v>
      </c>
      <c r="AJ145">
        <v>1</v>
      </c>
      <c r="AK145">
        <v>0</v>
      </c>
      <c r="AL145">
        <v>0</v>
      </c>
    </row>
    <row r="146" spans="1:38">
      <c r="A146" t="s">
        <v>348</v>
      </c>
      <c r="B146" t="s">
        <v>349</v>
      </c>
      <c r="C146" t="s">
        <v>349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31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6.5</v>
      </c>
      <c r="AE146">
        <v>662</v>
      </c>
      <c r="AF146">
        <v>0</v>
      </c>
      <c r="AG146">
        <v>0</v>
      </c>
      <c r="AH146">
        <f>0*1</f>
        <v>0</v>
      </c>
      <c r="AI146">
        <f>0*1</f>
        <v>0</v>
      </c>
      <c r="AJ146">
        <v>1</v>
      </c>
      <c r="AK146">
        <v>1</v>
      </c>
      <c r="AL1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2025-08-15T18:52:24Z</dcterms:created>
  <dcterms:modified xsi:type="dcterms:W3CDTF">2025-08-15T18:52:24Z</dcterms:modified>
</cp:coreProperties>
</file>