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CED3AFAC-4063-9D4E-BD3F-24539486166D}" xr6:coauthVersionLast="47" xr6:coauthVersionMax="47" xr10:uidLastSave="{00000000-0000-0000-0000-000000000000}"/>
  <bookViews>
    <workbookView xWindow="240" yWindow="500" windowWidth="21660" windowHeight="29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4" i="1" l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11" i="1"/>
  <c r="AH111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22" i="1"/>
  <c r="AH22" i="1"/>
  <c r="AI133" i="1"/>
  <c r="AH133" i="1"/>
  <c r="AI118" i="1"/>
  <c r="AH118" i="1"/>
  <c r="AI131" i="1"/>
  <c r="AH131" i="1"/>
  <c r="AI130" i="1"/>
  <c r="AH130" i="1"/>
  <c r="AI129" i="1"/>
  <c r="AH129" i="1"/>
  <c r="AI31" i="1"/>
  <c r="AH31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7" i="1"/>
  <c r="AH7" i="1"/>
  <c r="AI66" i="1"/>
  <c r="AH66" i="1"/>
  <c r="AI116" i="1"/>
  <c r="AH116" i="1"/>
  <c r="AI115" i="1"/>
  <c r="AH115" i="1"/>
  <c r="AI114" i="1"/>
  <c r="AH114" i="1"/>
  <c r="AI113" i="1"/>
  <c r="AH113" i="1"/>
  <c r="AI112" i="1"/>
  <c r="AH112" i="1"/>
  <c r="AI154" i="1"/>
  <c r="AH154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56" i="1"/>
  <c r="AH56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128" i="1"/>
  <c r="AH12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134" i="1"/>
  <c r="AH134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88" i="1"/>
  <c r="AH88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132" i="1"/>
  <c r="AH13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42" i="1"/>
  <c r="AH42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95" i="1"/>
  <c r="AH95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117" i="1"/>
  <c r="AH11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<sst xmlns="http://schemas.openxmlformats.org/spreadsheetml/2006/main" count="885" uniqueCount="392">
  <si>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</si>
  <si>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</si>
  <si>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</si>
  <si>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</si>
  <si>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</si>
  <si>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</si>
  <si>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</si>
  <si>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</si>
  <si>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</si>
  <si>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</si>
  <si>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</si>
  <si>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</si>
  <si>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</si>
  <si>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</si>
  <si>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</si>
  <si>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</si>
  <si>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</si>
  <si>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</si>
  <si>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</si>
  <si>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</si>
  <si>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</si>
  <si>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</si>
  <si>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</si>
  <si>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</si>
  <si>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</si>
  <si>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</si>
  <si>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</si>
  <si>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</si>
  <si>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</si>
  <si>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</si>
  <si>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</si>
  <si>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</si>
  <si>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</si>
  <si>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</si>
  <si>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</si>
  <si>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</si>
  <si>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</si>
  <si>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</si>
  <si>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</si>
  <si>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</si>
  <si>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</si>
  <si>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</si>
  <si>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</si>
  <si>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</si>
  <si>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</si>
  <si>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</si>
  <si>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</si>
  <si>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</si>
  <si>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</si>
  <si>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</si>
  <si>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</si>
  <si>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</si>
  <si>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</si>
  <si>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</si>
  <si>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</si>
  <si>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</si>
  <si>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</si>
  <si>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</si>
  <si>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</si>
  <si>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</si>
  <si>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</si>
  <si>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</si>
  <si>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</si>
  <si>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</si>
  <si>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</si>
  <si>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</si>
  <si>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</si>
  <si>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</si>
  <si>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</si>
  <si>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</si>
  <si>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</si>
  <si>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</si>
  <si>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</si>
  <si>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</si>
  <si>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</si>
  <si>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</si>
  <si>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</si>
  <si>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</si>
  <si>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</si>
  <si>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</si>
  <si>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</si>
  <si>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</si>
  <si>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</si>
  <si>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</si>
  <si>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</si>
  <si>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</si>
  <si>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</si>
  <si>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</si>
  <si>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</si>
  <si>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</si>
  <si>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</si>
  <si>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</si>
  <si>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</si>
  <si>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</si>
  <si>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</si>
  <si>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</si>
  <si>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</si>
  <si>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</si>
  <si>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</si>
  <si>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</si>
  <si>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</si>
  <si>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</si>
  <si>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</si>
  <si>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</si>
  <si>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Keane</t>
  </si>
  <si>
    <t>Lewis-Potter</t>
  </si>
  <si>
    <t>Bryan</t>
  </si>
  <si>
    <t>Mbeumo</t>
  </si>
  <si>
    <t>Christian</t>
  </si>
  <si>
    <t>Nørgaard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</si>
  <si>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</si>
  <si>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</si>
  <si>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</si>
  <si>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</si>
  <si>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</si>
  <si>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</si>
  <si>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</si>
  <si>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</si>
  <si>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</si>
  <si>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</si>
  <si>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</si>
  <si>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</si>
  <si>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</si>
  <si>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</si>
  <si>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</si>
  <si>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</si>
  <si>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</si>
  <si>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</si>
  <si>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</si>
  <si>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</si>
  <si>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</si>
  <si>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</si>
  <si>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</si>
  <si>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</si>
  <si>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</si>
  <si>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</si>
  <si>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</si>
  <si>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</si>
  <si>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</si>
  <si>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</si>
  <si>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</si>
  <si>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</si>
  <si>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</si>
  <si>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</si>
  <si>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</si>
  <si>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</si>
  <si>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</si>
  <si>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</si>
  <si>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</si>
  <si>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</si>
  <si>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</si>
  <si>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</si>
  <si>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</si>
  <si>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</si>
  <si>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</si>
  <si>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</si>
  <si>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</si>
  <si>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</si>
  <si>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</si>
  <si>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</si>
  <si>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</si>
  <si>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</si>
  <si>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</si>
  <si>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</si>
  <si>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</si>
  <si>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</si>
  <si>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</si>
  <si>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</si>
  <si>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</si>
  <si>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</si>
  <si>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</si>
  <si>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</si>
  <si>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Norberto Bercique</t>
  </si>
  <si>
    <t>Gomes Betuncal</t>
  </si>
  <si>
    <t>Beto</t>
  </si>
  <si>
    <t>Jarrad</t>
  </si>
  <si>
    <t>Branthwaite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</si>
  <si>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</si>
  <si>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</si>
  <si>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</si>
  <si>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</si>
  <si>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</si>
  <si>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</si>
  <si>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</si>
  <si>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</si>
  <si>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</si>
  <si>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</si>
  <si>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</si>
  <si>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</si>
  <si>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</si>
  <si>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</si>
  <si>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</si>
  <si>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</si>
  <si>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</si>
  <si>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</si>
  <si>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</si>
  <si>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</si>
  <si>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</si>
  <si>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</si>
  <si>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</si>
  <si>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</si>
  <si>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</si>
  <si>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</si>
  <si>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</si>
  <si>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</si>
  <si>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</si>
  <si>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</si>
  <si>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</si>
  <si>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</si>
  <si>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</si>
  <si>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</si>
  <si>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</si>
  <si>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</si>
  <si>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</si>
  <si>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</si>
  <si>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</si>
  <si>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</si>
  <si>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</si>
  <si>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</si>
  <si>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</si>
  <si>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</si>
  <si>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</si>
  <si>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</si>
  <si>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</si>
  <si>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Wout</t>
  </si>
  <si>
    <t>Faes</t>
  </si>
  <si>
    <t>Wilfred</t>
  </si>
  <si>
    <t>Ndidi</t>
  </si>
  <si>
    <t>Jamie</t>
  </si>
  <si>
    <t>Vardy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</si>
  <si>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</si>
  <si>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</si>
  <si>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</si>
  <si>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</si>
  <si>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</si>
  <si>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</si>
  <si>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</si>
  <si>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</si>
  <si>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</si>
  <si>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</si>
  <si>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</si>
  <si>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</si>
  <si>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</si>
  <si>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</si>
  <si>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</si>
  <si>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</si>
  <si>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</si>
  <si>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</si>
  <si>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</si>
  <si>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</si>
  <si>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</si>
  <si>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</si>
  <si>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</si>
  <si>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</si>
  <si>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</si>
  <si>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</si>
  <si>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</si>
  <si>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</si>
  <si>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</si>
  <si>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</si>
  <si>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</si>
  <si>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</si>
  <si>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</si>
  <si>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</si>
  <si>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</si>
  <si>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</si>
  <si>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</si>
  <si>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</si>
  <si>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</si>
  <si>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</si>
  <si>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</si>
  <si>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</si>
  <si>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</si>
  <si>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</si>
  <si>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</si>
  <si>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</si>
  <si>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</si>
  <si>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</si>
  <si>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</si>
  <si>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</si>
  <si>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</si>
  <si>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</si>
  <si>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</si>
  <si>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</si>
  <si>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</si>
  <si>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</si>
  <si>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</si>
  <si>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</si>
  <si>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</si>
  <si>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</si>
  <si>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</si>
  <si>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</si>
  <si>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</si>
  <si>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</si>
  <si>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</si>
  <si>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</si>
  <si>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</si>
  <si>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</si>
  <si>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</si>
  <si>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</si>
  <si>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</si>
  <si>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</si>
  <si>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</si>
  <si>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</si>
  <si>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</si>
  <si>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</si>
  <si>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</si>
  <si>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</si>
  <si>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</si>
  <si>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</si>
  <si>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</si>
  <si>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</si>
  <si>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</si>
  <si>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</si>
  <si>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</si>
  <si>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</si>
  <si>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</si>
  <si>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</si>
  <si>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</si>
  <si>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</si>
  <si>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</si>
  <si>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</si>
  <si>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</si>
  <si>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</si>
  <si>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</si>
  <si>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</si>
  <si>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</si>
  <si>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</si>
  <si>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</si>
  <si>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</si>
  <si>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</si>
  <si>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</si>
  <si>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Jan</t>
  </si>
  <si>
    <t>Bednarek</t>
  </si>
  <si>
    <t>Kyle</t>
  </si>
  <si>
    <t>Walker-Peters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</si>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</sst>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4" totalsRowShown="0">
  <autoFilter ref="A1:AL164" xr:uid="{00000000-0009-0000-0100-000001000000}">
    <filterColumn colId="37">
      <filters>
        <filter val="1"/>
      </filters>
    </filterColumn>
  </autoFilter>
  <sortState xmlns:xlrd2="http://schemas.microsoft.com/office/spreadsheetml/2017/richdata2" ref="A7:AL154">
    <sortCondition descending="1" ref="AI1:AI16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15.70536824884582</v>
      </c>
      <c r="AG2">
        <v>14.509044604973409</v>
      </c>
      <c r="AH2">
        <f>11.5139092607237*0</f>
        <v>0</v>
      </c>
      <c r="AI2">
        <f>2.69283433409807*0</f>
        <v>0</v>
      </c>
      <c r="AJ2">
        <v>0</v>
      </c>
      <c r="AK2">
        <v>0</v>
      </c>
      <c r="AL2">
        <v>0</v>
      </c>
      <c r="AN2" t="s">
        <v>0</v>
      </c>
      <c r="AO2">
        <f>SUMPRODUCT(Table1[Selected], Table1[PP])</f>
        <v>269.17977427515899</v>
      </c>
      <c r="AP2" t="s">
        <v>1</v>
      </c>
    </row>
    <row r="3" spans="1:43" hidden="1" x14ac:dyDescent="0.2">
      <c r="A3" t="s">
        <v>45</v>
      </c>
      <c r="B3" t="s">
        <v>47</v>
      </c>
      <c r="C3" t="s">
        <v>48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8</v>
      </c>
      <c r="AF3">
        <v>14.166666865546791</v>
      </c>
      <c r="AG3">
        <v>21.152933534332959</v>
      </c>
      <c r="AH3">
        <f>7.39966591466487*1</f>
        <v>7.3996659146648698</v>
      </c>
      <c r="AI3">
        <f>1.85925790860059*1</f>
        <v>1.85925790860059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8.1999999999999993</v>
      </c>
      <c r="AE4">
        <v>10</v>
      </c>
      <c r="AF4">
        <v>18.129496402877692</v>
      </c>
      <c r="AG4">
        <v>19.810695235250261</v>
      </c>
      <c r="AH4">
        <f>10.0538550915493*1</f>
        <v>10.0538550915493</v>
      </c>
      <c r="AI4">
        <f>2.47172381736609*1</f>
        <v>2.4717238173660898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100.30000000000003</v>
      </c>
      <c r="AP4">
        <v>101.2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11</v>
      </c>
      <c r="AF5">
        <v>16.629611112771311</v>
      </c>
      <c r="AG5">
        <v>18.136318651867089</v>
      </c>
      <c r="AH5">
        <f>10.9021574481691*1</f>
        <v>10.902157448169101</v>
      </c>
      <c r="AI5">
        <f>2.87422530788651*1</f>
        <v>2.8742253078865101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14.03115578249515</v>
      </c>
      <c r="AG6">
        <v>12.396710954820151</v>
      </c>
      <c r="AH6">
        <f>9.9702497759541*1</f>
        <v>9.9702497759541</v>
      </c>
      <c r="AI6">
        <f>2.46190852758912*1</f>
        <v>2.4619085275891202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x14ac:dyDescent="0.2">
      <c r="A7" t="s">
        <v>291</v>
      </c>
      <c r="B7" t="s">
        <v>292</v>
      </c>
      <c r="C7" t="s">
        <v>293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5.3</v>
      </c>
      <c r="AE7">
        <v>572</v>
      </c>
      <c r="AF7">
        <v>20.393166446052021</v>
      </c>
      <c r="AG7">
        <v>9.1928464975815984</v>
      </c>
      <c r="AH7">
        <f>30.0237879827581*1</f>
        <v>30.023787982758101</v>
      </c>
      <c r="AI7">
        <f>7.57415674565764*1</f>
        <v>7.57415674565764</v>
      </c>
      <c r="AJ7">
        <v>1</v>
      </c>
      <c r="AK7">
        <v>1</v>
      </c>
      <c r="AL7">
        <v>1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9.8333333333333357</v>
      </c>
      <c r="AG8">
        <v>0</v>
      </c>
      <c r="AH8">
        <f>12.2336429622833*1</f>
        <v>12.2336429622833</v>
      </c>
      <c r="AI8">
        <f>3.05841074057083*1</f>
        <v>3.0584107405708298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6.7</v>
      </c>
      <c r="AE9">
        <v>18</v>
      </c>
      <c r="AF9">
        <v>15.917510744810521</v>
      </c>
      <c r="AG9">
        <v>13.911992821163089</v>
      </c>
      <c r="AH9">
        <f>10.4068314928329*1</f>
        <v>10.4068314928329</v>
      </c>
      <c r="AI9">
        <f>2.73985822116429*1</f>
        <v>2.7398582211642899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4.5</v>
      </c>
      <c r="AE10">
        <v>44</v>
      </c>
      <c r="AF10">
        <v>10.73907963943711</v>
      </c>
      <c r="AG10">
        <v>12.515749965742231</v>
      </c>
      <c r="AH10">
        <f>5.52642421680114*1</f>
        <v>5.5264242168011402</v>
      </c>
      <c r="AI10">
        <f>1.45887764186408*1</f>
        <v>1.4588776418640801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4.4000000000000004</v>
      </c>
      <c r="AE11">
        <v>52</v>
      </c>
      <c r="AF11">
        <v>10.96216216216215</v>
      </c>
      <c r="AG11">
        <v>11.062662776942259</v>
      </c>
      <c r="AH11">
        <f>5.85658321745466*1</f>
        <v>5.8565832174546602</v>
      </c>
      <c r="AI11">
        <f>1.47356963869837*1</f>
        <v>1.4735696386983701</v>
      </c>
      <c r="AJ11">
        <v>1</v>
      </c>
      <c r="AK11">
        <v>0</v>
      </c>
      <c r="AL11">
        <v>0</v>
      </c>
    </row>
    <row r="12" spans="1:43" hidden="1" x14ac:dyDescent="0.2">
      <c r="A12" t="s">
        <v>67</v>
      </c>
      <c r="B12" t="s">
        <v>68</v>
      </c>
      <c r="C12" t="s">
        <v>69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55</v>
      </c>
      <c r="AF12">
        <v>12.848484848484841</v>
      </c>
      <c r="AG12">
        <v>15.19098107328878</v>
      </c>
      <c r="AH12">
        <f>6.58448757754321*1</f>
        <v>6.5844875775432099</v>
      </c>
      <c r="AI12">
        <f>1.62811855040268*1</f>
        <v>1.6281185504026801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70</v>
      </c>
      <c r="B13" t="s">
        <v>71</v>
      </c>
      <c r="C13" t="s">
        <v>71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56</v>
      </c>
      <c r="AF13">
        <v>11.576719576719601</v>
      </c>
      <c r="AG13">
        <v>11.963024354670949</v>
      </c>
      <c r="AH13">
        <f>5.58732187696294*1</f>
        <v>5.5873218769629398</v>
      </c>
      <c r="AI13">
        <f>1.43878860469469*1</f>
        <v>1.4387886046946901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5.7</v>
      </c>
      <c r="AE14">
        <v>62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5.5</v>
      </c>
      <c r="AE15">
        <v>65</v>
      </c>
      <c r="AF15">
        <v>12.956179755137491</v>
      </c>
      <c r="AG15">
        <v>13.30117175666927</v>
      </c>
      <c r="AH15">
        <f>8.55778969960144*1</f>
        <v>8.5577896996014395</v>
      </c>
      <c r="AI15">
        <f>2.03325118103683*1</f>
        <v>2.0332511810368299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8.9</v>
      </c>
      <c r="AE16">
        <v>66</v>
      </c>
      <c r="AF16">
        <v>18.94736842105263</v>
      </c>
      <c r="AG16">
        <v>20.818050108780891</v>
      </c>
      <c r="AH16">
        <f>11.3133716045513*1</f>
        <v>11.3133716045513</v>
      </c>
      <c r="AI16">
        <f>2.8437771463311*1</f>
        <v>2.8437771463310999</v>
      </c>
      <c r="AJ16">
        <v>1</v>
      </c>
      <c r="AK16">
        <v>0</v>
      </c>
      <c r="AL16">
        <v>0</v>
      </c>
    </row>
    <row r="17" spans="1:42" hidden="1" x14ac:dyDescent="0.2">
      <c r="A17" t="s">
        <v>51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14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83</v>
      </c>
      <c r="AF17">
        <v>4.9164374576509644</v>
      </c>
      <c r="AG17">
        <v>11.660411071310721</v>
      </c>
      <c r="AH17">
        <f>2.19528547529073*1</f>
        <v>2.19528547529073</v>
      </c>
      <c r="AI17">
        <f>0.769220669702901*1</f>
        <v>0.76922066970290104</v>
      </c>
      <c r="AJ17">
        <v>1</v>
      </c>
      <c r="AK17">
        <v>0</v>
      </c>
      <c r="AL17">
        <v>0</v>
      </c>
      <c r="AN17" t="s">
        <v>11</v>
      </c>
      <c r="AO17">
        <f>AO2-AO15*4</f>
        <v>269.17977427515899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84</v>
      </c>
      <c r="AF18">
        <v>9.1368421052631579</v>
      </c>
      <c r="AG18">
        <v>8.3457394705213819</v>
      </c>
      <c r="AH18">
        <f>6.73485263338057*1</f>
        <v>6.7348526333805703</v>
      </c>
      <c r="AI18">
        <f>1.72788848255263*1</f>
        <v>1.7278884825526299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85</v>
      </c>
      <c r="AF19">
        <v>7.4489875027243766</v>
      </c>
      <c r="AG19">
        <v>7.4943472159986637</v>
      </c>
      <c r="AH19">
        <f>7.64984845812996*1</f>
        <v>7.6498484581299602</v>
      </c>
      <c r="AI19">
        <f>1.87294809861026*1</f>
        <v>1.87294809861026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91</v>
      </c>
      <c r="AF20">
        <v>0</v>
      </c>
      <c r="AG20">
        <v>0</v>
      </c>
      <c r="AH20">
        <f>0*1</f>
        <v>0</v>
      </c>
      <c r="AI20">
        <f>0*1</f>
        <v>0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</v>
      </c>
      <c r="AE21">
        <v>92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x14ac:dyDescent="0.2">
      <c r="A22" t="s">
        <v>325</v>
      </c>
      <c r="B22" t="s">
        <v>326</v>
      </c>
      <c r="C22" t="s">
        <v>326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27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7</v>
      </c>
      <c r="AE22">
        <v>621</v>
      </c>
      <c r="AF22">
        <v>23.0869900630329</v>
      </c>
      <c r="AG22">
        <v>17.101376051701781</v>
      </c>
      <c r="AH22">
        <f>25.6869844803428*1</f>
        <v>25.686984480342801</v>
      </c>
      <c r="AI22">
        <f>6.89724649648352*1</f>
        <v>6.8972464964835201</v>
      </c>
      <c r="AJ22">
        <v>1</v>
      </c>
      <c r="AK22">
        <v>1</v>
      </c>
      <c r="AL22">
        <v>1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5.7</v>
      </c>
      <c r="AE23">
        <v>98</v>
      </c>
      <c r="AF23">
        <v>13.808219178082201</v>
      </c>
      <c r="AG23">
        <v>11.22673496450464</v>
      </c>
      <c r="AH23">
        <f>12.5067870451378*1</f>
        <v>12.5067870451378</v>
      </c>
      <c r="AI23">
        <f>3.27819964218011*1</f>
        <v>3.2781996421801098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5.4</v>
      </c>
      <c r="AE24">
        <v>102</v>
      </c>
      <c r="AF24">
        <v>13.226666666666659</v>
      </c>
      <c r="AG24">
        <v>17.09809695210777</v>
      </c>
      <c r="AH24">
        <f>4.21875982983919*1</f>
        <v>4.2187598298391897</v>
      </c>
      <c r="AI24">
        <f>1.07506063064168*1</f>
        <v>1.0750606306416799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95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4.4000000000000004</v>
      </c>
      <c r="AE25">
        <v>104</v>
      </c>
      <c r="AF25">
        <v>9.464788732394366</v>
      </c>
      <c r="AG25">
        <v>9.1422381135160844</v>
      </c>
      <c r="AH25">
        <f>7.49808232268035*1</f>
        <v>7.4980823226803501</v>
      </c>
      <c r="AI25">
        <f>1.90398321903795*1</f>
        <v>1.90398321903795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3</v>
      </c>
      <c r="E26">
        <v>1</v>
      </c>
      <c r="F26">
        <v>0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4.5999999999999996</v>
      </c>
      <c r="AE26">
        <v>105</v>
      </c>
      <c r="AF26">
        <v>14.399999999999981</v>
      </c>
      <c r="AG26">
        <v>15.2428841241152</v>
      </c>
      <c r="AH26">
        <f>10.1294132039211*1</f>
        <v>10.1294132039211</v>
      </c>
      <c r="AI26">
        <f>2.57868588595284*1</f>
        <v>2.5786858859528401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123</v>
      </c>
      <c r="AF27">
        <v>10.54205607476635</v>
      </c>
      <c r="AG27">
        <v>9.9905566652888123</v>
      </c>
      <c r="AH27">
        <f>10.0146317050154*1</f>
        <v>10.0146317050154</v>
      </c>
      <c r="AI27">
        <f>2.50257791218103*1</f>
        <v>2.5025779121810299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4.9000000000000004</v>
      </c>
      <c r="AE28">
        <v>124</v>
      </c>
      <c r="AF28">
        <v>11.6532360619314</v>
      </c>
      <c r="AG28">
        <v>6.8664731439539102</v>
      </c>
      <c r="AH28">
        <f>12.6544213041151*1</f>
        <v>12.6544213041151</v>
      </c>
      <c r="AI28">
        <f>3.10114665161645*1</f>
        <v>3.1011466516164501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4.4000000000000004</v>
      </c>
      <c r="AE29">
        <v>126</v>
      </c>
      <c r="AF29">
        <v>0</v>
      </c>
      <c r="AG29">
        <v>0</v>
      </c>
      <c r="AH29">
        <f>0*1</f>
        <v>0</v>
      </c>
      <c r="AI29">
        <f>0*1</f>
        <v>0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133</v>
      </c>
      <c r="AF30">
        <v>9.577464788732394</v>
      </c>
      <c r="AG30">
        <v>7.2530153755104223</v>
      </c>
      <c r="AH30">
        <f>8.14368792105051*1</f>
        <v>8.1436879210505104</v>
      </c>
      <c r="AI30">
        <f>2.0218058857757*1</f>
        <v>2.0218058857757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2</v>
      </c>
      <c r="AP30">
        <v>3</v>
      </c>
    </row>
    <row r="31" spans="1:42" x14ac:dyDescent="0.2">
      <c r="A31" t="s">
        <v>286</v>
      </c>
      <c r="B31" t="s">
        <v>314</v>
      </c>
      <c r="C31" t="s">
        <v>314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27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5.4</v>
      </c>
      <c r="AE31">
        <v>607</v>
      </c>
      <c r="AF31">
        <v>25.48131850136695</v>
      </c>
      <c r="AG31">
        <v>8.7828928952967296</v>
      </c>
      <c r="AH31">
        <f>25.4299343854572*1</f>
        <v>25.429934385457202</v>
      </c>
      <c r="AI31">
        <f>6.89571494924718*1</f>
        <v>6.8957149492471803</v>
      </c>
      <c r="AJ31">
        <v>1</v>
      </c>
      <c r="AK31">
        <v>1</v>
      </c>
      <c r="AL31">
        <v>1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4.8</v>
      </c>
      <c r="AE32">
        <v>136</v>
      </c>
      <c r="AF32">
        <v>11.603603603603609</v>
      </c>
      <c r="AG32">
        <v>11.65337250906825</v>
      </c>
      <c r="AH32">
        <f>6.33025352078064*1</f>
        <v>6.3302535207806399</v>
      </c>
      <c r="AI32">
        <f>1.62327761253334*1</f>
        <v>1.6232776125333399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5.0999999999999996</v>
      </c>
      <c r="AE33">
        <v>141</v>
      </c>
      <c r="AF33">
        <v>0</v>
      </c>
      <c r="AG33">
        <v>0</v>
      </c>
      <c r="AH33">
        <f>0*1</f>
        <v>0</v>
      </c>
      <c r="AI33">
        <f>0*1</f>
        <v>0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6.6</v>
      </c>
      <c r="AE34">
        <v>145</v>
      </c>
      <c r="AF34">
        <v>19.63622470112028</v>
      </c>
      <c r="AG34">
        <v>14.162720274919989</v>
      </c>
      <c r="AH34">
        <f>22.3730975175881*1</f>
        <v>22.3730975175881</v>
      </c>
      <c r="AI34">
        <f>5.75691695672435*1</f>
        <v>5.7569169567243499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161</v>
      </c>
      <c r="AF35">
        <v>0</v>
      </c>
      <c r="AG35">
        <v>0</v>
      </c>
      <c r="AH35">
        <f>0*1</f>
        <v>0</v>
      </c>
      <c r="AI35">
        <f>0*1</f>
        <v>0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</v>
      </c>
      <c r="AE36">
        <v>163</v>
      </c>
      <c r="AF36">
        <v>0</v>
      </c>
      <c r="AG36">
        <v>0</v>
      </c>
      <c r="AH36">
        <f>0*1</f>
        <v>0</v>
      </c>
      <c r="AI36">
        <f>0*1</f>
        <v>0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4.5999999999999996</v>
      </c>
      <c r="AE37">
        <v>191</v>
      </c>
      <c r="AF37">
        <v>0</v>
      </c>
      <c r="AG37">
        <v>0</v>
      </c>
      <c r="AH37">
        <f>0*1</f>
        <v>0</v>
      </c>
      <c r="AI37">
        <f>0*1</f>
        <v>0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0</v>
      </c>
      <c r="H38">
        <v>1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5.5</v>
      </c>
      <c r="AE38">
        <v>193</v>
      </c>
      <c r="AF38">
        <v>12.50199109404422</v>
      </c>
      <c r="AG38">
        <v>12.591620305910061</v>
      </c>
      <c r="AH38">
        <f>10.0872421367636*1</f>
        <v>10.087242136763599</v>
      </c>
      <c r="AI38">
        <f>2.40372426772607*1</f>
        <v>2.4037242677260702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122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199</v>
      </c>
      <c r="AF39">
        <v>0</v>
      </c>
      <c r="AG39">
        <v>0</v>
      </c>
      <c r="AH39">
        <f>0*1</f>
        <v>0</v>
      </c>
      <c r="AI39">
        <f>0*1</f>
        <v>0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126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218</v>
      </c>
      <c r="AF40">
        <v>9.1159952379045315</v>
      </c>
      <c r="AG40">
        <v>10.36305960793613</v>
      </c>
      <c r="AH40">
        <f>8.8479043455232*1</f>
        <v>8.8479043455231992</v>
      </c>
      <c r="AI40">
        <f>2.04149244878121*1</f>
        <v>2.0414924487812098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128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17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222</v>
      </c>
      <c r="AF41">
        <v>11.014492753623189</v>
      </c>
      <c r="AG41">
        <v>10.879035056993949</v>
      </c>
      <c r="AH41">
        <f>6.38935148249267*1</f>
        <v>6.3893514824926703</v>
      </c>
      <c r="AI41">
        <f>1.60695813656273*1</f>
        <v>1.6069581365627299</v>
      </c>
      <c r="AJ41">
        <v>1</v>
      </c>
      <c r="AK41">
        <v>0</v>
      </c>
      <c r="AL41">
        <v>0</v>
      </c>
    </row>
    <row r="42" spans="1:42" x14ac:dyDescent="0.2">
      <c r="A42" t="s">
        <v>106</v>
      </c>
      <c r="B42" t="s">
        <v>107</v>
      </c>
      <c r="C42" t="s">
        <v>107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8.1</v>
      </c>
      <c r="AE42">
        <v>134</v>
      </c>
      <c r="AF42">
        <v>24.92429823696467</v>
      </c>
      <c r="AG42">
        <v>14.015215418931369</v>
      </c>
      <c r="AH42">
        <f>26.1653142921409*1</f>
        <v>26.165314292140899</v>
      </c>
      <c r="AI42">
        <f>6.63755819680209*1</f>
        <v>6.6375581968020896</v>
      </c>
      <c r="AJ42">
        <v>1</v>
      </c>
      <c r="AK42">
        <v>1</v>
      </c>
      <c r="AL42">
        <v>1</v>
      </c>
    </row>
    <row r="43" spans="1:42" hidden="1" x14ac:dyDescent="0.2">
      <c r="A43" t="s">
        <v>132</v>
      </c>
      <c r="B43" t="s">
        <v>133</v>
      </c>
      <c r="C43" t="s">
        <v>132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</v>
      </c>
      <c r="AE43">
        <v>227</v>
      </c>
      <c r="AF43">
        <v>14.383710942222431</v>
      </c>
      <c r="AG43">
        <v>11.11746300654351</v>
      </c>
      <c r="AH43">
        <f>14.3903556363093*1</f>
        <v>14.3903556363093</v>
      </c>
      <c r="AI43">
        <f>3.98780061537225*1</f>
        <v>3.9878006153722501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135</v>
      </c>
      <c r="D44" t="s">
        <v>4</v>
      </c>
      <c r="E44">
        <v>0</v>
      </c>
      <c r="F44">
        <v>1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230</v>
      </c>
      <c r="AF44">
        <v>0</v>
      </c>
      <c r="AG44">
        <v>0</v>
      </c>
      <c r="AH44">
        <f>0*1</f>
        <v>0</v>
      </c>
      <c r="AI44">
        <f>0*1</f>
        <v>0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137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</v>
      </c>
      <c r="AE45">
        <v>236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140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7.7</v>
      </c>
      <c r="AE46">
        <v>239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10.6</v>
      </c>
      <c r="AE47">
        <v>241</v>
      </c>
      <c r="AF47">
        <v>13.79840703111517</v>
      </c>
      <c r="AG47">
        <v>43.018591494251567</v>
      </c>
      <c r="AH47">
        <f>8.78734219170152*1</f>
        <v>8.7873421917015193</v>
      </c>
      <c r="AI47">
        <f>2.23266779478068*1</f>
        <v>2.2326677947806801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144</v>
      </c>
      <c r="D48" t="s">
        <v>3</v>
      </c>
      <c r="E48">
        <v>1</v>
      </c>
      <c r="F48">
        <v>0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244</v>
      </c>
      <c r="AF48">
        <v>14.60317460317459</v>
      </c>
      <c r="AG48">
        <v>14.27046822678356</v>
      </c>
      <c r="AH48">
        <f>11.2248115504766*1</f>
        <v>11.2248115504766</v>
      </c>
      <c r="AI48">
        <f>2.82277538199675*1</f>
        <v>2.8227753819967498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6.2</v>
      </c>
      <c r="AE49">
        <v>247</v>
      </c>
      <c r="AF49">
        <v>9.9321290900566375</v>
      </c>
      <c r="AG49">
        <v>16.024320050393928</v>
      </c>
      <c r="AH49">
        <f>8.07233346353064*1</f>
        <v>8.0723334635306401</v>
      </c>
      <c r="AI49">
        <f>2.02144206665412*1</f>
        <v>2.02144206665412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149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6.1</v>
      </c>
      <c r="AE50">
        <v>248</v>
      </c>
      <c r="AF50">
        <v>13.313599747752029</v>
      </c>
      <c r="AG50">
        <v>12.045660399129959</v>
      </c>
      <c r="AH50">
        <f>9.01260754652566*1</f>
        <v>9.0126075465256594</v>
      </c>
      <c r="AI50">
        <f>2.25766596895101*1</f>
        <v>2.2576659689510099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151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6.9</v>
      </c>
      <c r="AE51">
        <v>269</v>
      </c>
      <c r="AF51">
        <v>15.789473684210551</v>
      </c>
      <c r="AG51">
        <v>17.3753212146</v>
      </c>
      <c r="AH51">
        <f>13.3462671917501*1</f>
        <v>13.346267191750099</v>
      </c>
      <c r="AI51">
        <f>3.36206120964376*1</f>
        <v>3.3620612096437599</v>
      </c>
      <c r="AJ51">
        <v>1</v>
      </c>
      <c r="AK51">
        <v>0</v>
      </c>
      <c r="AL51">
        <v>0</v>
      </c>
    </row>
    <row r="52" spans="1:38" hidden="1" x14ac:dyDescent="0.2">
      <c r="A52" t="s">
        <v>129</v>
      </c>
      <c r="B52" t="s">
        <v>152</v>
      </c>
      <c r="C52" t="s">
        <v>152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4.7</v>
      </c>
      <c r="AE52">
        <v>270</v>
      </c>
      <c r="AF52">
        <v>12.06451612903226</v>
      </c>
      <c r="AG52">
        <v>9.9851831219334723</v>
      </c>
      <c r="AH52">
        <f>8.3911048938876*1</f>
        <v>8.3911048938876007</v>
      </c>
      <c r="AI52">
        <f>2.06443150118601*1</f>
        <v>2.0644315011860099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3</v>
      </c>
      <c r="E53">
        <v>1</v>
      </c>
      <c r="F53">
        <v>0</v>
      </c>
      <c r="G53">
        <v>0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4.5999999999999996</v>
      </c>
      <c r="AE53">
        <v>271</v>
      </c>
      <c r="AF53">
        <v>16.4406991809586</v>
      </c>
      <c r="AG53">
        <v>16.58617345665758</v>
      </c>
      <c r="AH53">
        <f>10.1639724197519*1</f>
        <v>10.1639724197519</v>
      </c>
      <c r="AI53">
        <f>2.60892710492005*1</f>
        <v>2.60892710492005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273</v>
      </c>
      <c r="AF54">
        <v>8.458598726114646</v>
      </c>
      <c r="AG54">
        <v>8.2141040918125299</v>
      </c>
      <c r="AH54">
        <f>4.24599215765048*1</f>
        <v>4.2459921576504804</v>
      </c>
      <c r="AI54">
        <f>1.00842551124703*1</f>
        <v>1.0084255112470299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159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4.8</v>
      </c>
      <c r="AE55">
        <v>275</v>
      </c>
      <c r="AF55">
        <v>9.4666666666666668</v>
      </c>
      <c r="AG55">
        <v>10.240870770007801</v>
      </c>
      <c r="AH55">
        <f>4.54542569323361*1</f>
        <v>4.5454256932336099</v>
      </c>
      <c r="AI55">
        <f>1.14031639991607*1</f>
        <v>1.1403163999160699</v>
      </c>
      <c r="AJ55">
        <v>1</v>
      </c>
      <c r="AK55">
        <v>0</v>
      </c>
      <c r="AL55">
        <v>0</v>
      </c>
    </row>
    <row r="56" spans="1:38" x14ac:dyDescent="0.2">
      <c r="A56" t="s">
        <v>244</v>
      </c>
      <c r="B56" t="s">
        <v>245</v>
      </c>
      <c r="C56" t="s">
        <v>246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23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13.8</v>
      </c>
      <c r="AE56">
        <v>461</v>
      </c>
      <c r="AF56">
        <v>28.786324786324769</v>
      </c>
      <c r="AG56">
        <v>29.526161014603609</v>
      </c>
      <c r="AH56">
        <f>26.2562969366637*1</f>
        <v>26.256296936663698</v>
      </c>
      <c r="AI56">
        <f>6.54158642547592*1</f>
        <v>6.54158642547592</v>
      </c>
      <c r="AJ56">
        <v>1</v>
      </c>
      <c r="AK56">
        <v>1</v>
      </c>
      <c r="AL56">
        <v>1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279</v>
      </c>
      <c r="AF57">
        <v>11.974522292993621</v>
      </c>
      <c r="AG57">
        <v>11.7055386204736</v>
      </c>
      <c r="AH57">
        <f>11.1243089938113*1</f>
        <v>11.124308993811299</v>
      </c>
      <c r="AI57">
        <f>2.67914628992349*1</f>
        <v>2.6791462899234899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5.3</v>
      </c>
      <c r="AE58">
        <v>280</v>
      </c>
      <c r="AF58">
        <v>0</v>
      </c>
      <c r="AG58">
        <v>0</v>
      </c>
      <c r="AH58">
        <f>0*1</f>
        <v>0</v>
      </c>
      <c r="AI58">
        <f>0*1</f>
        <v>0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5.8</v>
      </c>
      <c r="AE59">
        <v>287</v>
      </c>
      <c r="AF59">
        <v>0</v>
      </c>
      <c r="AG59">
        <v>0</v>
      </c>
      <c r="AH59">
        <f>0*1</f>
        <v>0</v>
      </c>
      <c r="AI59">
        <f>0*1</f>
        <v>0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5.0999999999999996</v>
      </c>
      <c r="AE60">
        <v>298</v>
      </c>
      <c r="AF60">
        <v>11.464619765363111</v>
      </c>
      <c r="AG60">
        <v>12.81123882214481</v>
      </c>
      <c r="AH60">
        <f>6.67470394930922*1</f>
        <v>6.6747039493092197</v>
      </c>
      <c r="AI60">
        <f>1.75543974581328*1</f>
        <v>1.75543974581328</v>
      </c>
      <c r="AJ60">
        <v>1</v>
      </c>
      <c r="AK60">
        <v>0</v>
      </c>
      <c r="AL60">
        <v>0</v>
      </c>
    </row>
    <row r="61" spans="1:38" hidden="1" x14ac:dyDescent="0.2">
      <c r="A61" t="s">
        <v>172</v>
      </c>
      <c r="B61" t="s">
        <v>173</v>
      </c>
      <c r="C61" t="s">
        <v>174</v>
      </c>
      <c r="D61" t="s">
        <v>6</v>
      </c>
      <c r="E61">
        <v>0</v>
      </c>
      <c r="F61">
        <v>0</v>
      </c>
      <c r="G61">
        <v>0</v>
      </c>
      <c r="H61">
        <v>1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299</v>
      </c>
      <c r="AF61">
        <v>0</v>
      </c>
      <c r="AG61">
        <v>0</v>
      </c>
      <c r="AH61">
        <f>0*1</f>
        <v>0</v>
      </c>
      <c r="AI61">
        <f>0*1</f>
        <v>0</v>
      </c>
      <c r="AJ61">
        <v>1</v>
      </c>
      <c r="AK61">
        <v>0</v>
      </c>
      <c r="AL61">
        <v>0</v>
      </c>
    </row>
    <row r="62" spans="1:38" hidden="1" x14ac:dyDescent="0.2">
      <c r="A62" t="s">
        <v>175</v>
      </c>
      <c r="B62" t="s">
        <v>176</v>
      </c>
      <c r="C62" t="s">
        <v>176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4.8</v>
      </c>
      <c r="AE62">
        <v>300</v>
      </c>
      <c r="AF62">
        <v>11.88405797101449</v>
      </c>
      <c r="AG62">
        <v>11.881612930741561</v>
      </c>
      <c r="AH62">
        <f>9.47079965174781*1</f>
        <v>9.4707996517478108</v>
      </c>
      <c r="AI62">
        <f>2.23320328738478*1</f>
        <v>2.23320328738478</v>
      </c>
      <c r="AJ62">
        <v>1</v>
      </c>
      <c r="AK62">
        <v>0</v>
      </c>
      <c r="AL62">
        <v>0</v>
      </c>
    </row>
    <row r="63" spans="1:38" hidden="1" x14ac:dyDescent="0.2">
      <c r="A63" t="s">
        <v>177</v>
      </c>
      <c r="B63" t="s">
        <v>178</v>
      </c>
      <c r="C63" t="s">
        <v>179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303</v>
      </c>
      <c r="AF63">
        <v>9.3000000000000043</v>
      </c>
      <c r="AG63">
        <v>8.5482563086710996</v>
      </c>
      <c r="AH63">
        <f>7.66579892255389*1</f>
        <v>7.6657989225538898</v>
      </c>
      <c r="AI63">
        <f>1.88871323677678*1</f>
        <v>1.88871323677678</v>
      </c>
      <c r="AJ63">
        <v>1</v>
      </c>
      <c r="AK63">
        <v>0</v>
      </c>
      <c r="AL63">
        <v>0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5.2</v>
      </c>
      <c r="AE64">
        <v>305</v>
      </c>
      <c r="AF64">
        <v>14.26751592356687</v>
      </c>
      <c r="AG64">
        <v>11.589832197215969</v>
      </c>
      <c r="AH64">
        <f>4.78707485822961*1</f>
        <v>4.7870748582296097</v>
      </c>
      <c r="AI64">
        <f>1.16720880239209*1</f>
        <v>1.1672088023920899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4.3</v>
      </c>
      <c r="AE65">
        <v>312</v>
      </c>
      <c r="AF65">
        <v>10.88171085552484</v>
      </c>
      <c r="AG65">
        <v>11.19662558784939</v>
      </c>
      <c r="AH65">
        <f>5.76783176770043*1</f>
        <v>5.7678317677004296</v>
      </c>
      <c r="AI65">
        <f>1.37784625236115*1</f>
        <v>1.3778462523611501</v>
      </c>
      <c r="AJ65">
        <v>1</v>
      </c>
      <c r="AK65">
        <v>0</v>
      </c>
      <c r="AL65">
        <v>0</v>
      </c>
    </row>
    <row r="66" spans="1:38" x14ac:dyDescent="0.2">
      <c r="A66" t="s">
        <v>289</v>
      </c>
      <c r="B66" t="s">
        <v>290</v>
      </c>
      <c r="C66" t="s">
        <v>290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26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9.6</v>
      </c>
      <c r="AE66">
        <v>571</v>
      </c>
      <c r="AF66">
        <v>23.07692307692307</v>
      </c>
      <c r="AG66">
        <v>20.363112103256171</v>
      </c>
      <c r="AH66">
        <f>23.4343348116675*1</f>
        <v>23.434334811667501</v>
      </c>
      <c r="AI66">
        <f>5.92030694832101*1</f>
        <v>5.9203069483210102</v>
      </c>
      <c r="AJ66">
        <v>1</v>
      </c>
      <c r="AK66">
        <v>1</v>
      </c>
      <c r="AL66">
        <v>1</v>
      </c>
    </row>
    <row r="67" spans="1:38" hidden="1" x14ac:dyDescent="0.2">
      <c r="A67" t="s">
        <v>186</v>
      </c>
      <c r="B67" t="s">
        <v>187</v>
      </c>
      <c r="C67" t="s">
        <v>187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316</v>
      </c>
      <c r="AF67">
        <v>12.852631295342929</v>
      </c>
      <c r="AG67">
        <v>11.343178110039659</v>
      </c>
      <c r="AH67">
        <f>8.11971641452648*0</f>
        <v>0</v>
      </c>
      <c r="AI67">
        <f>2.07856991984644*0</f>
        <v>0</v>
      </c>
      <c r="AJ67">
        <v>0</v>
      </c>
      <c r="AK67">
        <v>0</v>
      </c>
      <c r="AL67">
        <v>0</v>
      </c>
    </row>
    <row r="68" spans="1:38" hidden="1" x14ac:dyDescent="0.2">
      <c r="A68" t="s">
        <v>188</v>
      </c>
      <c r="B68" t="s">
        <v>189</v>
      </c>
      <c r="C68" t="s">
        <v>189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4.3</v>
      </c>
      <c r="AE68">
        <v>318</v>
      </c>
      <c r="AF68">
        <v>10.05405405405406</v>
      </c>
      <c r="AG68">
        <v>7.7927025442752793</v>
      </c>
      <c r="AH68">
        <f>7.06594878856604*1</f>
        <v>7.0659487885660397</v>
      </c>
      <c r="AI68">
        <f>1.71306099340205*1</f>
        <v>1.71306099340205</v>
      </c>
      <c r="AJ68">
        <v>1</v>
      </c>
      <c r="AK68">
        <v>0</v>
      </c>
      <c r="AL68">
        <v>0</v>
      </c>
    </row>
    <row r="69" spans="1:38" hidden="1" x14ac:dyDescent="0.2">
      <c r="A69" t="s">
        <v>190</v>
      </c>
      <c r="B69" t="s">
        <v>191</v>
      </c>
      <c r="C69" t="s">
        <v>191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5.0999999999999996</v>
      </c>
      <c r="AE69">
        <v>333</v>
      </c>
      <c r="AF69">
        <v>12.952380952380951</v>
      </c>
      <c r="AG69">
        <v>11.97419342496919</v>
      </c>
      <c r="AH69">
        <f>6.06824469576326*1</f>
        <v>6.0682446957632603</v>
      </c>
      <c r="AI69">
        <f>1.29224839203806*1</f>
        <v>1.2922483920380601</v>
      </c>
      <c r="AJ69">
        <v>1</v>
      </c>
      <c r="AK69">
        <v>0</v>
      </c>
      <c r="AL69">
        <v>0</v>
      </c>
    </row>
    <row r="70" spans="1:38" hidden="1" x14ac:dyDescent="0.2">
      <c r="A70" t="s">
        <v>192</v>
      </c>
      <c r="B70" t="s">
        <v>193</v>
      </c>
      <c r="C70" t="s">
        <v>193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4.2</v>
      </c>
      <c r="AE70">
        <v>334</v>
      </c>
      <c r="AF70">
        <v>10.100945225266139</v>
      </c>
      <c r="AG70">
        <v>12.474677256395159</v>
      </c>
      <c r="AH70">
        <f>5.18014697044991*1</f>
        <v>5.1801469704499103</v>
      </c>
      <c r="AI70">
        <f>1.39401577970101*1</f>
        <v>1.39401577970101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194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335</v>
      </c>
      <c r="AF71">
        <v>10.4538964798894</v>
      </c>
      <c r="AG71">
        <v>9.4889286554680794</v>
      </c>
      <c r="AH71">
        <f>6.64429405828204*1</f>
        <v>6.64429405828204</v>
      </c>
      <c r="AI71">
        <f>1.50886553386542*1</f>
        <v>1.50886553386542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196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336</v>
      </c>
      <c r="AF72">
        <v>13.09090909090909</v>
      </c>
      <c r="AG72">
        <v>15.82214779426242</v>
      </c>
      <c r="AH72">
        <f>7.00458246803685*1</f>
        <v>7.0045824680368503</v>
      </c>
      <c r="AI72">
        <f>1.75518165575284*1</f>
        <v>1.7551816557528399</v>
      </c>
      <c r="AJ72">
        <v>1</v>
      </c>
      <c r="AK72">
        <v>0</v>
      </c>
      <c r="AL72">
        <v>0</v>
      </c>
    </row>
    <row r="73" spans="1:38" hidden="1" x14ac:dyDescent="0.2">
      <c r="A73" t="s">
        <v>198</v>
      </c>
      <c r="B73" t="s">
        <v>199</v>
      </c>
      <c r="C73" t="s">
        <v>199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337</v>
      </c>
      <c r="AF73">
        <v>0</v>
      </c>
      <c r="AG73">
        <v>0</v>
      </c>
      <c r="AH73">
        <f>0*1</f>
        <v>0</v>
      </c>
      <c r="AI73">
        <f>0*1</f>
        <v>0</v>
      </c>
      <c r="AJ73">
        <v>1</v>
      </c>
      <c r="AK73">
        <v>0</v>
      </c>
      <c r="AL73">
        <v>0</v>
      </c>
    </row>
    <row r="74" spans="1:38" hidden="1" x14ac:dyDescent="0.2">
      <c r="A74" t="s">
        <v>200</v>
      </c>
      <c r="B74" t="s">
        <v>201</v>
      </c>
      <c r="C74" t="s">
        <v>201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5.6</v>
      </c>
      <c r="AE74">
        <v>343</v>
      </c>
      <c r="AF74">
        <v>16.28276304328887</v>
      </c>
      <c r="AG74">
        <v>12.28622557461253</v>
      </c>
      <c r="AH74">
        <f>16.9192891205719*1</f>
        <v>16.9192891205719</v>
      </c>
      <c r="AI74">
        <f>4.24847294955396*1</f>
        <v>4.2484729495539604</v>
      </c>
      <c r="AJ74">
        <v>1</v>
      </c>
      <c r="AK74">
        <v>0</v>
      </c>
      <c r="AL74">
        <v>0</v>
      </c>
    </row>
    <row r="75" spans="1:38" hidden="1" x14ac:dyDescent="0.2">
      <c r="A75" t="s">
        <v>202</v>
      </c>
      <c r="B75" t="s">
        <v>203</v>
      </c>
      <c r="C75" t="s">
        <v>203</v>
      </c>
      <c r="D75" t="s">
        <v>3</v>
      </c>
      <c r="E75">
        <v>1</v>
      </c>
      <c r="F75">
        <v>0</v>
      </c>
      <c r="G75">
        <v>0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344</v>
      </c>
      <c r="AF75">
        <v>14.29631326870803</v>
      </c>
      <c r="AG75">
        <v>16.427676532532129</v>
      </c>
      <c r="AH75">
        <f>8.26444886699711*1</f>
        <v>8.2644488669971103</v>
      </c>
      <c r="AI75">
        <f>2.16439595977667*1</f>
        <v>2.16439595977667</v>
      </c>
      <c r="AJ75">
        <v>1</v>
      </c>
      <c r="AK75">
        <v>0</v>
      </c>
      <c r="AL75">
        <v>0</v>
      </c>
    </row>
    <row r="76" spans="1:38" hidden="1" x14ac:dyDescent="0.2">
      <c r="A76" t="s">
        <v>204</v>
      </c>
      <c r="B76" t="s">
        <v>205</v>
      </c>
      <c r="C76" t="s">
        <v>205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345</v>
      </c>
      <c r="AF76">
        <v>0</v>
      </c>
      <c r="AG76">
        <v>0</v>
      </c>
      <c r="AH76">
        <f>0*1</f>
        <v>0</v>
      </c>
      <c r="AI76">
        <f>0*1</f>
        <v>0</v>
      </c>
      <c r="AJ76">
        <v>1</v>
      </c>
      <c r="AK76">
        <v>0</v>
      </c>
      <c r="AL76">
        <v>0</v>
      </c>
    </row>
    <row r="77" spans="1:38" hidden="1" x14ac:dyDescent="0.2">
      <c r="A77" t="s">
        <v>206</v>
      </c>
      <c r="B77" t="s">
        <v>207</v>
      </c>
      <c r="C77" t="s">
        <v>208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347</v>
      </c>
      <c r="AF77">
        <v>0</v>
      </c>
      <c r="AG77">
        <v>0</v>
      </c>
      <c r="AH77">
        <f>0*1</f>
        <v>0</v>
      </c>
      <c r="AI77">
        <f>0*1</f>
        <v>0</v>
      </c>
      <c r="AJ77">
        <v>1</v>
      </c>
      <c r="AK77">
        <v>0</v>
      </c>
      <c r="AL77">
        <v>0</v>
      </c>
    </row>
    <row r="78" spans="1:38" hidden="1" x14ac:dyDescent="0.2">
      <c r="A78" t="s">
        <v>209</v>
      </c>
      <c r="B78" t="s">
        <v>210</v>
      </c>
      <c r="C78" t="s">
        <v>209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5.3</v>
      </c>
      <c r="AE78">
        <v>348</v>
      </c>
      <c r="AF78">
        <v>14.062891301024001</v>
      </c>
      <c r="AG78">
        <v>16.159765772091621</v>
      </c>
      <c r="AH78">
        <f>9.3417425317535*1</f>
        <v>9.3417425317534999</v>
      </c>
      <c r="AI78">
        <f>2.24340740511271*1</f>
        <v>2.24340740511271</v>
      </c>
      <c r="AJ78">
        <v>1</v>
      </c>
      <c r="AK78">
        <v>0</v>
      </c>
      <c r="AL78">
        <v>0</v>
      </c>
    </row>
    <row r="79" spans="1:38" hidden="1" x14ac:dyDescent="0.2">
      <c r="A79" t="s">
        <v>211</v>
      </c>
      <c r="B79" t="s">
        <v>212</v>
      </c>
      <c r="C79" t="s">
        <v>212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4.8</v>
      </c>
      <c r="AE79">
        <v>351</v>
      </c>
      <c r="AF79">
        <v>10.75968992248062</v>
      </c>
      <c r="AG79">
        <v>10.09906228228297</v>
      </c>
      <c r="AH79">
        <f>9.034989396867*1</f>
        <v>9.0349893968669992</v>
      </c>
      <c r="AI79">
        <f>2.25200601201302*1</f>
        <v>2.2520060120130201</v>
      </c>
      <c r="AJ79">
        <v>1</v>
      </c>
      <c r="AK79">
        <v>1</v>
      </c>
      <c r="AL79">
        <v>0</v>
      </c>
    </row>
    <row r="80" spans="1:38" hidden="1" x14ac:dyDescent="0.2">
      <c r="A80" t="s">
        <v>213</v>
      </c>
      <c r="B80" t="s">
        <v>214</v>
      </c>
      <c r="C80" t="s">
        <v>214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360</v>
      </c>
      <c r="AF80">
        <v>8.3555555555555561</v>
      </c>
      <c r="AG80">
        <v>9.5272918817293437</v>
      </c>
      <c r="AH80">
        <f>3.8156369460908*1</f>
        <v>3.8156369460908</v>
      </c>
      <c r="AI80">
        <f>0.965913796817815*1</f>
        <v>0.96591379681781497</v>
      </c>
      <c r="AJ80">
        <v>1</v>
      </c>
      <c r="AK80">
        <v>0</v>
      </c>
      <c r="AL80">
        <v>0</v>
      </c>
    </row>
    <row r="81" spans="1:38" hidden="1" x14ac:dyDescent="0.2">
      <c r="A81" t="s">
        <v>215</v>
      </c>
      <c r="B81" t="s">
        <v>216</v>
      </c>
      <c r="C81" t="s">
        <v>216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3.9</v>
      </c>
      <c r="AE81">
        <v>396</v>
      </c>
      <c r="AF81">
        <v>6.5168539325842678</v>
      </c>
      <c r="AG81">
        <v>6.3894653350695103</v>
      </c>
      <c r="AH81">
        <f>4.53267572237306*1</f>
        <v>4.5326757223730603</v>
      </c>
      <c r="AI81">
        <f>1.15800595889947*1</f>
        <v>1.15800595889947</v>
      </c>
      <c r="AJ81">
        <v>1</v>
      </c>
      <c r="AK81">
        <v>0</v>
      </c>
      <c r="AL81">
        <v>0</v>
      </c>
    </row>
    <row r="82" spans="1:38" hidden="1" x14ac:dyDescent="0.2">
      <c r="A82" t="s">
        <v>217</v>
      </c>
      <c r="B82" t="s">
        <v>218</v>
      </c>
      <c r="C82" t="s">
        <v>218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404</v>
      </c>
      <c r="AF82">
        <v>0</v>
      </c>
      <c r="AG82">
        <v>0</v>
      </c>
      <c r="AH82">
        <f>0*1</f>
        <v>0</v>
      </c>
      <c r="AI82">
        <f>0*1</f>
        <v>0</v>
      </c>
      <c r="AJ82">
        <v>1</v>
      </c>
      <c r="AK82">
        <v>0</v>
      </c>
      <c r="AL82">
        <v>0</v>
      </c>
    </row>
    <row r="83" spans="1:38" hidden="1" x14ac:dyDescent="0.2">
      <c r="A83" t="s">
        <v>184</v>
      </c>
      <c r="B83" t="s">
        <v>219</v>
      </c>
      <c r="C83" t="s">
        <v>220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5.0999999999999996</v>
      </c>
      <c r="AE83">
        <v>405</v>
      </c>
      <c r="AF83">
        <v>10.939534883720929</v>
      </c>
      <c r="AG83">
        <v>11.75702199409424</v>
      </c>
      <c r="AH83">
        <f>5.85574433459751*1</f>
        <v>5.8557443345975102</v>
      </c>
      <c r="AI83">
        <f>1.57168967016364*1</f>
        <v>1.57168967016364</v>
      </c>
      <c r="AJ83">
        <v>1</v>
      </c>
      <c r="AK83">
        <v>0</v>
      </c>
      <c r="AL83">
        <v>0</v>
      </c>
    </row>
    <row r="84" spans="1:38" hidden="1" x14ac:dyDescent="0.2">
      <c r="A84" t="s">
        <v>221</v>
      </c>
      <c r="B84" t="s">
        <v>222</v>
      </c>
      <c r="C84" t="s">
        <v>223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407</v>
      </c>
      <c r="AF84">
        <v>6.2016874778108022</v>
      </c>
      <c r="AG84">
        <v>5.398490831524855</v>
      </c>
      <c r="AH84">
        <f>2.57468936735955*1</f>
        <v>2.5746893673595501</v>
      </c>
      <c r="AI84">
        <f>0.594687806945303*1</f>
        <v>0.59468780694530299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3.8</v>
      </c>
      <c r="AE85">
        <v>413</v>
      </c>
      <c r="AF85">
        <v>0</v>
      </c>
      <c r="AG85">
        <v>0</v>
      </c>
      <c r="AH85">
        <f>0*1</f>
        <v>0</v>
      </c>
      <c r="AI85">
        <f>0*1</f>
        <v>0</v>
      </c>
      <c r="AJ85">
        <v>1</v>
      </c>
      <c r="AK85">
        <v>0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422</v>
      </c>
      <c r="AF86">
        <v>8.5944917561098855</v>
      </c>
      <c r="AG86">
        <v>9.5775045807165125</v>
      </c>
      <c r="AH86">
        <f>4.71178483001562*1</f>
        <v>4.7117848300156204</v>
      </c>
      <c r="AI86">
        <f>1.06786443222455*1</f>
        <v>1.0678644322245501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229</v>
      </c>
      <c r="C87" t="s">
        <v>229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5.3</v>
      </c>
      <c r="AE87">
        <v>428</v>
      </c>
      <c r="AF87">
        <v>10.814520063154699</v>
      </c>
      <c r="AG87">
        <v>15.0559691259351</v>
      </c>
      <c r="AH87">
        <f>3.89017922304855*1</f>
        <v>3.8901792230485501</v>
      </c>
      <c r="AI87">
        <f>0.769046424445546*1</f>
        <v>0.76904642444554605</v>
      </c>
      <c r="AJ87">
        <v>1</v>
      </c>
      <c r="AK87">
        <v>0</v>
      </c>
      <c r="AL87">
        <v>0</v>
      </c>
    </row>
    <row r="88" spans="1:38" x14ac:dyDescent="0.2">
      <c r="A88" t="s">
        <v>160</v>
      </c>
      <c r="B88" t="s">
        <v>161</v>
      </c>
      <c r="C88" t="s">
        <v>161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7.7</v>
      </c>
      <c r="AE88">
        <v>276</v>
      </c>
      <c r="AF88">
        <v>23.555243116339891</v>
      </c>
      <c r="AG88">
        <v>11.46684987695579</v>
      </c>
      <c r="AH88">
        <f>22.042568574667*1</f>
        <v>22.042568574667001</v>
      </c>
      <c r="AI88">
        <f>5.47856764940624*1</f>
        <v>5.4785676494062399</v>
      </c>
      <c r="AJ88">
        <v>1</v>
      </c>
      <c r="AK88">
        <v>1</v>
      </c>
      <c r="AL88">
        <v>1</v>
      </c>
    </row>
    <row r="89" spans="1:38" hidden="1" x14ac:dyDescent="0.2">
      <c r="A89" t="s">
        <v>232</v>
      </c>
      <c r="B89" t="s">
        <v>233</v>
      </c>
      <c r="C89" t="s">
        <v>232</v>
      </c>
      <c r="D89" t="s">
        <v>6</v>
      </c>
      <c r="E89">
        <v>0</v>
      </c>
      <c r="F89">
        <v>0</v>
      </c>
      <c r="G89">
        <v>0</v>
      </c>
      <c r="H89">
        <v>1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</v>
      </c>
      <c r="AE89">
        <v>449</v>
      </c>
      <c r="AF89">
        <v>13.441860465116291</v>
      </c>
      <c r="AG89">
        <v>16.045798715589711</v>
      </c>
      <c r="AH89">
        <f>5.96836341961157*1</f>
        <v>5.9683634196115696</v>
      </c>
      <c r="AI89">
        <f>1.49860781668306*1</f>
        <v>1.4986078166830601</v>
      </c>
      <c r="AJ89">
        <v>1</v>
      </c>
      <c r="AK89">
        <v>0</v>
      </c>
      <c r="AL89">
        <v>0</v>
      </c>
    </row>
    <row r="90" spans="1:38" hidden="1" x14ac:dyDescent="0.2">
      <c r="A90" t="s">
        <v>234</v>
      </c>
      <c r="B90" t="s">
        <v>235</v>
      </c>
      <c r="C90" t="s">
        <v>235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7.2</v>
      </c>
      <c r="AE90">
        <v>454</v>
      </c>
      <c r="AF90">
        <v>13.48148148148149</v>
      </c>
      <c r="AG90">
        <v>14.055477674297279</v>
      </c>
      <c r="AH90">
        <f>8.85144106320971*1</f>
        <v>8.8514410632097107</v>
      </c>
      <c r="AI90">
        <f>2.25074487458846*1</f>
        <v>2.25074487458846</v>
      </c>
      <c r="AJ90">
        <v>1</v>
      </c>
      <c r="AK90">
        <v>0</v>
      </c>
      <c r="AL90">
        <v>0</v>
      </c>
    </row>
    <row r="91" spans="1:38" hidden="1" x14ac:dyDescent="0.2">
      <c r="A91" t="s">
        <v>79</v>
      </c>
      <c r="B91" t="s">
        <v>236</v>
      </c>
      <c r="C91" t="s">
        <v>236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456</v>
      </c>
      <c r="AF91">
        <v>0</v>
      </c>
      <c r="AG91">
        <v>0</v>
      </c>
      <c r="AH91">
        <f>0*1</f>
        <v>0</v>
      </c>
      <c r="AI91">
        <f>0*1</f>
        <v>0</v>
      </c>
      <c r="AJ91">
        <v>1</v>
      </c>
      <c r="AK91">
        <v>0</v>
      </c>
      <c r="AL91">
        <v>0</v>
      </c>
    </row>
    <row r="92" spans="1:38" hidden="1" x14ac:dyDescent="0.2">
      <c r="A92" t="s">
        <v>237</v>
      </c>
      <c r="B92" t="s">
        <v>238</v>
      </c>
      <c r="C92" t="s">
        <v>238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5.3</v>
      </c>
      <c r="AE92">
        <v>457</v>
      </c>
      <c r="AF92">
        <v>9.1272727272727234</v>
      </c>
      <c r="AG92">
        <v>10.042548416155929</v>
      </c>
      <c r="AH92">
        <f>5.91017083360968*1</f>
        <v>5.9101708336096799</v>
      </c>
      <c r="AI92">
        <f>1.49548850566734*1</f>
        <v>1.4954885056673399</v>
      </c>
      <c r="AJ92">
        <v>1</v>
      </c>
      <c r="AK92">
        <v>0</v>
      </c>
      <c r="AL92">
        <v>0</v>
      </c>
    </row>
    <row r="93" spans="1:38" hidden="1" x14ac:dyDescent="0.2">
      <c r="A93" t="s">
        <v>239</v>
      </c>
      <c r="B93" t="s">
        <v>240</v>
      </c>
      <c r="C93" t="s">
        <v>240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5.3</v>
      </c>
      <c r="AE93">
        <v>459</v>
      </c>
      <c r="AF93">
        <v>12.540540540540549</v>
      </c>
      <c r="AG93">
        <v>10.963453289140251</v>
      </c>
      <c r="AH93">
        <f>9.30662696056097*1</f>
        <v>9.3066269605609708</v>
      </c>
      <c r="AI93">
        <f>2.27675015415694*1</f>
        <v>2.2767501541569399</v>
      </c>
      <c r="AJ93">
        <v>1</v>
      </c>
      <c r="AK93">
        <v>0</v>
      </c>
      <c r="AL93">
        <v>0</v>
      </c>
    </row>
    <row r="94" spans="1:38" hidden="1" x14ac:dyDescent="0.2">
      <c r="A94" t="s">
        <v>241</v>
      </c>
      <c r="B94" t="s">
        <v>242</v>
      </c>
      <c r="C94" t="s">
        <v>243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7.6</v>
      </c>
      <c r="AE94">
        <v>460</v>
      </c>
      <c r="AF94">
        <v>16.35164835164835</v>
      </c>
      <c r="AG94">
        <v>14.510617400556839</v>
      </c>
      <c r="AH94">
        <f>17.3033523957479*1</f>
        <v>17.303352395747901</v>
      </c>
      <c r="AI94">
        <f>4.31283434452719*1</f>
        <v>4.3128343445271904</v>
      </c>
      <c r="AJ94">
        <v>1</v>
      </c>
      <c r="AK94">
        <v>0</v>
      </c>
      <c r="AL94">
        <v>0</v>
      </c>
    </row>
    <row r="95" spans="1:38" x14ac:dyDescent="0.2">
      <c r="A95" t="s">
        <v>87</v>
      </c>
      <c r="B95" t="s">
        <v>88</v>
      </c>
      <c r="C95" t="s">
        <v>89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14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4.7</v>
      </c>
      <c r="AE95">
        <v>94</v>
      </c>
      <c r="AF95">
        <v>10.06214971495511</v>
      </c>
      <c r="AG95">
        <v>7.9313333445859246</v>
      </c>
      <c r="AH95">
        <f>13.0644624104352*1</f>
        <v>13.064462410435199</v>
      </c>
      <c r="AI95">
        <f>3.36973376307358*1</f>
        <v>3.36973376307358</v>
      </c>
      <c r="AJ95">
        <v>1</v>
      </c>
      <c r="AK95">
        <v>1</v>
      </c>
      <c r="AL95">
        <v>1</v>
      </c>
    </row>
    <row r="96" spans="1:38" hidden="1" x14ac:dyDescent="0.2">
      <c r="A96" t="s">
        <v>247</v>
      </c>
      <c r="B96" t="s">
        <v>248</v>
      </c>
      <c r="C96" t="s">
        <v>248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6.2</v>
      </c>
      <c r="AE96">
        <v>462</v>
      </c>
      <c r="AF96">
        <v>12.560000000000009</v>
      </c>
      <c r="AG96">
        <v>12.577450829552291</v>
      </c>
      <c r="AH96">
        <f>12.0222402705614*1</f>
        <v>12.022240270561401</v>
      </c>
      <c r="AI96">
        <f>2.97333574034709*1</f>
        <v>2.9733357403470899</v>
      </c>
      <c r="AJ96">
        <v>1</v>
      </c>
      <c r="AK96">
        <v>0</v>
      </c>
      <c r="AL96">
        <v>0</v>
      </c>
    </row>
    <row r="97" spans="1:38" hidden="1" x14ac:dyDescent="0.2">
      <c r="A97" t="s">
        <v>249</v>
      </c>
      <c r="B97" t="s">
        <v>250</v>
      </c>
      <c r="C97" t="s">
        <v>250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5.8</v>
      </c>
      <c r="AE97">
        <v>468</v>
      </c>
      <c r="AF97">
        <v>11.017453125267179</v>
      </c>
      <c r="AG97">
        <v>21.48057598545423</v>
      </c>
      <c r="AH97">
        <f>6.83461958570609*1</f>
        <v>6.8346195857060899</v>
      </c>
      <c r="AI97">
        <f>1.8173669237318*1</f>
        <v>1.8173669237318</v>
      </c>
      <c r="AJ97">
        <v>1</v>
      </c>
      <c r="AK97">
        <v>0</v>
      </c>
      <c r="AL97">
        <v>0</v>
      </c>
    </row>
    <row r="98" spans="1:38" hidden="1" x14ac:dyDescent="0.2">
      <c r="A98" t="s">
        <v>251</v>
      </c>
      <c r="B98" t="s">
        <v>252</v>
      </c>
      <c r="C98" t="s">
        <v>252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6.2</v>
      </c>
      <c r="AE98">
        <v>469</v>
      </c>
      <c r="AF98">
        <v>0</v>
      </c>
      <c r="AG98">
        <v>0</v>
      </c>
      <c r="AH98">
        <f>0*1</f>
        <v>0</v>
      </c>
      <c r="AI98">
        <f>0*1</f>
        <v>0</v>
      </c>
      <c r="AJ98">
        <v>1</v>
      </c>
      <c r="AK98">
        <v>0</v>
      </c>
      <c r="AL98">
        <v>0</v>
      </c>
    </row>
    <row r="99" spans="1:38" hidden="1" x14ac:dyDescent="0.2">
      <c r="A99" t="s">
        <v>253</v>
      </c>
      <c r="B99" t="s">
        <v>254</v>
      </c>
      <c r="C99" t="s">
        <v>253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6.7</v>
      </c>
      <c r="AE99">
        <v>471</v>
      </c>
      <c r="AF99">
        <v>15.076701083125631</v>
      </c>
      <c r="AG99">
        <v>22.516250802895499</v>
      </c>
      <c r="AH99">
        <f>9.53272436534636*1</f>
        <v>9.5327243653463594</v>
      </c>
      <c r="AI99">
        <f>2.47995634527038*1</f>
        <v>2.4799563452703799</v>
      </c>
      <c r="AJ99">
        <v>1</v>
      </c>
      <c r="AK99">
        <v>0</v>
      </c>
      <c r="AL99">
        <v>0</v>
      </c>
    </row>
    <row r="100" spans="1:38" hidden="1" x14ac:dyDescent="0.2">
      <c r="A100" t="s">
        <v>255</v>
      </c>
      <c r="B100" t="s">
        <v>256</v>
      </c>
      <c r="C100" t="s">
        <v>255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6.1</v>
      </c>
      <c r="AE100">
        <v>481</v>
      </c>
      <c r="AF100">
        <v>14.133333333333329</v>
      </c>
      <c r="AG100">
        <v>14.94934768007608</v>
      </c>
      <c r="AH100">
        <f>5.96406049296751*1</f>
        <v>5.9640604929675103</v>
      </c>
      <c r="AI100">
        <f>1.49733373310993*1</f>
        <v>1.4973337331099299</v>
      </c>
      <c r="AJ100">
        <v>1</v>
      </c>
      <c r="AK100">
        <v>0</v>
      </c>
      <c r="AL100">
        <v>0</v>
      </c>
    </row>
    <row r="101" spans="1:38" hidden="1" x14ac:dyDescent="0.2">
      <c r="A101" t="s">
        <v>257</v>
      </c>
      <c r="B101" t="s">
        <v>258</v>
      </c>
      <c r="C101" t="s">
        <v>258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9.1</v>
      </c>
      <c r="AE101">
        <v>487</v>
      </c>
      <c r="AF101">
        <v>20.62388381865766</v>
      </c>
      <c r="AG101">
        <v>18.894258734682261</v>
      </c>
      <c r="AH101">
        <f>13.759891393474*1</f>
        <v>13.759891393474</v>
      </c>
      <c r="AI101">
        <f>3.47273949963692*1</f>
        <v>3.4727394996369201</v>
      </c>
      <c r="AJ101">
        <v>1</v>
      </c>
      <c r="AK101">
        <v>0</v>
      </c>
      <c r="AL101">
        <v>0</v>
      </c>
    </row>
    <row r="102" spans="1:38" hidden="1" x14ac:dyDescent="0.2">
      <c r="A102" t="s">
        <v>259</v>
      </c>
      <c r="B102" t="s">
        <v>260</v>
      </c>
      <c r="C102" t="s">
        <v>260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6.3</v>
      </c>
      <c r="AE102">
        <v>489</v>
      </c>
      <c r="AF102">
        <v>0</v>
      </c>
      <c r="AG102">
        <v>0</v>
      </c>
      <c r="AH102">
        <f>0*1</f>
        <v>0</v>
      </c>
      <c r="AI102">
        <f>0*1</f>
        <v>0</v>
      </c>
      <c r="AJ102">
        <v>1</v>
      </c>
      <c r="AK102">
        <v>0</v>
      </c>
      <c r="AL102">
        <v>0</v>
      </c>
    </row>
    <row r="103" spans="1:38" hidden="1" x14ac:dyDescent="0.2">
      <c r="A103" t="s">
        <v>261</v>
      </c>
      <c r="B103" t="s">
        <v>262</v>
      </c>
      <c r="C103" t="s">
        <v>262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14.8</v>
      </c>
      <c r="AE103">
        <v>490</v>
      </c>
      <c r="AF103">
        <v>29.136363636363651</v>
      </c>
      <c r="AG103">
        <v>40.965205465116441</v>
      </c>
      <c r="AH103">
        <f>14.1255418075831*1</f>
        <v>14.125541807583099</v>
      </c>
      <c r="AI103">
        <f>3.42302130897388*1</f>
        <v>3.4230213089738801</v>
      </c>
      <c r="AJ103">
        <v>1</v>
      </c>
      <c r="AK103">
        <v>0</v>
      </c>
      <c r="AL103">
        <v>0</v>
      </c>
    </row>
    <row r="104" spans="1:38" hidden="1" x14ac:dyDescent="0.2">
      <c r="A104" t="s">
        <v>263</v>
      </c>
      <c r="B104" t="s">
        <v>264</v>
      </c>
      <c r="C104" t="s">
        <v>264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493</v>
      </c>
      <c r="AF104">
        <v>0</v>
      </c>
      <c r="AG104">
        <v>0</v>
      </c>
      <c r="AH104">
        <f>0*1</f>
        <v>0</v>
      </c>
      <c r="AI104">
        <f>0*1</f>
        <v>0</v>
      </c>
      <c r="AJ104">
        <v>1</v>
      </c>
      <c r="AK104">
        <v>0</v>
      </c>
      <c r="AL104">
        <v>0</v>
      </c>
    </row>
    <row r="105" spans="1:38" hidden="1" x14ac:dyDescent="0.2">
      <c r="A105" t="s">
        <v>265</v>
      </c>
      <c r="B105" t="s">
        <v>81</v>
      </c>
      <c r="C105" t="s">
        <v>81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4.3</v>
      </c>
      <c r="AE105">
        <v>494</v>
      </c>
      <c r="AF105">
        <v>0</v>
      </c>
      <c r="AG105">
        <v>0</v>
      </c>
      <c r="AH105">
        <f>0*1</f>
        <v>0</v>
      </c>
      <c r="AI105">
        <f>0*1</f>
        <v>0</v>
      </c>
      <c r="AJ105">
        <v>1</v>
      </c>
      <c r="AK105">
        <v>0</v>
      </c>
      <c r="AL105">
        <v>0</v>
      </c>
    </row>
    <row r="106" spans="1:38" hidden="1" x14ac:dyDescent="0.2">
      <c r="A106" t="s">
        <v>266</v>
      </c>
      <c r="B106" t="s">
        <v>267</v>
      </c>
      <c r="C106" t="s">
        <v>267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6.3</v>
      </c>
      <c r="AE106">
        <v>504</v>
      </c>
      <c r="AF106">
        <v>13.454557928923469</v>
      </c>
      <c r="AG106">
        <v>16.738867852751309</v>
      </c>
      <c r="AH106">
        <f>6.23004652953526*1</f>
        <v>6.2300465295352598</v>
      </c>
      <c r="AI106">
        <f>1.56149123336958*1</f>
        <v>1.5614912333695801</v>
      </c>
      <c r="AJ106">
        <v>1</v>
      </c>
      <c r="AK106">
        <v>0</v>
      </c>
      <c r="AL106">
        <v>0</v>
      </c>
    </row>
    <row r="107" spans="1:38" hidden="1" x14ac:dyDescent="0.2">
      <c r="A107" t="s">
        <v>268</v>
      </c>
      <c r="B107" t="s">
        <v>269</v>
      </c>
      <c r="C107" t="s">
        <v>270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8.5</v>
      </c>
      <c r="AE107">
        <v>520</v>
      </c>
      <c r="AF107">
        <v>18.949494949494941</v>
      </c>
      <c r="AG107">
        <v>19.110214966709162</v>
      </c>
      <c r="AH107">
        <f>16.1850628796455*1</f>
        <v>16.1850628796455</v>
      </c>
      <c r="AI107">
        <f>4.2116912974231*1</f>
        <v>4.2116912974230996</v>
      </c>
      <c r="AJ107">
        <v>1</v>
      </c>
      <c r="AK107">
        <v>0</v>
      </c>
      <c r="AL107">
        <v>0</v>
      </c>
    </row>
    <row r="108" spans="1:38" hidden="1" x14ac:dyDescent="0.2">
      <c r="A108" t="s">
        <v>271</v>
      </c>
      <c r="B108" t="s">
        <v>272</v>
      </c>
      <c r="C108" t="s">
        <v>273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523</v>
      </c>
      <c r="AF108">
        <v>12.977777777777771</v>
      </c>
      <c r="AG108">
        <v>15.745290160821749</v>
      </c>
      <c r="AH108">
        <f>7.99744251120166*1</f>
        <v>7.9974425112016601</v>
      </c>
      <c r="AI108">
        <f>1.89802126802856*1</f>
        <v>1.89802126802856</v>
      </c>
      <c r="AJ108">
        <v>1</v>
      </c>
      <c r="AK108">
        <v>0</v>
      </c>
      <c r="AL108">
        <v>0</v>
      </c>
    </row>
    <row r="109" spans="1:38" hidden="1" x14ac:dyDescent="0.2">
      <c r="A109" t="s">
        <v>274</v>
      </c>
      <c r="B109" t="s">
        <v>275</v>
      </c>
      <c r="C109" t="s">
        <v>275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5.9</v>
      </c>
      <c r="AE109">
        <v>526</v>
      </c>
      <c r="AF109">
        <v>10.72735013798769</v>
      </c>
      <c r="AG109">
        <v>10.470613067982431</v>
      </c>
      <c r="AH109">
        <f>6.2515641544728*1</f>
        <v>6.2515641544728</v>
      </c>
      <c r="AI109">
        <f>1.45935402407946*1</f>
        <v>1.45935402407946</v>
      </c>
      <c r="AJ109">
        <v>1</v>
      </c>
      <c r="AK109">
        <v>0</v>
      </c>
      <c r="AL109">
        <v>0</v>
      </c>
    </row>
    <row r="110" spans="1:38" hidden="1" x14ac:dyDescent="0.2">
      <c r="A110" t="s">
        <v>276</v>
      </c>
      <c r="B110" t="s">
        <v>277</v>
      </c>
      <c r="C110" t="s">
        <v>277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6.9</v>
      </c>
      <c r="AE110">
        <v>529</v>
      </c>
      <c r="AF110">
        <v>0</v>
      </c>
      <c r="AG110">
        <v>0</v>
      </c>
      <c r="AH110">
        <f>0*1</f>
        <v>0</v>
      </c>
      <c r="AI110">
        <f>0*1</f>
        <v>0</v>
      </c>
      <c r="AJ110">
        <v>1</v>
      </c>
      <c r="AK110">
        <v>0</v>
      </c>
      <c r="AL110">
        <v>0</v>
      </c>
    </row>
    <row r="111" spans="1:38" x14ac:dyDescent="0.2">
      <c r="A111" t="s">
        <v>363</v>
      </c>
      <c r="B111" t="s">
        <v>364</v>
      </c>
      <c r="C111" t="s">
        <v>364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31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5</v>
      </c>
      <c r="AE111">
        <v>755</v>
      </c>
      <c r="AF111">
        <v>14.46899722803694</v>
      </c>
      <c r="AG111">
        <v>8.2334192385980103</v>
      </c>
      <c r="AH111">
        <f>13.3783162893398*1</f>
        <v>13.3783162893398</v>
      </c>
      <c r="AI111">
        <f>3.34979006163834*1</f>
        <v>3.3497900616383398</v>
      </c>
      <c r="AJ111">
        <v>1</v>
      </c>
      <c r="AK111">
        <v>0</v>
      </c>
      <c r="AL111">
        <v>1</v>
      </c>
    </row>
    <row r="112" spans="1:38" hidden="1" x14ac:dyDescent="0.2">
      <c r="A112" t="s">
        <v>280</v>
      </c>
      <c r="B112" t="s">
        <v>281</v>
      </c>
      <c r="C112" t="s">
        <v>281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</v>
      </c>
      <c r="AE112">
        <v>563</v>
      </c>
      <c r="AF112">
        <v>15.26486486486486</v>
      </c>
      <c r="AG112">
        <v>16.32590066513032</v>
      </c>
      <c r="AH112">
        <f>8.70351081132555*1</f>
        <v>8.7035108113255504</v>
      </c>
      <c r="AI112">
        <f>2.14293528741644*1</f>
        <v>2.14293528741644</v>
      </c>
      <c r="AJ112">
        <v>1</v>
      </c>
      <c r="AK112">
        <v>0</v>
      </c>
      <c r="AL112">
        <v>0</v>
      </c>
    </row>
    <row r="113" spans="1:38" hidden="1" x14ac:dyDescent="0.2">
      <c r="A113" t="s">
        <v>268</v>
      </c>
      <c r="B113" t="s">
        <v>282</v>
      </c>
      <c r="C113" t="s">
        <v>283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6.2</v>
      </c>
      <c r="AE113">
        <v>565</v>
      </c>
      <c r="AF113">
        <v>14.892857142857141</v>
      </c>
      <c r="AG113">
        <v>14.61374067015408</v>
      </c>
      <c r="AH113">
        <f>12.5105307451384*1</f>
        <v>12.5105307451384</v>
      </c>
      <c r="AI113">
        <f>3.10684588370606*1</f>
        <v>3.1068458837060602</v>
      </c>
      <c r="AJ113">
        <v>1</v>
      </c>
      <c r="AK113">
        <v>0</v>
      </c>
      <c r="AL113">
        <v>0</v>
      </c>
    </row>
    <row r="114" spans="1:38" hidden="1" x14ac:dyDescent="0.2">
      <c r="A114" t="s">
        <v>284</v>
      </c>
      <c r="B114" t="s">
        <v>285</v>
      </c>
      <c r="C114" t="s">
        <v>285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566</v>
      </c>
      <c r="AF114">
        <v>11.74054054054054</v>
      </c>
      <c r="AG114">
        <v>10.039133954553661</v>
      </c>
      <c r="AH114">
        <f>7.59384703988515*1</f>
        <v>7.5938470398851496</v>
      </c>
      <c r="AI114">
        <f>1.93564478149968*1</f>
        <v>1.93564478149968</v>
      </c>
      <c r="AJ114">
        <v>1</v>
      </c>
      <c r="AK114">
        <v>0</v>
      </c>
      <c r="AL114">
        <v>0</v>
      </c>
    </row>
    <row r="115" spans="1:38" hidden="1" x14ac:dyDescent="0.2">
      <c r="A115" t="s">
        <v>286</v>
      </c>
      <c r="B115" t="s">
        <v>287</v>
      </c>
      <c r="C115" t="s">
        <v>287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7.4</v>
      </c>
      <c r="AE115">
        <v>568</v>
      </c>
      <c r="AF115">
        <v>11.75338069385233</v>
      </c>
      <c r="AG115">
        <v>13.731967328479239</v>
      </c>
      <c r="AH115">
        <f>11.1875503334992*1</f>
        <v>11.1875503334992</v>
      </c>
      <c r="AI115">
        <f>2.75381964536235*1</f>
        <v>2.7538196453623498</v>
      </c>
      <c r="AJ115">
        <v>1</v>
      </c>
      <c r="AK115">
        <v>0</v>
      </c>
      <c r="AL115">
        <v>0</v>
      </c>
    </row>
    <row r="116" spans="1:38" hidden="1" x14ac:dyDescent="0.2">
      <c r="A116" t="s">
        <v>81</v>
      </c>
      <c r="B116" t="s">
        <v>288</v>
      </c>
      <c r="C116" t="s">
        <v>288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4.7</v>
      </c>
      <c r="AE116">
        <v>569</v>
      </c>
      <c r="AF116">
        <v>0</v>
      </c>
      <c r="AG116">
        <v>0</v>
      </c>
      <c r="AH116">
        <f>0*1</f>
        <v>0</v>
      </c>
      <c r="AI116">
        <f>0*1</f>
        <v>0</v>
      </c>
      <c r="AJ116">
        <v>1</v>
      </c>
      <c r="AK116">
        <v>0</v>
      </c>
      <c r="AL116">
        <v>0</v>
      </c>
    </row>
    <row r="117" spans="1:38" x14ac:dyDescent="0.2">
      <c r="A117" t="s">
        <v>56</v>
      </c>
      <c r="B117" t="s">
        <v>57</v>
      </c>
      <c r="C117" t="s">
        <v>57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12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6.6</v>
      </c>
      <c r="AE117">
        <v>14</v>
      </c>
      <c r="AF117">
        <v>17.223118735796628</v>
      </c>
      <c r="AG117">
        <v>15.010627966174919</v>
      </c>
      <c r="AH117">
        <f>11.8914237602129*1</f>
        <v>11.8914237602129</v>
      </c>
      <c r="AI117">
        <f>3.20849729399739*1</f>
        <v>3.2084972939973899</v>
      </c>
      <c r="AJ117">
        <v>1</v>
      </c>
      <c r="AK117">
        <v>1</v>
      </c>
      <c r="AL117">
        <v>1</v>
      </c>
    </row>
    <row r="118" spans="1:38" x14ac:dyDescent="0.2">
      <c r="A118" t="s">
        <v>320</v>
      </c>
      <c r="B118" t="s">
        <v>321</v>
      </c>
      <c r="C118" t="s">
        <v>322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4.5</v>
      </c>
      <c r="AE118">
        <v>612</v>
      </c>
      <c r="AF118">
        <v>14.008646001419679</v>
      </c>
      <c r="AG118">
        <v>5.6664263488499342</v>
      </c>
      <c r="AH118">
        <f>12.5514351262992*1</f>
        <v>12.5514351262992</v>
      </c>
      <c r="AI118">
        <f>3.17681225412315*1</f>
        <v>3.17681225412315</v>
      </c>
      <c r="AJ118">
        <v>1</v>
      </c>
      <c r="AK118">
        <v>1</v>
      </c>
      <c r="AL118">
        <v>1</v>
      </c>
    </row>
    <row r="119" spans="1:38" hidden="1" x14ac:dyDescent="0.2">
      <c r="A119" t="s">
        <v>294</v>
      </c>
      <c r="B119" t="s">
        <v>295</v>
      </c>
      <c r="C119" t="s">
        <v>296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</v>
      </c>
      <c r="AE119">
        <v>573</v>
      </c>
      <c r="AF119">
        <v>12.34268434134303</v>
      </c>
      <c r="AG119">
        <v>10.419283941055269</v>
      </c>
      <c r="AH119">
        <f>8.83345216230534*1</f>
        <v>8.8334521623053401</v>
      </c>
      <c r="AI119">
        <f>2.29729749419242*1</f>
        <v>2.2972974941924198</v>
      </c>
      <c r="AJ119">
        <v>1</v>
      </c>
      <c r="AK119">
        <v>0</v>
      </c>
      <c r="AL119">
        <v>0</v>
      </c>
    </row>
    <row r="120" spans="1:38" hidden="1" x14ac:dyDescent="0.2">
      <c r="A120" t="s">
        <v>297</v>
      </c>
      <c r="B120" t="s">
        <v>298</v>
      </c>
      <c r="C120" t="s">
        <v>298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4.5999999999999996</v>
      </c>
      <c r="AE120">
        <v>579</v>
      </c>
      <c r="AF120">
        <v>9.8823529411764692</v>
      </c>
      <c r="AG120">
        <v>10.458579427923601</v>
      </c>
      <c r="AH120">
        <f>9.38753990663486*1</f>
        <v>9.3875399066348599</v>
      </c>
      <c r="AI120">
        <f>2.29471573880204*1</f>
        <v>2.2947157388020401</v>
      </c>
      <c r="AJ120">
        <v>1</v>
      </c>
      <c r="AK120">
        <v>0</v>
      </c>
      <c r="AL120">
        <v>0</v>
      </c>
    </row>
    <row r="121" spans="1:38" hidden="1" x14ac:dyDescent="0.2">
      <c r="A121" t="s">
        <v>299</v>
      </c>
      <c r="B121" t="s">
        <v>300</v>
      </c>
      <c r="C121" t="s">
        <v>300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5.6</v>
      </c>
      <c r="AE121">
        <v>585</v>
      </c>
      <c r="AF121">
        <v>15.847066415808341</v>
      </c>
      <c r="AG121">
        <v>13.53625370863794</v>
      </c>
      <c r="AH121">
        <f>10.1412714844456*1</f>
        <v>10.1412714844456</v>
      </c>
      <c r="AI121">
        <f>2.25599168325758*1</f>
        <v>2.2559916832575801</v>
      </c>
      <c r="AJ121">
        <v>1</v>
      </c>
      <c r="AK121">
        <v>0</v>
      </c>
      <c r="AL121">
        <v>0</v>
      </c>
    </row>
    <row r="122" spans="1:38" hidden="1" x14ac:dyDescent="0.2">
      <c r="A122" t="s">
        <v>301</v>
      </c>
      <c r="B122" t="s">
        <v>302</v>
      </c>
      <c r="C122" t="s">
        <v>302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5.5</v>
      </c>
      <c r="AE122">
        <v>587</v>
      </c>
      <c r="AF122">
        <v>0</v>
      </c>
      <c r="AG122">
        <v>0</v>
      </c>
      <c r="AH122">
        <f>0*1</f>
        <v>0</v>
      </c>
      <c r="AI122">
        <f>0*1</f>
        <v>0</v>
      </c>
      <c r="AJ122">
        <v>1</v>
      </c>
      <c r="AK122">
        <v>0</v>
      </c>
      <c r="AL122">
        <v>0</v>
      </c>
    </row>
    <row r="123" spans="1:38" hidden="1" x14ac:dyDescent="0.2">
      <c r="A123" t="s">
        <v>303</v>
      </c>
      <c r="B123" t="s">
        <v>304</v>
      </c>
      <c r="C123" t="s">
        <v>304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4.7</v>
      </c>
      <c r="AE123">
        <v>590</v>
      </c>
      <c r="AF123">
        <v>12</v>
      </c>
      <c r="AG123">
        <v>12.17293684533769</v>
      </c>
      <c r="AH123">
        <f>2.32164947551051*1</f>
        <v>2.3216494755105099</v>
      </c>
      <c r="AI123">
        <f>0.532896725036997*1</f>
        <v>0.53289672503699703</v>
      </c>
      <c r="AJ123">
        <v>1</v>
      </c>
      <c r="AK123">
        <v>0</v>
      </c>
      <c r="AL123">
        <v>0</v>
      </c>
    </row>
    <row r="124" spans="1:38" hidden="1" x14ac:dyDescent="0.2">
      <c r="A124" t="s">
        <v>305</v>
      </c>
      <c r="B124" t="s">
        <v>306</v>
      </c>
      <c r="C124" t="s">
        <v>306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5.2</v>
      </c>
      <c r="AE124">
        <v>597</v>
      </c>
      <c r="AF124">
        <v>0</v>
      </c>
      <c r="AG124">
        <v>0</v>
      </c>
      <c r="AH124">
        <f>0*1</f>
        <v>0</v>
      </c>
      <c r="AI124">
        <f>0*1</f>
        <v>0</v>
      </c>
      <c r="AJ124">
        <v>1</v>
      </c>
      <c r="AK124">
        <v>0</v>
      </c>
      <c r="AL124">
        <v>0</v>
      </c>
    </row>
    <row r="125" spans="1:38" hidden="1" x14ac:dyDescent="0.2">
      <c r="A125" t="s">
        <v>307</v>
      </c>
      <c r="B125" t="s">
        <v>308</v>
      </c>
      <c r="C125" t="s">
        <v>308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5</v>
      </c>
      <c r="AE125">
        <v>598</v>
      </c>
      <c r="AF125">
        <v>15.08006585843953</v>
      </c>
      <c r="AG125">
        <v>7.250083995133128</v>
      </c>
      <c r="AH125">
        <f>14.2988204145295*1</f>
        <v>14.2988204145295</v>
      </c>
      <c r="AI125">
        <f>3.74675669503638*1</f>
        <v>3.74675669503638</v>
      </c>
      <c r="AJ125">
        <v>1</v>
      </c>
      <c r="AK125">
        <v>0</v>
      </c>
      <c r="AL125">
        <v>0</v>
      </c>
    </row>
    <row r="126" spans="1:38" hidden="1" x14ac:dyDescent="0.2">
      <c r="A126" t="s">
        <v>309</v>
      </c>
      <c r="B126" t="s">
        <v>310</v>
      </c>
      <c r="C126" t="s">
        <v>310</v>
      </c>
      <c r="D126" t="s">
        <v>6</v>
      </c>
      <c r="E126">
        <v>0</v>
      </c>
      <c r="F126">
        <v>0</v>
      </c>
      <c r="G126">
        <v>0</v>
      </c>
      <c r="H126">
        <v>1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5.5</v>
      </c>
      <c r="AE126">
        <v>599</v>
      </c>
      <c r="AF126">
        <v>4.604570263305737</v>
      </c>
      <c r="AG126">
        <v>12.356021416774571</v>
      </c>
      <c r="AH126">
        <f>1.33411780303241*1</f>
        <v>1.3341178030324099</v>
      </c>
      <c r="AI126">
        <f>0.27124502382615*1</f>
        <v>0.27124502382615001</v>
      </c>
      <c r="AJ126">
        <v>1</v>
      </c>
      <c r="AK126">
        <v>0</v>
      </c>
      <c r="AL126">
        <v>0</v>
      </c>
    </row>
    <row r="127" spans="1:38" hidden="1" x14ac:dyDescent="0.2">
      <c r="A127" t="s">
        <v>311</v>
      </c>
      <c r="B127" t="s">
        <v>312</v>
      </c>
      <c r="C127" t="s">
        <v>313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4.8</v>
      </c>
      <c r="AE127">
        <v>606</v>
      </c>
      <c r="AF127">
        <v>0</v>
      </c>
      <c r="AG127">
        <v>0</v>
      </c>
      <c r="AH127">
        <f>0*1</f>
        <v>0</v>
      </c>
      <c r="AI127">
        <f>0*1</f>
        <v>0</v>
      </c>
      <c r="AJ127">
        <v>1</v>
      </c>
      <c r="AK127">
        <v>0</v>
      </c>
      <c r="AL127">
        <v>0</v>
      </c>
    </row>
    <row r="128" spans="1:38" x14ac:dyDescent="0.2">
      <c r="A128" t="s">
        <v>230</v>
      </c>
      <c r="B128" t="s">
        <v>231</v>
      </c>
      <c r="C128" t="s">
        <v>231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7.2</v>
      </c>
      <c r="AE128">
        <v>445</v>
      </c>
      <c r="AF128">
        <v>20.444490899084212</v>
      </c>
      <c r="AG128">
        <v>24.428660818025051</v>
      </c>
      <c r="AH128">
        <f>11.5115648157185*1</f>
        <v>11.511564815718501</v>
      </c>
      <c r="AI128">
        <f>2.88742230268443*1</f>
        <v>2.8874223026844299</v>
      </c>
      <c r="AJ128">
        <v>1</v>
      </c>
      <c r="AK128">
        <v>1</v>
      </c>
      <c r="AL128">
        <v>1</v>
      </c>
    </row>
    <row r="129" spans="1:38" hidden="1" x14ac:dyDescent="0.2">
      <c r="A129" t="s">
        <v>72</v>
      </c>
      <c r="B129" t="s">
        <v>315</v>
      </c>
      <c r="C129" t="s">
        <v>315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6.4</v>
      </c>
      <c r="AE129">
        <v>608</v>
      </c>
      <c r="AF129">
        <v>17.768052904266181</v>
      </c>
      <c r="AG129">
        <v>13.42377885414699</v>
      </c>
      <c r="AH129">
        <f>16.0130580629776*1</f>
        <v>16.013058062977599</v>
      </c>
      <c r="AI129">
        <f>4.10360147948729*1</f>
        <v>4.1036014794872901</v>
      </c>
      <c r="AJ129">
        <v>1</v>
      </c>
      <c r="AK129">
        <v>0</v>
      </c>
      <c r="AL129">
        <v>0</v>
      </c>
    </row>
    <row r="130" spans="1:38" hidden="1" x14ac:dyDescent="0.2">
      <c r="A130" t="s">
        <v>316</v>
      </c>
      <c r="B130" t="s">
        <v>317</v>
      </c>
      <c r="C130" t="s">
        <v>317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5.0999999999999996</v>
      </c>
      <c r="AE130">
        <v>609</v>
      </c>
      <c r="AF130">
        <v>15.727320406146051</v>
      </c>
      <c r="AG130">
        <v>8.7735930398294464</v>
      </c>
      <c r="AH130">
        <f>15.2680778425472*1</f>
        <v>15.2680778425472</v>
      </c>
      <c r="AI130">
        <f>3.70828378472678*1</f>
        <v>3.7082837847267802</v>
      </c>
      <c r="AJ130">
        <v>1</v>
      </c>
      <c r="AK130">
        <v>0</v>
      </c>
      <c r="AL130">
        <v>0</v>
      </c>
    </row>
    <row r="131" spans="1:38" hidden="1" x14ac:dyDescent="0.2">
      <c r="A131" t="s">
        <v>318</v>
      </c>
      <c r="B131" t="s">
        <v>319</v>
      </c>
      <c r="C131" t="s">
        <v>318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4.8</v>
      </c>
      <c r="AE131">
        <v>611</v>
      </c>
      <c r="AF131">
        <v>0</v>
      </c>
      <c r="AG131">
        <v>0</v>
      </c>
      <c r="AH131">
        <f>0*1</f>
        <v>0</v>
      </c>
      <c r="AI131">
        <f>0*1</f>
        <v>0</v>
      </c>
      <c r="AJ131">
        <v>1</v>
      </c>
      <c r="AK131">
        <v>0</v>
      </c>
      <c r="AL131">
        <v>0</v>
      </c>
    </row>
    <row r="132" spans="1:38" x14ac:dyDescent="0.2">
      <c r="A132" t="s">
        <v>129</v>
      </c>
      <c r="B132" t="s">
        <v>130</v>
      </c>
      <c r="C132" t="s">
        <v>131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5.4</v>
      </c>
      <c r="AE132">
        <v>223</v>
      </c>
      <c r="AF132">
        <v>11.77777777777777</v>
      </c>
      <c r="AG132">
        <v>12.098039268415389</v>
      </c>
      <c r="AH132">
        <f>10.91086219812*1</f>
        <v>10.91086219812</v>
      </c>
      <c r="AI132">
        <f>2.85100275438119*1</f>
        <v>2.8510027543811902</v>
      </c>
      <c r="AJ132">
        <v>1</v>
      </c>
      <c r="AK132">
        <v>1</v>
      </c>
      <c r="AL132">
        <v>1</v>
      </c>
    </row>
    <row r="133" spans="1:38" hidden="1" x14ac:dyDescent="0.2">
      <c r="A133" t="s">
        <v>323</v>
      </c>
      <c r="B133" t="s">
        <v>324</v>
      </c>
      <c r="C133" t="s">
        <v>324</v>
      </c>
      <c r="D133" t="s">
        <v>3</v>
      </c>
      <c r="E133">
        <v>1</v>
      </c>
      <c r="F133">
        <v>0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5.0999999999999996</v>
      </c>
      <c r="AE133">
        <v>618</v>
      </c>
      <c r="AF133">
        <v>0</v>
      </c>
      <c r="AG133">
        <v>0</v>
      </c>
      <c r="AH133">
        <f>0*1</f>
        <v>0</v>
      </c>
      <c r="AI133">
        <f>0*1</f>
        <v>0</v>
      </c>
      <c r="AJ133">
        <v>1</v>
      </c>
      <c r="AK133">
        <v>0</v>
      </c>
      <c r="AL133">
        <v>0</v>
      </c>
    </row>
    <row r="134" spans="1:38" x14ac:dyDescent="0.2">
      <c r="A134" t="s">
        <v>184</v>
      </c>
      <c r="B134" t="s">
        <v>185</v>
      </c>
      <c r="C134" t="s">
        <v>185</v>
      </c>
      <c r="D134" t="s">
        <v>3</v>
      </c>
      <c r="E134">
        <v>1</v>
      </c>
      <c r="F134">
        <v>0</v>
      </c>
      <c r="G134">
        <v>0</v>
      </c>
      <c r="H134">
        <v>0</v>
      </c>
      <c r="I134" t="s">
        <v>19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5.0999999999999996</v>
      </c>
      <c r="AE134">
        <v>315</v>
      </c>
      <c r="AF134">
        <v>14.43983402489626</v>
      </c>
      <c r="AG134">
        <v>13.777973975045869</v>
      </c>
      <c r="AH134">
        <f>9.62532885438307*1</f>
        <v>9.6253288543830706</v>
      </c>
      <c r="AI134">
        <f>2.38725927491228*1</f>
        <v>2.3872592749122798</v>
      </c>
      <c r="AJ134">
        <v>1</v>
      </c>
      <c r="AK134">
        <v>1</v>
      </c>
      <c r="AL134">
        <v>1</v>
      </c>
    </row>
    <row r="135" spans="1:38" hidden="1" x14ac:dyDescent="0.2">
      <c r="A135" t="s">
        <v>79</v>
      </c>
      <c r="B135" t="s">
        <v>327</v>
      </c>
      <c r="C135" t="s">
        <v>327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4.8</v>
      </c>
      <c r="AE135">
        <v>623</v>
      </c>
      <c r="AF135">
        <v>7.6888888888888864</v>
      </c>
      <c r="AG135">
        <v>7.4096351255590402</v>
      </c>
      <c r="AH135">
        <f>6.35999327029312*1</f>
        <v>6.3599932702931197</v>
      </c>
      <c r="AI135">
        <f>1.63854987275895*1</f>
        <v>1.63854987275895</v>
      </c>
      <c r="AJ135">
        <v>1</v>
      </c>
      <c r="AK135">
        <v>0</v>
      </c>
      <c r="AL135">
        <v>0</v>
      </c>
    </row>
    <row r="136" spans="1:38" hidden="1" x14ac:dyDescent="0.2">
      <c r="A136" t="s">
        <v>328</v>
      </c>
      <c r="B136" t="s">
        <v>329</v>
      </c>
      <c r="C136" t="s">
        <v>329</v>
      </c>
      <c r="D136" t="s">
        <v>3</v>
      </c>
      <c r="E136">
        <v>1</v>
      </c>
      <c r="F136">
        <v>0</v>
      </c>
      <c r="G136">
        <v>0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4.4000000000000004</v>
      </c>
      <c r="AE136">
        <v>631</v>
      </c>
      <c r="AF136">
        <v>13.73099415204678</v>
      </c>
      <c r="AG136">
        <v>14.354018435144731</v>
      </c>
      <c r="AH136">
        <f>7.37190990805068*1</f>
        <v>7.3719099080506796</v>
      </c>
      <c r="AI136">
        <f>1.8170593072921*1</f>
        <v>1.8170593072921</v>
      </c>
      <c r="AJ136">
        <v>1</v>
      </c>
      <c r="AK136">
        <v>0</v>
      </c>
      <c r="AL136">
        <v>0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6</v>
      </c>
      <c r="E137">
        <v>0</v>
      </c>
      <c r="F137">
        <v>0</v>
      </c>
      <c r="G137">
        <v>0</v>
      </c>
      <c r="H137">
        <v>1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4.9000000000000004</v>
      </c>
      <c r="AE137">
        <v>632</v>
      </c>
      <c r="AF137">
        <v>0</v>
      </c>
      <c r="AG137">
        <v>0</v>
      </c>
      <c r="AH137">
        <f>0*1</f>
        <v>0</v>
      </c>
      <c r="AI137">
        <f>0*1</f>
        <v>0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</v>
      </c>
      <c r="AE138">
        <v>639</v>
      </c>
      <c r="AF138">
        <v>7.7248052051999414</v>
      </c>
      <c r="AG138">
        <v>9.3239480595383313</v>
      </c>
      <c r="AH138">
        <f>3.58185626932831*1</f>
        <v>3.58185626932831</v>
      </c>
      <c r="AI138">
        <f>0.764864600748709*1</f>
        <v>0.76486460074870899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335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4.2</v>
      </c>
      <c r="AE139">
        <v>660</v>
      </c>
      <c r="AF139">
        <v>6.0128163326358974</v>
      </c>
      <c r="AG139">
        <v>10.500638218327611</v>
      </c>
      <c r="AH139">
        <f>2.68616482537732*1</f>
        <v>2.68616482537732</v>
      </c>
      <c r="AI139">
        <f>0.397119815479253*1</f>
        <v>0.39711981547925301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6.2</v>
      </c>
      <c r="AE140">
        <v>687</v>
      </c>
      <c r="AF140">
        <v>14.76000000000001</v>
      </c>
      <c r="AG140">
        <v>13.745227719145239</v>
      </c>
      <c r="AH140">
        <f>14.1197025696774*1</f>
        <v>14.119702569677401</v>
      </c>
      <c r="AI140">
        <f>3.48200954009726*1</f>
        <v>3.4820095400972599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339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29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6.2</v>
      </c>
      <c r="AE141">
        <v>688</v>
      </c>
      <c r="AF141">
        <v>15.51401869158877</v>
      </c>
      <c r="AG141">
        <v>14.68076564958208</v>
      </c>
      <c r="AH141">
        <f>8.31641254247851*1</f>
        <v>8.3164125424785098</v>
      </c>
      <c r="AI141">
        <f>2.02963301676056*1</f>
        <v>2.0296330167605601</v>
      </c>
      <c r="AJ141">
        <v>1</v>
      </c>
      <c r="AK141">
        <v>0</v>
      </c>
      <c r="AL141">
        <v>0</v>
      </c>
    </row>
    <row r="142" spans="1:38" hidden="1" x14ac:dyDescent="0.2">
      <c r="A142" t="s">
        <v>186</v>
      </c>
      <c r="B142" t="s">
        <v>340</v>
      </c>
      <c r="C142" t="s">
        <v>340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7.4</v>
      </c>
      <c r="AE142">
        <v>690</v>
      </c>
      <c r="AF142">
        <v>15.89568721083552</v>
      </c>
      <c r="AG142">
        <v>19.573980794209071</v>
      </c>
      <c r="AH142">
        <f>10.1182723174754*1</f>
        <v>10.1182723174754</v>
      </c>
      <c r="AI142">
        <f>2.12565630809915*1</f>
        <v>2.12565630809915</v>
      </c>
      <c r="AJ142">
        <v>1</v>
      </c>
      <c r="AK142">
        <v>0</v>
      </c>
      <c r="AL142">
        <v>0</v>
      </c>
    </row>
    <row r="143" spans="1:38" hidden="1" x14ac:dyDescent="0.2">
      <c r="A143" t="s">
        <v>147</v>
      </c>
      <c r="B143" t="s">
        <v>341</v>
      </c>
      <c r="C143" t="s">
        <v>342</v>
      </c>
      <c r="D143" t="s">
        <v>4</v>
      </c>
      <c r="E143">
        <v>0</v>
      </c>
      <c r="F143">
        <v>1</v>
      </c>
      <c r="G143">
        <v>0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5.3</v>
      </c>
      <c r="AE143">
        <v>691</v>
      </c>
      <c r="AF143">
        <v>15.169528169204129</v>
      </c>
      <c r="AG143">
        <v>14.838734021103329</v>
      </c>
      <c r="AH143">
        <f>10.4585492689119*1</f>
        <v>10.4585492689119</v>
      </c>
      <c r="AI143">
        <f>2.88630644928788*1</f>
        <v>2.88630644928788</v>
      </c>
      <c r="AJ143">
        <v>1</v>
      </c>
      <c r="AK143">
        <v>0</v>
      </c>
      <c r="AL143">
        <v>0</v>
      </c>
    </row>
    <row r="144" spans="1:38" hidden="1" x14ac:dyDescent="0.2">
      <c r="A144" t="s">
        <v>343</v>
      </c>
      <c r="B144" t="s">
        <v>167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4.7</v>
      </c>
      <c r="AE144">
        <v>695</v>
      </c>
      <c r="AF144">
        <v>8.9433532838771281</v>
      </c>
      <c r="AG144">
        <v>8.9974470328619969</v>
      </c>
      <c r="AH144">
        <f>3.69805147006872*1</f>
        <v>3.6980514700687199</v>
      </c>
      <c r="AI144">
        <f>0.910797788837657*1</f>
        <v>0.91079778883765705</v>
      </c>
      <c r="AJ144">
        <v>1</v>
      </c>
      <c r="AK144">
        <v>0</v>
      </c>
      <c r="AL144">
        <v>0</v>
      </c>
    </row>
    <row r="145" spans="1:38" hidden="1" x14ac:dyDescent="0.2">
      <c r="A145" t="s">
        <v>345</v>
      </c>
      <c r="B145" t="s">
        <v>346</v>
      </c>
      <c r="C145" t="s">
        <v>345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9.6999999999999993</v>
      </c>
      <c r="AE145">
        <v>698</v>
      </c>
      <c r="AF145">
        <v>20.60013758784028</v>
      </c>
      <c r="AG145">
        <v>22.57201046297298</v>
      </c>
      <c r="AH145">
        <f>12.102049861108*1</f>
        <v>12.102049861108</v>
      </c>
      <c r="AI145">
        <f>3.19266015595647*1</f>
        <v>3.19266015595647</v>
      </c>
      <c r="AJ145">
        <v>1</v>
      </c>
      <c r="AK145">
        <v>0</v>
      </c>
      <c r="AL145">
        <v>0</v>
      </c>
    </row>
    <row r="146" spans="1:38" hidden="1" x14ac:dyDescent="0.2">
      <c r="A146" t="s">
        <v>328</v>
      </c>
      <c r="B146" t="s">
        <v>347</v>
      </c>
      <c r="C146" t="s">
        <v>347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4.4000000000000004</v>
      </c>
      <c r="AE146">
        <v>722</v>
      </c>
      <c r="AF146">
        <v>13.1724655772943</v>
      </c>
      <c r="AG146">
        <v>10.612600188802681</v>
      </c>
      <c r="AH146">
        <f>7.02647201054557*1</f>
        <v>7.0264720105455698</v>
      </c>
      <c r="AI146">
        <f>1.65931306338786*1</f>
        <v>1.6593130633878601</v>
      </c>
      <c r="AJ146">
        <v>1</v>
      </c>
      <c r="AK146">
        <v>0</v>
      </c>
      <c r="AL146">
        <v>0</v>
      </c>
    </row>
    <row r="147" spans="1:38" hidden="1" x14ac:dyDescent="0.2">
      <c r="A147" t="s">
        <v>348</v>
      </c>
      <c r="B147" t="s">
        <v>349</v>
      </c>
      <c r="C147" t="s">
        <v>350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5</v>
      </c>
      <c r="AE147">
        <v>723</v>
      </c>
      <c r="AF147">
        <v>0</v>
      </c>
      <c r="AG147">
        <v>0</v>
      </c>
      <c r="AH147">
        <f>0*1</f>
        <v>0</v>
      </c>
      <c r="AI147">
        <f>0*1</f>
        <v>0</v>
      </c>
      <c r="AJ147">
        <v>1</v>
      </c>
      <c r="AK147">
        <v>0</v>
      </c>
      <c r="AL147">
        <v>0</v>
      </c>
    </row>
    <row r="148" spans="1:38" hidden="1" x14ac:dyDescent="0.2">
      <c r="A148" t="s">
        <v>351</v>
      </c>
      <c r="B148" t="s">
        <v>352</v>
      </c>
      <c r="C148" t="s">
        <v>352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7.6</v>
      </c>
      <c r="AE148">
        <v>726</v>
      </c>
      <c r="AF148">
        <v>16.702682653145619</v>
      </c>
      <c r="AG148">
        <v>19.897740721691449</v>
      </c>
      <c r="AH148">
        <f>13.0592402268096*1</f>
        <v>13.0592402268096</v>
      </c>
      <c r="AI148">
        <f>3.30115602488722*1</f>
        <v>3.30115602488722</v>
      </c>
      <c r="AJ148">
        <v>1</v>
      </c>
      <c r="AK148">
        <v>0</v>
      </c>
      <c r="AL148">
        <v>0</v>
      </c>
    </row>
    <row r="149" spans="1:38" hidden="1" x14ac:dyDescent="0.2">
      <c r="A149" t="s">
        <v>353</v>
      </c>
      <c r="B149" t="s">
        <v>354</v>
      </c>
      <c r="C149" t="s">
        <v>353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4.4000000000000004</v>
      </c>
      <c r="AE149">
        <v>730</v>
      </c>
      <c r="AF149">
        <v>8.1453889455048447</v>
      </c>
      <c r="AG149">
        <v>7.0825298416484159</v>
      </c>
      <c r="AH149">
        <f>6.26275170893641*1</f>
        <v>6.2627517089364098</v>
      </c>
      <c r="AI149">
        <f>1.40016389626164*1</f>
        <v>1.4001638962616401</v>
      </c>
      <c r="AJ149">
        <v>1</v>
      </c>
      <c r="AK149">
        <v>0</v>
      </c>
      <c r="AL149">
        <v>0</v>
      </c>
    </row>
    <row r="150" spans="1:38" hidden="1" x14ac:dyDescent="0.2">
      <c r="A150" t="s">
        <v>355</v>
      </c>
      <c r="B150" t="s">
        <v>356</v>
      </c>
      <c r="C150" t="s">
        <v>356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4.3</v>
      </c>
      <c r="AE150">
        <v>734</v>
      </c>
      <c r="AF150">
        <v>9.1684096902525134</v>
      </c>
      <c r="AG150">
        <v>10.73350174957892</v>
      </c>
      <c r="AH150">
        <f>4.70624716579968*1</f>
        <v>4.7062471657996801</v>
      </c>
      <c r="AI150">
        <f>1.10655877562633*1</f>
        <v>1.10655877562633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358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6.2</v>
      </c>
      <c r="AE151">
        <v>735</v>
      </c>
      <c r="AF151">
        <v>0</v>
      </c>
      <c r="AG151">
        <v>0</v>
      </c>
      <c r="AH151">
        <f>0*1</f>
        <v>0</v>
      </c>
      <c r="AI151">
        <f>0*1</f>
        <v>0</v>
      </c>
      <c r="AJ151">
        <v>1</v>
      </c>
      <c r="AK151">
        <v>0</v>
      </c>
      <c r="AL151">
        <v>0</v>
      </c>
    </row>
    <row r="152" spans="1:38" hidden="1" x14ac:dyDescent="0.2">
      <c r="A152" t="s">
        <v>62</v>
      </c>
      <c r="B152" t="s">
        <v>359</v>
      </c>
      <c r="C152" t="s">
        <v>360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5.7</v>
      </c>
      <c r="AE152">
        <v>737</v>
      </c>
      <c r="AF152">
        <v>10.83384035524111</v>
      </c>
      <c r="AG152">
        <v>13.938084888832471</v>
      </c>
      <c r="AH152">
        <f>4.62354903073119*1</f>
        <v>4.6235490307311897</v>
      </c>
      <c r="AI152">
        <f>1.18295986173342*1</f>
        <v>1.18295986173342</v>
      </c>
      <c r="AJ152">
        <v>1</v>
      </c>
      <c r="AK152">
        <v>0</v>
      </c>
      <c r="AL152">
        <v>0</v>
      </c>
    </row>
    <row r="153" spans="1:38" hidden="1" x14ac:dyDescent="0.2">
      <c r="A153" t="s">
        <v>361</v>
      </c>
      <c r="B153" t="s">
        <v>362</v>
      </c>
      <c r="C153" t="s">
        <v>362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4.8</v>
      </c>
      <c r="AE153">
        <v>740</v>
      </c>
      <c r="AF153">
        <v>0</v>
      </c>
      <c r="AG153">
        <v>0</v>
      </c>
      <c r="AH153">
        <f>0*1</f>
        <v>0</v>
      </c>
      <c r="AI153">
        <f>0*1</f>
        <v>0</v>
      </c>
      <c r="AJ153">
        <v>1</v>
      </c>
      <c r="AK153">
        <v>0</v>
      </c>
      <c r="AL153">
        <v>0</v>
      </c>
    </row>
    <row r="154" spans="1:38" x14ac:dyDescent="0.2">
      <c r="A154" t="s">
        <v>278</v>
      </c>
      <c r="B154" t="s">
        <v>279</v>
      </c>
      <c r="C154" t="s">
        <v>279</v>
      </c>
      <c r="D154" t="s">
        <v>3</v>
      </c>
      <c r="E154">
        <v>1</v>
      </c>
      <c r="F154">
        <v>0</v>
      </c>
      <c r="G154">
        <v>0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4.9000000000000004</v>
      </c>
      <c r="AE154">
        <v>537</v>
      </c>
      <c r="AF154">
        <v>14.171428571428571</v>
      </c>
      <c r="AG154">
        <v>13.85432454916443</v>
      </c>
      <c r="AH154">
        <f>7.2071593569531*1</f>
        <v>7.2071593569530998</v>
      </c>
      <c r="AI154">
        <f>1.72482746747085*1</f>
        <v>1.7248274674708499</v>
      </c>
      <c r="AJ154">
        <v>1</v>
      </c>
      <c r="AK154">
        <v>1</v>
      </c>
      <c r="AL154">
        <v>1</v>
      </c>
    </row>
    <row r="155" spans="1:38" hidden="1" x14ac:dyDescent="0.2">
      <c r="A155" t="s">
        <v>365</v>
      </c>
      <c r="B155" t="s">
        <v>366</v>
      </c>
      <c r="C155" t="s">
        <v>366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31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4.9000000000000004</v>
      </c>
      <c r="AE155">
        <v>757</v>
      </c>
      <c r="AF155">
        <v>0</v>
      </c>
      <c r="AG155">
        <v>0</v>
      </c>
      <c r="AH155">
        <f>0*1</f>
        <v>0</v>
      </c>
      <c r="AI155">
        <f>0*1</f>
        <v>0</v>
      </c>
      <c r="AJ155">
        <v>1</v>
      </c>
      <c r="AK155">
        <v>0</v>
      </c>
      <c r="AL155">
        <v>0</v>
      </c>
    </row>
    <row r="156" spans="1:38" hidden="1" x14ac:dyDescent="0.2">
      <c r="A156" t="s">
        <v>367</v>
      </c>
      <c r="B156" t="s">
        <v>368</v>
      </c>
      <c r="C156" t="s">
        <v>369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7</v>
      </c>
      <c r="AE156">
        <v>763</v>
      </c>
      <c r="AF156">
        <v>25.481067968957209</v>
      </c>
      <c r="AG156">
        <v>18.26770555434269</v>
      </c>
      <c r="AH156">
        <f>23.313170270975*1</f>
        <v>23.313170270975</v>
      </c>
      <c r="AI156">
        <f>5.99088354250395*1</f>
        <v>5.9908835425039504</v>
      </c>
      <c r="AJ156">
        <v>1</v>
      </c>
      <c r="AK156">
        <v>0</v>
      </c>
      <c r="AL156">
        <v>0</v>
      </c>
    </row>
    <row r="157" spans="1:38" hidden="1" x14ac:dyDescent="0.2">
      <c r="A157" t="s">
        <v>370</v>
      </c>
      <c r="B157" t="s">
        <v>371</v>
      </c>
      <c r="C157" t="s">
        <v>371</v>
      </c>
      <c r="D157" t="s">
        <v>4</v>
      </c>
      <c r="E157">
        <v>0</v>
      </c>
      <c r="F157">
        <v>1</v>
      </c>
      <c r="G157">
        <v>0</v>
      </c>
      <c r="H157">
        <v>0</v>
      </c>
      <c r="I157" t="s">
        <v>31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4.3</v>
      </c>
      <c r="AE157">
        <v>765</v>
      </c>
      <c r="AF157">
        <v>10.97493867842921</v>
      </c>
      <c r="AG157">
        <v>13.966952097204629</v>
      </c>
      <c r="AH157">
        <f>3.9746207221286*1</f>
        <v>3.9746207221285998</v>
      </c>
      <c r="AI157">
        <f>1.01043800848544*1</f>
        <v>1.0104380084854401</v>
      </c>
      <c r="AJ157">
        <v>1</v>
      </c>
      <c r="AK157">
        <v>0</v>
      </c>
      <c r="AL157">
        <v>0</v>
      </c>
    </row>
    <row r="158" spans="1:38" hidden="1" x14ac:dyDescent="0.2">
      <c r="A158" t="s">
        <v>372</v>
      </c>
      <c r="B158" t="s">
        <v>373</v>
      </c>
      <c r="C158" t="s">
        <v>373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4.7</v>
      </c>
      <c r="AE158">
        <v>766</v>
      </c>
      <c r="AF158">
        <v>0</v>
      </c>
      <c r="AG158">
        <v>0</v>
      </c>
      <c r="AH158">
        <f>0*1</f>
        <v>0</v>
      </c>
      <c r="AI158">
        <f>0*1</f>
        <v>0</v>
      </c>
      <c r="AJ158">
        <v>1</v>
      </c>
      <c r="AK158">
        <v>0</v>
      </c>
      <c r="AL158">
        <v>0</v>
      </c>
    </row>
    <row r="159" spans="1:38" hidden="1" x14ac:dyDescent="0.2">
      <c r="A159" t="s">
        <v>374</v>
      </c>
      <c r="B159" t="s">
        <v>375</v>
      </c>
      <c r="C159" t="s">
        <v>376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5.3</v>
      </c>
      <c r="AE159">
        <v>770</v>
      </c>
      <c r="AF159">
        <v>0</v>
      </c>
      <c r="AG159">
        <v>0</v>
      </c>
      <c r="AH159">
        <f>0*1</f>
        <v>0</v>
      </c>
      <c r="AI159">
        <f>0*1</f>
        <v>0</v>
      </c>
      <c r="AJ159">
        <v>1</v>
      </c>
      <c r="AK159">
        <v>0</v>
      </c>
      <c r="AL159">
        <v>0</v>
      </c>
    </row>
    <row r="160" spans="1:38" hidden="1" x14ac:dyDescent="0.2">
      <c r="A160" t="s">
        <v>377</v>
      </c>
      <c r="B160" t="s">
        <v>378</v>
      </c>
      <c r="C160" t="s">
        <v>379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4.9000000000000004</v>
      </c>
      <c r="AE160">
        <v>775</v>
      </c>
      <c r="AF160">
        <v>9.8516883476375501</v>
      </c>
      <c r="AG160">
        <v>10.598550049309161</v>
      </c>
      <c r="AH160">
        <f>5.80941393021063*1</f>
        <v>5.8094139302106296</v>
      </c>
      <c r="AI160">
        <f>1.4708646162246*1</f>
        <v>1.4708646162246</v>
      </c>
      <c r="AJ160">
        <v>1</v>
      </c>
      <c r="AK160">
        <v>0</v>
      </c>
      <c r="AL160">
        <v>0</v>
      </c>
    </row>
    <row r="161" spans="1:38" hidden="1" x14ac:dyDescent="0.2">
      <c r="A161" t="s">
        <v>380</v>
      </c>
      <c r="B161" t="s">
        <v>381</v>
      </c>
      <c r="C161" t="s">
        <v>382</v>
      </c>
      <c r="D161" t="s">
        <v>3</v>
      </c>
      <c r="E161">
        <v>1</v>
      </c>
      <c r="F161">
        <v>0</v>
      </c>
      <c r="G161">
        <v>0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4.4000000000000004</v>
      </c>
      <c r="AE161">
        <v>776</v>
      </c>
      <c r="AF161">
        <v>13.27267623640606</v>
      </c>
      <c r="AG161">
        <v>16.256077578184701</v>
      </c>
      <c r="AH161">
        <f>7.61919717009304*1</f>
        <v>7.6191971700930399</v>
      </c>
      <c r="AI161">
        <f>1.50201586049901*1</f>
        <v>1.5020158604990099</v>
      </c>
      <c r="AJ161">
        <v>1</v>
      </c>
      <c r="AK161">
        <v>0</v>
      </c>
      <c r="AL161">
        <v>0</v>
      </c>
    </row>
    <row r="162" spans="1:38" hidden="1" x14ac:dyDescent="0.2">
      <c r="A162" t="s">
        <v>383</v>
      </c>
      <c r="B162" t="s">
        <v>384</v>
      </c>
      <c r="C162" t="s">
        <v>385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4.5</v>
      </c>
      <c r="AE162">
        <v>781</v>
      </c>
      <c r="AF162">
        <v>12.94015164343344</v>
      </c>
      <c r="AG162">
        <v>11.20428014827622</v>
      </c>
      <c r="AH162">
        <f>6.10637604682946*1</f>
        <v>6.1063760468294603</v>
      </c>
      <c r="AI162">
        <f>1.41625604660139*1</f>
        <v>1.41625604660139</v>
      </c>
      <c r="AJ162">
        <v>1</v>
      </c>
      <c r="AK162">
        <v>0</v>
      </c>
      <c r="AL162">
        <v>0</v>
      </c>
    </row>
    <row r="163" spans="1:38" hidden="1" x14ac:dyDescent="0.2">
      <c r="A163" t="s">
        <v>386</v>
      </c>
      <c r="B163" t="s">
        <v>387</v>
      </c>
      <c r="C163" t="s">
        <v>388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4.3</v>
      </c>
      <c r="AE163">
        <v>785</v>
      </c>
      <c r="AF163">
        <v>0</v>
      </c>
      <c r="AG163">
        <v>0</v>
      </c>
      <c r="AH163">
        <f>0*1</f>
        <v>0</v>
      </c>
      <c r="AI163">
        <f>0*1</f>
        <v>0</v>
      </c>
      <c r="AJ163">
        <v>1</v>
      </c>
      <c r="AK163">
        <v>0</v>
      </c>
      <c r="AL163">
        <v>0</v>
      </c>
    </row>
    <row r="164" spans="1:38" hidden="1" x14ac:dyDescent="0.2">
      <c r="A164" t="s">
        <v>389</v>
      </c>
      <c r="B164" t="s">
        <v>390</v>
      </c>
      <c r="C164" t="s">
        <v>391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31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4.3</v>
      </c>
      <c r="AE164">
        <v>788</v>
      </c>
      <c r="AF164">
        <v>10.17283950617284</v>
      </c>
      <c r="AG164">
        <v>8.853091805202487</v>
      </c>
      <c r="AH164">
        <f>7.8262858960627*1</f>
        <v>7.8262858960627</v>
      </c>
      <c r="AI164">
        <f>2.04215543276471*1</f>
        <v>2.04215543276471</v>
      </c>
      <c r="AJ164">
        <v>1</v>
      </c>
      <c r="AK164">
        <v>0</v>
      </c>
      <c r="AL164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2025-05-01T18:23:34Z</dcterms:created>
  <dcterms:modified xsi:type="dcterms:W3CDTF">2025-05-01T18:26:19Z</dcterms:modified>
</cp:coreProperties>
</file>