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2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orridog/Documents/FPL-predictor/Predictions/2024-25/"/>
    </mc:Choice>
  </mc:AlternateContent>
  <xr:revisionPtr revIDLastSave="0" documentId="13_ncr:1_{0271B063-FC1E-2B48-BCAD-BDA2E2F6ACFE}" xr6:coauthVersionLast="47" xr6:coauthVersionMax="47" xr10:uidLastSave="{00000000-0000-0000-0000-000000000000}"/>
  <bookViews>
    <workbookView xWindow="240" yWindow="760" windowWidth="18940" windowHeight="15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J161" i="1" l="1"/>
  <c r="AI161" i="1"/>
  <c r="AJ160" i="1"/>
  <c r="AI160" i="1"/>
  <c r="AJ159" i="1"/>
  <c r="AI159" i="1"/>
  <c r="AJ158" i="1"/>
  <c r="AI158" i="1"/>
  <c r="AJ157" i="1"/>
  <c r="AI157" i="1"/>
  <c r="AJ156" i="1"/>
  <c r="AI156" i="1"/>
  <c r="AJ155" i="1"/>
  <c r="AI155" i="1"/>
  <c r="AJ154" i="1"/>
  <c r="AI154" i="1"/>
  <c r="AJ153" i="1"/>
  <c r="AI153" i="1"/>
  <c r="AJ152" i="1"/>
  <c r="AI152" i="1"/>
  <c r="AJ151" i="1"/>
  <c r="AI151" i="1"/>
  <c r="AJ150" i="1"/>
  <c r="AI150" i="1"/>
  <c r="AJ149" i="1"/>
  <c r="AI149" i="1"/>
  <c r="AJ148" i="1"/>
  <c r="AI148" i="1"/>
  <c r="AJ147" i="1"/>
  <c r="AI147" i="1"/>
  <c r="AJ146" i="1"/>
  <c r="AI146" i="1"/>
  <c r="AJ106" i="1"/>
  <c r="AI106" i="1"/>
  <c r="AJ144" i="1"/>
  <c r="AI144" i="1"/>
  <c r="AJ143" i="1"/>
  <c r="AI143" i="1"/>
  <c r="AJ142" i="1"/>
  <c r="AI142" i="1"/>
  <c r="AJ141" i="1"/>
  <c r="AI141" i="1"/>
  <c r="AJ140" i="1"/>
  <c r="AI140" i="1"/>
  <c r="AJ139" i="1"/>
  <c r="AI139" i="1"/>
  <c r="AJ138" i="1"/>
  <c r="AI138" i="1"/>
  <c r="AJ137" i="1"/>
  <c r="AI137" i="1"/>
  <c r="AJ136" i="1"/>
  <c r="AI136" i="1"/>
  <c r="AJ135" i="1"/>
  <c r="AI135" i="1"/>
  <c r="AJ134" i="1"/>
  <c r="AI134" i="1"/>
  <c r="AJ133" i="1"/>
  <c r="AI133" i="1"/>
  <c r="AJ132" i="1"/>
  <c r="AI132" i="1"/>
  <c r="AJ131" i="1"/>
  <c r="AI131" i="1"/>
  <c r="AJ130" i="1"/>
  <c r="AI130" i="1"/>
  <c r="AJ129" i="1"/>
  <c r="AI129" i="1"/>
  <c r="AJ128" i="1"/>
  <c r="AI128" i="1"/>
  <c r="AJ127" i="1"/>
  <c r="AI127" i="1"/>
  <c r="AJ126" i="1"/>
  <c r="AI126" i="1"/>
  <c r="AJ125" i="1"/>
  <c r="AI125" i="1"/>
  <c r="AJ124" i="1"/>
  <c r="AI124" i="1"/>
  <c r="AJ120" i="1"/>
  <c r="AI120" i="1"/>
  <c r="AJ122" i="1"/>
  <c r="AI122" i="1"/>
  <c r="AJ121" i="1"/>
  <c r="AI121" i="1"/>
  <c r="AJ37" i="1"/>
  <c r="AI37" i="1"/>
  <c r="AJ66" i="1"/>
  <c r="AI66" i="1"/>
  <c r="AJ67" i="1"/>
  <c r="AI67" i="1"/>
  <c r="AJ117" i="1"/>
  <c r="AI117" i="1"/>
  <c r="AJ116" i="1"/>
  <c r="AI116" i="1"/>
  <c r="AJ115" i="1"/>
  <c r="AI115" i="1"/>
  <c r="AJ114" i="1"/>
  <c r="AI114" i="1"/>
  <c r="AJ113" i="1"/>
  <c r="AI113" i="1"/>
  <c r="AJ112" i="1"/>
  <c r="AI112" i="1"/>
  <c r="AJ111" i="1"/>
  <c r="AI111" i="1"/>
  <c r="AJ110" i="1"/>
  <c r="AI110" i="1"/>
  <c r="AJ109" i="1"/>
  <c r="AI109" i="1"/>
  <c r="AJ108" i="1"/>
  <c r="AI108" i="1"/>
  <c r="AJ107" i="1"/>
  <c r="AI107" i="1"/>
  <c r="AJ65" i="1"/>
  <c r="AI65" i="1"/>
  <c r="AJ92" i="1"/>
  <c r="AI92" i="1"/>
  <c r="AJ104" i="1"/>
  <c r="AI104" i="1"/>
  <c r="AJ103" i="1"/>
  <c r="AI103" i="1"/>
  <c r="AJ102" i="1"/>
  <c r="AI102" i="1"/>
  <c r="AJ101" i="1"/>
  <c r="AI101" i="1"/>
  <c r="AJ100" i="1"/>
  <c r="AI100" i="1"/>
  <c r="AJ99" i="1"/>
  <c r="AI99" i="1"/>
  <c r="AJ98" i="1"/>
  <c r="AI98" i="1"/>
  <c r="AJ97" i="1"/>
  <c r="AI97" i="1"/>
  <c r="AJ96" i="1"/>
  <c r="AI96" i="1"/>
  <c r="AJ95" i="1"/>
  <c r="AI95" i="1"/>
  <c r="AJ94" i="1"/>
  <c r="AI94" i="1"/>
  <c r="AJ93" i="1"/>
  <c r="AI93" i="1"/>
  <c r="AJ22" i="1"/>
  <c r="AI22" i="1"/>
  <c r="AJ91" i="1"/>
  <c r="AI91" i="1"/>
  <c r="AJ90" i="1"/>
  <c r="AI90" i="1"/>
  <c r="AJ89" i="1"/>
  <c r="AI89" i="1"/>
  <c r="AJ88" i="1"/>
  <c r="AI88" i="1"/>
  <c r="AJ87" i="1"/>
  <c r="AI87" i="1"/>
  <c r="AJ86" i="1"/>
  <c r="AI86" i="1"/>
  <c r="AJ85" i="1"/>
  <c r="AI85" i="1"/>
  <c r="AJ84" i="1"/>
  <c r="AI84" i="1"/>
  <c r="AJ83" i="1"/>
  <c r="AI83" i="1"/>
  <c r="AJ82" i="1"/>
  <c r="AI82" i="1"/>
  <c r="AJ81" i="1"/>
  <c r="AI81" i="1"/>
  <c r="AJ80" i="1"/>
  <c r="AI80" i="1"/>
  <c r="AJ79" i="1"/>
  <c r="AI79" i="1"/>
  <c r="AJ78" i="1"/>
  <c r="AI78" i="1"/>
  <c r="AJ77" i="1"/>
  <c r="AI77" i="1"/>
  <c r="AJ76" i="1"/>
  <c r="AI76" i="1"/>
  <c r="AJ75" i="1"/>
  <c r="AI75" i="1"/>
  <c r="AJ74" i="1"/>
  <c r="AI74" i="1"/>
  <c r="AJ73" i="1"/>
  <c r="AI73" i="1"/>
  <c r="AJ72" i="1"/>
  <c r="AI72" i="1"/>
  <c r="AJ71" i="1"/>
  <c r="AI71" i="1"/>
  <c r="AJ70" i="1"/>
  <c r="AI70" i="1"/>
  <c r="AJ69" i="1"/>
  <c r="AI69" i="1"/>
  <c r="AJ68" i="1"/>
  <c r="AI68" i="1"/>
  <c r="AJ119" i="1"/>
  <c r="AI119" i="1"/>
  <c r="AJ118" i="1"/>
  <c r="AI118" i="1"/>
  <c r="AJ105" i="1"/>
  <c r="AI105" i="1"/>
  <c r="AJ64" i="1"/>
  <c r="AI64" i="1"/>
  <c r="AJ63" i="1"/>
  <c r="AI63" i="1"/>
  <c r="AJ62" i="1"/>
  <c r="AI62" i="1"/>
  <c r="AJ61" i="1"/>
  <c r="AI61" i="1"/>
  <c r="AJ60" i="1"/>
  <c r="AI60" i="1"/>
  <c r="AJ59" i="1"/>
  <c r="AI59" i="1"/>
  <c r="AJ58" i="1"/>
  <c r="AI58" i="1"/>
  <c r="AJ57" i="1"/>
  <c r="AI57" i="1"/>
  <c r="AJ56" i="1"/>
  <c r="AI56" i="1"/>
  <c r="AJ55" i="1"/>
  <c r="AI55" i="1"/>
  <c r="AJ54" i="1"/>
  <c r="AI54" i="1"/>
  <c r="AJ53" i="1"/>
  <c r="AI53" i="1"/>
  <c r="AJ52" i="1"/>
  <c r="AI52" i="1"/>
  <c r="AJ51" i="1"/>
  <c r="AI51" i="1"/>
  <c r="AJ50" i="1"/>
  <c r="AI50" i="1"/>
  <c r="AJ49" i="1"/>
  <c r="AI49" i="1"/>
  <c r="AJ48" i="1"/>
  <c r="AI48" i="1"/>
  <c r="AJ47" i="1"/>
  <c r="AI47" i="1"/>
  <c r="AJ46" i="1"/>
  <c r="AI46" i="1"/>
  <c r="AJ45" i="1"/>
  <c r="AI45" i="1"/>
  <c r="AJ44" i="1"/>
  <c r="AI44" i="1"/>
  <c r="AJ43" i="1"/>
  <c r="AI43" i="1"/>
  <c r="AJ42" i="1"/>
  <c r="AI42" i="1"/>
  <c r="AJ41" i="1"/>
  <c r="AI41" i="1"/>
  <c r="AJ40" i="1"/>
  <c r="AI40" i="1"/>
  <c r="AJ39" i="1"/>
  <c r="AI39" i="1"/>
  <c r="AJ38" i="1"/>
  <c r="AI38" i="1"/>
  <c r="AP37" i="1"/>
  <c r="AJ145" i="1"/>
  <c r="AI145" i="1"/>
  <c r="AP36" i="1"/>
  <c r="AJ36" i="1"/>
  <c r="AI36" i="1"/>
  <c r="AP35" i="1"/>
  <c r="AJ35" i="1"/>
  <c r="AI35" i="1"/>
  <c r="AP34" i="1"/>
  <c r="AJ34" i="1"/>
  <c r="AI34" i="1"/>
  <c r="AP33" i="1"/>
  <c r="AJ33" i="1"/>
  <c r="AI33" i="1"/>
  <c r="AP32" i="1"/>
  <c r="AJ32" i="1"/>
  <c r="AI32" i="1"/>
  <c r="AP31" i="1"/>
  <c r="AJ31" i="1"/>
  <c r="AI31" i="1"/>
  <c r="AP30" i="1"/>
  <c r="AJ30" i="1"/>
  <c r="AI30" i="1"/>
  <c r="AP29" i="1"/>
  <c r="AJ29" i="1"/>
  <c r="AI29" i="1"/>
  <c r="AP28" i="1"/>
  <c r="AJ28" i="1"/>
  <c r="AI28" i="1"/>
  <c r="AP27" i="1"/>
  <c r="AJ27" i="1"/>
  <c r="AI27" i="1"/>
  <c r="AP26" i="1"/>
  <c r="AJ26" i="1"/>
  <c r="AI26" i="1"/>
  <c r="AP25" i="1"/>
  <c r="AJ25" i="1"/>
  <c r="AI25" i="1"/>
  <c r="AP24" i="1"/>
  <c r="AJ24" i="1"/>
  <c r="AI24" i="1"/>
  <c r="AP23" i="1"/>
  <c r="AJ23" i="1"/>
  <c r="AI23" i="1"/>
  <c r="AP22" i="1"/>
  <c r="AJ123" i="1"/>
  <c r="AI123" i="1"/>
  <c r="AP21" i="1"/>
  <c r="AJ21" i="1"/>
  <c r="AI21" i="1"/>
  <c r="AP20" i="1"/>
  <c r="AJ20" i="1"/>
  <c r="AI20" i="1"/>
  <c r="AP19" i="1"/>
  <c r="AJ19" i="1"/>
  <c r="AI19" i="1"/>
  <c r="AP18" i="1"/>
  <c r="AJ18" i="1"/>
  <c r="AI18" i="1"/>
  <c r="AJ17" i="1"/>
  <c r="AI17" i="1"/>
  <c r="AJ16" i="1"/>
  <c r="AI16" i="1"/>
  <c r="AJ15" i="1"/>
  <c r="AI15" i="1"/>
  <c r="AJ14" i="1"/>
  <c r="AI14" i="1"/>
  <c r="AJ13" i="1"/>
  <c r="AI13" i="1"/>
  <c r="AJ12" i="1"/>
  <c r="AI12" i="1"/>
  <c r="AP11" i="1"/>
  <c r="AP14" i="1" s="1"/>
  <c r="AJ11" i="1"/>
  <c r="AI11" i="1"/>
  <c r="AJ10" i="1"/>
  <c r="AI10" i="1"/>
  <c r="AP9" i="1"/>
  <c r="AJ9" i="1"/>
  <c r="AI9" i="1"/>
  <c r="AP8" i="1"/>
  <c r="AJ8" i="1"/>
  <c r="AI8" i="1"/>
  <c r="AP7" i="1"/>
  <c r="AJ7" i="1"/>
  <c r="AI7" i="1"/>
  <c r="AP6" i="1"/>
  <c r="AJ6" i="1"/>
  <c r="AI6" i="1"/>
  <c r="AP2" i="1" s="1"/>
  <c r="AJ5" i="1"/>
  <c r="AI5" i="1"/>
  <c r="AP4" i="1"/>
  <c r="AJ4" i="1"/>
  <c r="AI4" i="1"/>
  <c r="AJ3" i="1"/>
  <c r="AI3" i="1"/>
  <c r="AJ2" i="1"/>
  <c r="AI2" i="1"/>
  <c r="AP16" i="1" l="1"/>
</calcChain>
</file>

<file path=xl/sharedStrings.xml><?xml version="1.0" encoding="utf-8"?>
<sst xmlns="http://schemas.openxmlformats.org/spreadsheetml/2006/main" count="870" uniqueCount="391">
  <si>
    <t>Total Points</t>
  </si>
  <si>
    <t>MAX</t>
  </si>
  <si>
    <t>Total Cost</t>
  </si>
  <si>
    <t>GKP</t>
  </si>
  <si>
    <t>DEF</t>
  </si>
  <si>
    <t>MID</t>
  </si>
  <si>
    <t>FWD</t>
  </si>
  <si>
    <t>Transfers</t>
  </si>
  <si>
    <t>Free</t>
  </si>
  <si>
    <t>Cost</t>
  </si>
  <si>
    <t>Profit</t>
  </si>
  <si>
    <t>ARS</t>
  </si>
  <si>
    <t>AVL</t>
  </si>
  <si>
    <t>BOU</t>
  </si>
  <si>
    <t>BRE</t>
  </si>
  <si>
    <t>BHA</t>
  </si>
  <si>
    <t>CHE</t>
  </si>
  <si>
    <t>CRY</t>
  </si>
  <si>
    <t>EVE</t>
  </si>
  <si>
    <t>FUL</t>
  </si>
  <si>
    <t>IPS</t>
  </si>
  <si>
    <t>LEI</t>
  </si>
  <si>
    <t>LIV</t>
  </si>
  <si>
    <t>MCI</t>
  </si>
  <si>
    <t>MUN</t>
  </si>
  <si>
    <t>NEW</t>
  </si>
  <si>
    <t>NFO</t>
  </si>
  <si>
    <t>SOU</t>
  </si>
  <si>
    <t>TOT</t>
  </si>
  <si>
    <t>WHU</t>
  </si>
  <si>
    <t>WOL</t>
  </si>
  <si>
    <t>First Name</t>
  </si>
  <si>
    <t>Surname</t>
  </si>
  <si>
    <t>Web Name</t>
  </si>
  <si>
    <t>Position</t>
  </si>
  <si>
    <t>Team</t>
  </si>
  <si>
    <t>ID</t>
  </si>
  <si>
    <t>ARIMA</t>
  </si>
  <si>
    <t>LSTM</t>
  </si>
  <si>
    <t>FOREST</t>
  </si>
  <si>
    <t>PP</t>
  </si>
  <si>
    <t>NEXT</t>
  </si>
  <si>
    <t>Health</t>
  </si>
  <si>
    <t>PREV</t>
  </si>
  <si>
    <t>Selected</t>
  </si>
  <si>
    <t>Gabriel</t>
  </si>
  <si>
    <t>dos Santos Magalhães</t>
  </si>
  <si>
    <t>Kai</t>
  </si>
  <si>
    <t>Havertz</t>
  </si>
  <si>
    <t>Jurriën</t>
  </si>
  <si>
    <t>Timber</t>
  </si>
  <si>
    <t>J.Timber</t>
  </si>
  <si>
    <t>Martinelli Silva</t>
  </si>
  <si>
    <t>Martinelli</t>
  </si>
  <si>
    <t>David</t>
  </si>
  <si>
    <t>Raya Martin</t>
  </si>
  <si>
    <t>Raya</t>
  </si>
  <si>
    <t>Declan</t>
  </si>
  <si>
    <t>Rice</t>
  </si>
  <si>
    <t>Bukayo</t>
  </si>
  <si>
    <t>Saka</t>
  </si>
  <si>
    <t>William</t>
  </si>
  <si>
    <t>Saliba</t>
  </si>
  <si>
    <t>Thomas</t>
  </si>
  <si>
    <t>Partey</t>
  </si>
  <si>
    <t>Leandro</t>
  </si>
  <si>
    <t>Trossard</t>
  </si>
  <si>
    <t>Ross</t>
  </si>
  <si>
    <t>Barkley</t>
  </si>
  <si>
    <t>Jhon</t>
  </si>
  <si>
    <t>Durán</t>
  </si>
  <si>
    <t>Duran</t>
  </si>
  <si>
    <t>Ezri</t>
  </si>
  <si>
    <t>Konsa Ngoyo</t>
  </si>
  <si>
    <t>Konsa</t>
  </si>
  <si>
    <t>Emiliano</t>
  </si>
  <si>
    <t>Martínez Romero</t>
  </si>
  <si>
    <t>Martinez</t>
  </si>
  <si>
    <t>John</t>
  </si>
  <si>
    <t>McGinn</t>
  </si>
  <si>
    <t>Morgan</t>
  </si>
  <si>
    <t>Rogers</t>
  </si>
  <si>
    <t>Youri</t>
  </si>
  <si>
    <t>Tielemans</t>
  </si>
  <si>
    <t>Ollie</t>
  </si>
  <si>
    <t>Watkins</t>
  </si>
  <si>
    <t>Ryan</t>
  </si>
  <si>
    <t>Christie</t>
  </si>
  <si>
    <t>Enes</t>
  </si>
  <si>
    <t>Ünal</t>
  </si>
  <si>
    <t>Enes Ünal</t>
  </si>
  <si>
    <t>Milos</t>
  </si>
  <si>
    <t>Kerkez</t>
  </si>
  <si>
    <t>Justin</t>
  </si>
  <si>
    <t>Kluivert</t>
  </si>
  <si>
    <t>Dango</t>
  </si>
  <si>
    <t>Ouattara</t>
  </si>
  <si>
    <t>O.Dango</t>
  </si>
  <si>
    <t>Antoine</t>
  </si>
  <si>
    <t>Semenyo</t>
  </si>
  <si>
    <t>Adam</t>
  </si>
  <si>
    <t>Smith</t>
  </si>
  <si>
    <t>Marcus</t>
  </si>
  <si>
    <t>Tavernier</t>
  </si>
  <si>
    <t>Illia</t>
  </si>
  <si>
    <t>Zabarnyi</t>
  </si>
  <si>
    <t>Kepa</t>
  </si>
  <si>
    <t>Arrizabalaga</t>
  </si>
  <si>
    <t>Francisco Evanilson</t>
  </si>
  <si>
    <t>de Lima Barbosa</t>
  </si>
  <si>
    <t>Evanilson</t>
  </si>
  <si>
    <t>Nathan</t>
  </si>
  <si>
    <t>Collins</t>
  </si>
  <si>
    <t>Mikkel</t>
  </si>
  <si>
    <t>Damsgaard</t>
  </si>
  <si>
    <t>Mark</t>
  </si>
  <si>
    <t>Flekken</t>
  </si>
  <si>
    <t>Bryan</t>
  </si>
  <si>
    <t>Mbeumo</t>
  </si>
  <si>
    <t>Ethan</t>
  </si>
  <si>
    <t>Pinnock</t>
  </si>
  <si>
    <t>Kevin</t>
  </si>
  <si>
    <t>Schade</t>
  </si>
  <si>
    <t>Yoane</t>
  </si>
  <si>
    <t>Wissa</t>
  </si>
  <si>
    <t>Carlos</t>
  </si>
  <si>
    <t>Baleba</t>
  </si>
  <si>
    <t>Mitoma</t>
  </si>
  <si>
    <t>Kaoru</t>
  </si>
  <si>
    <t>Danny</t>
  </si>
  <si>
    <t>Welbeck</t>
  </si>
  <si>
    <t>Mats</t>
  </si>
  <si>
    <t>Wieffer</t>
  </si>
  <si>
    <t>Georginio</t>
  </si>
  <si>
    <t>Rutter</t>
  </si>
  <si>
    <t>Moisés</t>
  </si>
  <si>
    <t>Caicedo Corozo</t>
  </si>
  <si>
    <t>Caicedo</t>
  </si>
  <si>
    <t>Levi</t>
  </si>
  <si>
    <t>Colwill</t>
  </si>
  <si>
    <t>Marc</t>
  </si>
  <si>
    <t>Cucurella Saseta</t>
  </si>
  <si>
    <t>Cucurella</t>
  </si>
  <si>
    <t>Enzo</t>
  </si>
  <si>
    <t>Fernández</t>
  </si>
  <si>
    <t>Noni</t>
  </si>
  <si>
    <t>Madueke</t>
  </si>
  <si>
    <t>Nicolas</t>
  </si>
  <si>
    <t>Jackson</t>
  </si>
  <si>
    <t>N.Jackson</t>
  </si>
  <si>
    <t>Christopher</t>
  </si>
  <si>
    <t>Nkunku</t>
  </si>
  <si>
    <t>Cole</t>
  </si>
  <si>
    <t>Palmer</t>
  </si>
  <si>
    <t>Robert</t>
  </si>
  <si>
    <t>Sánchez</t>
  </si>
  <si>
    <t>Pedro</t>
  </si>
  <si>
    <t>Lomba Neto</t>
  </si>
  <si>
    <t>Neto</t>
  </si>
  <si>
    <t>Eberechi</t>
  </si>
  <si>
    <t>Eze</t>
  </si>
  <si>
    <t>Dean</t>
  </si>
  <si>
    <t>Henderson</t>
  </si>
  <si>
    <t>Will</t>
  </si>
  <si>
    <t>Hughes</t>
  </si>
  <si>
    <t>Jean-Philippe</t>
  </si>
  <si>
    <t>Mateta</t>
  </si>
  <si>
    <t>Tyrick</t>
  </si>
  <si>
    <t>Mitchell</t>
  </si>
  <si>
    <t>Daniel</t>
  </si>
  <si>
    <t>Muñoz</t>
  </si>
  <si>
    <t>Ismaïla</t>
  </si>
  <si>
    <t>Sarr</t>
  </si>
  <si>
    <t>I.Sarr</t>
  </si>
  <si>
    <t>Maxence</t>
  </si>
  <si>
    <t>Lacroix</t>
  </si>
  <si>
    <t>Abdoulaye</t>
  </si>
  <si>
    <t>Doucouré</t>
  </si>
  <si>
    <t>A.Doucoure</t>
  </si>
  <si>
    <t>Dominic</t>
  </si>
  <si>
    <t>Calvert-Lewin</t>
  </si>
  <si>
    <t>Idrissa</t>
  </si>
  <si>
    <t>Gueye</t>
  </si>
  <si>
    <t>Gana</t>
  </si>
  <si>
    <t>Dwight</t>
  </si>
  <si>
    <t>McNeil</t>
  </si>
  <si>
    <t>Vitalii</t>
  </si>
  <si>
    <t>Mykolenko</t>
  </si>
  <si>
    <t>Jordan</t>
  </si>
  <si>
    <t>Pickford</t>
  </si>
  <si>
    <t>James</t>
  </si>
  <si>
    <t>Tarkowski</t>
  </si>
  <si>
    <t>Orel</t>
  </si>
  <si>
    <t>Mangala</t>
  </si>
  <si>
    <t>Reiss</t>
  </si>
  <si>
    <t>Nelson</t>
  </si>
  <si>
    <t>Andreas</t>
  </si>
  <si>
    <t>Hoelgebaum Pereira</t>
  </si>
  <si>
    <t>Calvin</t>
  </si>
  <si>
    <t>Bassey</t>
  </si>
  <si>
    <t>Alex</t>
  </si>
  <si>
    <t>Iwobi</t>
  </si>
  <si>
    <t>Bernd</t>
  </si>
  <si>
    <t>Leno</t>
  </si>
  <si>
    <t>Rodrigo</t>
  </si>
  <si>
    <t>Muniz Carvalho</t>
  </si>
  <si>
    <t>Muniz</t>
  </si>
  <si>
    <t>Raúl</t>
  </si>
  <si>
    <t>Jiménez</t>
  </si>
  <si>
    <t>Antonee</t>
  </si>
  <si>
    <t>Robinson</t>
  </si>
  <si>
    <t>Kenny</t>
  </si>
  <si>
    <t>Tete</t>
  </si>
  <si>
    <t>Conor</t>
  </si>
  <si>
    <t>Chaplin</t>
  </si>
  <si>
    <t>Arijanet</t>
  </si>
  <si>
    <t>Muric</t>
  </si>
  <si>
    <t>Sam</t>
  </si>
  <si>
    <t>Szmodics</t>
  </si>
  <si>
    <t>Facundo</t>
  </si>
  <si>
    <t>Buonanotte</t>
  </si>
  <si>
    <t>Ayew</t>
  </si>
  <si>
    <t>J.Ayew</t>
  </si>
  <si>
    <t>Bobby</t>
  </si>
  <si>
    <t>De Cordova-Reid</t>
  </si>
  <si>
    <t>Mads</t>
  </si>
  <si>
    <t>Hermansen</t>
  </si>
  <si>
    <t>Jamie</t>
  </si>
  <si>
    <t>Vardy</t>
  </si>
  <si>
    <t>Harry</t>
  </si>
  <si>
    <t>Winks</t>
  </si>
  <si>
    <t>Trent</t>
  </si>
  <si>
    <t>Alexander-Arnold</t>
  </si>
  <si>
    <t>Cody</t>
  </si>
  <si>
    <t>Gakpo</t>
  </si>
  <si>
    <t>Gravenberch</t>
  </si>
  <si>
    <t>Curtis</t>
  </si>
  <si>
    <t>Jones</t>
  </si>
  <si>
    <t>Luis</t>
  </si>
  <si>
    <t>Díaz</t>
  </si>
  <si>
    <t>Luis Díaz</t>
  </si>
  <si>
    <t>Mohamed</t>
  </si>
  <si>
    <t>Salah</t>
  </si>
  <si>
    <t>M.Salah</t>
  </si>
  <si>
    <t>Alexis</t>
  </si>
  <si>
    <t>Mac Allister</t>
  </si>
  <si>
    <t>Dominik</t>
  </si>
  <si>
    <t>Szoboszlai</t>
  </si>
  <si>
    <t>Virgil</t>
  </si>
  <si>
    <t>van Dijk</t>
  </si>
  <si>
    <t>Bernardo</t>
  </si>
  <si>
    <t>Veiga de Carvalho e Silva</t>
  </si>
  <si>
    <t>Jérémy</t>
  </si>
  <si>
    <t>Doku</t>
  </si>
  <si>
    <t>Ederson</t>
  </si>
  <si>
    <t>Santana de Moraes</t>
  </si>
  <si>
    <t>Ederson M.</t>
  </si>
  <si>
    <t>Phil</t>
  </si>
  <si>
    <t>Foden</t>
  </si>
  <si>
    <t>Joško</t>
  </si>
  <si>
    <t>Gvardiol</t>
  </si>
  <si>
    <t>Erling</t>
  </si>
  <si>
    <t>Haaland</t>
  </si>
  <si>
    <t>Mateo</t>
  </si>
  <si>
    <t>Kovačić</t>
  </si>
  <si>
    <t>Matheus Luiz</t>
  </si>
  <si>
    <t>Nunes</t>
  </si>
  <si>
    <t>Matheus N.</t>
  </si>
  <si>
    <t>Rúben</t>
  </si>
  <si>
    <t>Gato Alves Dias</t>
  </si>
  <si>
    <t>Amad</t>
  </si>
  <si>
    <t>Diallo</t>
  </si>
  <si>
    <t>Bruno</t>
  </si>
  <si>
    <t>Borges Fernandes</t>
  </si>
  <si>
    <t>B.Fernandes</t>
  </si>
  <si>
    <t>Carlos Henrique</t>
  </si>
  <si>
    <t>Casimiro</t>
  </si>
  <si>
    <t>Casemiro</t>
  </si>
  <si>
    <t>Diogo</t>
  </si>
  <si>
    <t>Dalot Teixeira</t>
  </si>
  <si>
    <t>Dalot</t>
  </si>
  <si>
    <t>Rasmus</t>
  </si>
  <si>
    <t>Højlund</t>
  </si>
  <si>
    <t>Lisandro</t>
  </si>
  <si>
    <t>Martínez</t>
  </si>
  <si>
    <t>André</t>
  </si>
  <si>
    <t>Onana</t>
  </si>
  <si>
    <t>Rashford</t>
  </si>
  <si>
    <t>Joshua</t>
  </si>
  <si>
    <t>Zirkzee</t>
  </si>
  <si>
    <t>Harvey</t>
  </si>
  <si>
    <t>Barnes</t>
  </si>
  <si>
    <t>Guimarães Rodriguez Moura</t>
  </si>
  <si>
    <t>Bruno G.</t>
  </si>
  <si>
    <t>Dan</t>
  </si>
  <si>
    <t>Burn</t>
  </si>
  <si>
    <t>Anthony</t>
  </si>
  <si>
    <t>Gordon</t>
  </si>
  <si>
    <t>Lewis</t>
  </si>
  <si>
    <t>Hall</t>
  </si>
  <si>
    <t>Alexander</t>
  </si>
  <si>
    <t>Isak</t>
  </si>
  <si>
    <t>Jacob</t>
  </si>
  <si>
    <t>Murphy</t>
  </si>
  <si>
    <t>J.Murphy</t>
  </si>
  <si>
    <t>Tino</t>
  </si>
  <si>
    <t>Livramento</t>
  </si>
  <si>
    <t>Fabian</t>
  </si>
  <si>
    <t>Schär</t>
  </si>
  <si>
    <t>Ola</t>
  </si>
  <si>
    <t>Aina</t>
  </si>
  <si>
    <t>Elliot</t>
  </si>
  <si>
    <t>Anderson</t>
  </si>
  <si>
    <t>Elanga</t>
  </si>
  <si>
    <t>Gibbs-White</t>
  </si>
  <si>
    <t>Callum</t>
  </si>
  <si>
    <t>Hudson-Odoi</t>
  </si>
  <si>
    <t>Murillo</t>
  </si>
  <si>
    <t>Santiago Costa dos Santos</t>
  </si>
  <si>
    <t>Neco</t>
  </si>
  <si>
    <t>Williams</t>
  </si>
  <si>
    <t>N.Williams</t>
  </si>
  <si>
    <t>Matz</t>
  </si>
  <si>
    <t>Sels</t>
  </si>
  <si>
    <t>Chris</t>
  </si>
  <si>
    <t>Wood</t>
  </si>
  <si>
    <t>Nikola</t>
  </si>
  <si>
    <t>Milenković</t>
  </si>
  <si>
    <t>Joe</t>
  </si>
  <si>
    <t>Aribo</t>
  </si>
  <si>
    <t>Armstrong</t>
  </si>
  <si>
    <t>Taylor</t>
  </si>
  <si>
    <t>Harwood-Bellis</t>
  </si>
  <si>
    <t>Kyle</t>
  </si>
  <si>
    <t>Walker-Peters</t>
  </si>
  <si>
    <t>Flynn</t>
  </si>
  <si>
    <t>Downes</t>
  </si>
  <si>
    <t>Mateus Gonçalo</t>
  </si>
  <si>
    <t>Espanha Fernandes</t>
  </si>
  <si>
    <t>M.Fernandes</t>
  </si>
  <si>
    <t>Solanke-Mitchell</t>
  </si>
  <si>
    <t>Solanke</t>
  </si>
  <si>
    <t>Brennan</t>
  </si>
  <si>
    <t>Johnson</t>
  </si>
  <si>
    <t>Dejan</t>
  </si>
  <si>
    <t>Kulusevski</t>
  </si>
  <si>
    <t>Maddison</t>
  </si>
  <si>
    <t>Porro</t>
  </si>
  <si>
    <t>Pedro Porro</t>
  </si>
  <si>
    <t>Pape Matar</t>
  </si>
  <si>
    <t>P.M.Sarr</t>
  </si>
  <si>
    <t>Son</t>
  </si>
  <si>
    <t>Heung-min</t>
  </si>
  <si>
    <t>Destiny</t>
  </si>
  <si>
    <t>Udogie</t>
  </si>
  <si>
    <t>Guglielmo</t>
  </si>
  <si>
    <t>Vicario</t>
  </si>
  <si>
    <t>Timo</t>
  </si>
  <si>
    <t>Werner</t>
  </si>
  <si>
    <t>Aaron</t>
  </si>
  <si>
    <t>Wan-Bissaka</t>
  </si>
  <si>
    <t>Jarrod</t>
  </si>
  <si>
    <t>Bowen</t>
  </si>
  <si>
    <t>Emerson</t>
  </si>
  <si>
    <t>Palmieri dos Santos</t>
  </si>
  <si>
    <t>Mohammed</t>
  </si>
  <si>
    <t>Kudus</t>
  </si>
  <si>
    <t>Lucas</t>
  </si>
  <si>
    <t>Tolentino Coelho de Lima</t>
  </si>
  <si>
    <t>L.Paquetá</t>
  </si>
  <si>
    <t>Tomáš</t>
  </si>
  <si>
    <t>Souček</t>
  </si>
  <si>
    <t>Jean-Ricner</t>
  </si>
  <si>
    <t>Bellegarde</t>
  </si>
  <si>
    <t>Matheus</t>
  </si>
  <si>
    <t>Santos Carneiro Da Cunha</t>
  </si>
  <si>
    <t>Cunha</t>
  </si>
  <si>
    <t>Gonçalo Manuel</t>
  </si>
  <si>
    <t>Ganchinho Guedes</t>
  </si>
  <si>
    <t>Guedes</t>
  </si>
  <si>
    <t>João Victor</t>
  </si>
  <si>
    <t>Gomes da Silva</t>
  </si>
  <si>
    <t>J.Gomes</t>
  </si>
  <si>
    <t>Mario</t>
  </si>
  <si>
    <t>Lemina</t>
  </si>
  <si>
    <t>Mario Jr.</t>
  </si>
  <si>
    <t>Nélson</t>
  </si>
  <si>
    <t>Cabral Semedo</t>
  </si>
  <si>
    <t>N.Semedo</t>
  </si>
  <si>
    <t>Jørgen</t>
  </si>
  <si>
    <t>Strand Larsen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</si>
</sst>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AM161" totalsRowShown="0">
  <autoFilter ref="A1:AM161" xr:uid="{00000000-0009-0000-0100-000001000000}">
    <filterColumn colId="38">
      <filters>
        <filter val="1"/>
      </filters>
    </filterColumn>
  </autoFilter>
  <sortState xmlns:xlrd2="http://schemas.microsoft.com/office/spreadsheetml/2017/richdata2" ref="A22:AM156">
    <sortCondition descending="1" ref="AJ1:AJ161"/>
  </sortState>
  <tableColumns count="39">
    <tableColumn id="1" xr3:uid="{00000000-0010-0000-0000-000001000000}" name="First Name"/>
    <tableColumn id="2" xr3:uid="{00000000-0010-0000-0000-000002000000}" name="Surname"/>
    <tableColumn id="3" xr3:uid="{00000000-0010-0000-0000-000003000000}" name="Web Name"/>
    <tableColumn id="4" xr3:uid="{00000000-0010-0000-0000-000004000000}" name="Position"/>
    <tableColumn id="5" xr3:uid="{00000000-0010-0000-0000-000005000000}" name="GKP"/>
    <tableColumn id="6" xr3:uid="{00000000-0010-0000-0000-000006000000}" name="DEF"/>
    <tableColumn id="7" xr3:uid="{00000000-0010-0000-0000-000007000000}" name="MID"/>
    <tableColumn id="8" xr3:uid="{00000000-0010-0000-0000-000008000000}" name="FWD"/>
    <tableColumn id="9" xr3:uid="{00000000-0010-0000-0000-000009000000}" name="Team"/>
    <tableColumn id="10" xr3:uid="{00000000-0010-0000-0000-00000A000000}" name="ARS"/>
    <tableColumn id="11" xr3:uid="{00000000-0010-0000-0000-00000B000000}" name="AVL"/>
    <tableColumn id="12" xr3:uid="{00000000-0010-0000-0000-00000C000000}" name="BOU"/>
    <tableColumn id="13" xr3:uid="{00000000-0010-0000-0000-00000D000000}" name="BRE"/>
    <tableColumn id="14" xr3:uid="{00000000-0010-0000-0000-00000E000000}" name="BHA"/>
    <tableColumn id="15" xr3:uid="{00000000-0010-0000-0000-00000F000000}" name="CHE"/>
    <tableColumn id="16" xr3:uid="{00000000-0010-0000-0000-000010000000}" name="CRY"/>
    <tableColumn id="17" xr3:uid="{00000000-0010-0000-0000-000011000000}" name="EVE"/>
    <tableColumn id="18" xr3:uid="{00000000-0010-0000-0000-000012000000}" name="FUL"/>
    <tableColumn id="19" xr3:uid="{00000000-0010-0000-0000-000013000000}" name="IPS"/>
    <tableColumn id="20" xr3:uid="{00000000-0010-0000-0000-000014000000}" name="LEI"/>
    <tableColumn id="21" xr3:uid="{00000000-0010-0000-0000-000015000000}" name="LIV"/>
    <tableColumn id="22" xr3:uid="{00000000-0010-0000-0000-000016000000}" name="MCI"/>
    <tableColumn id="23" xr3:uid="{00000000-0010-0000-0000-000017000000}" name="MUN"/>
    <tableColumn id="24" xr3:uid="{00000000-0010-0000-0000-000018000000}" name="NEW"/>
    <tableColumn id="25" xr3:uid="{00000000-0010-0000-0000-000019000000}" name="NFO"/>
    <tableColumn id="26" xr3:uid="{00000000-0010-0000-0000-00001A000000}" name="SOU"/>
    <tableColumn id="27" xr3:uid="{00000000-0010-0000-0000-00001B000000}" name="TOT"/>
    <tableColumn id="28" xr3:uid="{00000000-0010-0000-0000-00001C000000}" name="WHU"/>
    <tableColumn id="29" xr3:uid="{00000000-0010-0000-0000-00001D000000}" name="WOL"/>
    <tableColumn id="30" xr3:uid="{00000000-0010-0000-0000-00001E000000}" name="Cost"/>
    <tableColumn id="31" xr3:uid="{00000000-0010-0000-0000-00001F000000}" name="ID"/>
    <tableColumn id="32" xr3:uid="{00000000-0010-0000-0000-000020000000}" name="ARIMA"/>
    <tableColumn id="33" xr3:uid="{00000000-0010-0000-0000-000021000000}" name="LSTM"/>
    <tableColumn id="34" xr3:uid="{00000000-0010-0000-0000-000022000000}" name="FOREST"/>
    <tableColumn id="35" xr3:uid="{00000000-0010-0000-0000-000023000000}" name="PP"/>
    <tableColumn id="36" xr3:uid="{00000000-0010-0000-0000-000024000000}" name="NEXT"/>
    <tableColumn id="37" xr3:uid="{00000000-0010-0000-0000-000025000000}" name="Health"/>
    <tableColumn id="38" xr3:uid="{00000000-0010-0000-0000-000026000000}" name="PREV"/>
    <tableColumn id="39" xr3:uid="{00000000-0010-0000-0000-000027000000}" name="Selected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161"/>
  <sheetViews>
    <sheetView tabSelected="1" workbookViewId="0">
      <selection activeCell="AL145" sqref="AL145"/>
    </sheetView>
  </sheetViews>
  <sheetFormatPr baseColWidth="10" defaultColWidth="8.83203125" defaultRowHeight="15" x14ac:dyDescent="0.2"/>
  <cols>
    <col min="5" max="8" width="0" hidden="1" customWidth="1"/>
    <col min="10" max="29" width="0" hidden="1" customWidth="1"/>
    <col min="31" max="34" width="0" hidden="1" customWidth="1"/>
  </cols>
  <sheetData>
    <row r="1" spans="1:43" x14ac:dyDescent="0.2">
      <c r="A1" t="s">
        <v>31</v>
      </c>
      <c r="B1" t="s">
        <v>32</v>
      </c>
      <c r="C1" t="s">
        <v>33</v>
      </c>
      <c r="D1" t="s">
        <v>34</v>
      </c>
      <c r="E1" t="s">
        <v>3</v>
      </c>
      <c r="F1" t="s">
        <v>4</v>
      </c>
      <c r="G1" t="s">
        <v>5</v>
      </c>
      <c r="H1" t="s">
        <v>6</v>
      </c>
      <c r="I1" t="s">
        <v>35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28</v>
      </c>
      <c r="AB1" t="s">
        <v>29</v>
      </c>
      <c r="AC1" t="s">
        <v>30</v>
      </c>
      <c r="AD1" t="s">
        <v>9</v>
      </c>
      <c r="AE1" t="s">
        <v>36</v>
      </c>
      <c r="AF1" t="s">
        <v>37</v>
      </c>
      <c r="AG1" t="s">
        <v>38</v>
      </c>
      <c r="AH1" t="s">
        <v>39</v>
      </c>
      <c r="AI1" t="s">
        <v>40</v>
      </c>
      <c r="AJ1" t="s">
        <v>41</v>
      </c>
      <c r="AK1" t="s">
        <v>42</v>
      </c>
      <c r="AL1" t="s">
        <v>43</v>
      </c>
      <c r="AM1" t="s">
        <v>44</v>
      </c>
    </row>
    <row r="2" spans="1:43" hidden="1" x14ac:dyDescent="0.2">
      <c r="A2" t="s">
        <v>45</v>
      </c>
      <c r="B2" t="s">
        <v>46</v>
      </c>
      <c r="C2" t="s">
        <v>45</v>
      </c>
      <c r="D2" t="s">
        <v>4</v>
      </c>
      <c r="E2">
        <v>0</v>
      </c>
      <c r="F2">
        <v>1</v>
      </c>
      <c r="G2">
        <v>0</v>
      </c>
      <c r="H2">
        <v>0</v>
      </c>
      <c r="I2" t="s">
        <v>11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6.3</v>
      </c>
      <c r="AE2">
        <v>2</v>
      </c>
      <c r="AF2">
        <v>21.593689947547539</v>
      </c>
      <c r="AG2">
        <v>18.967335988872261</v>
      </c>
      <c r="AH2">
        <v>31.638084859336459</v>
      </c>
      <c r="AI2">
        <f>16.0337574313662*1</f>
        <v>16.033757431366201</v>
      </c>
      <c r="AJ2">
        <f>2.75351078383179*1</f>
        <v>2.75351078383179</v>
      </c>
      <c r="AK2">
        <v>1</v>
      </c>
      <c r="AL2">
        <v>0</v>
      </c>
      <c r="AM2">
        <v>0</v>
      </c>
      <c r="AO2" t="s">
        <v>0</v>
      </c>
      <c r="AP2">
        <f>SUMPRODUCT(Table1[Selected], Table1[PP])</f>
        <v>386.82449158302472</v>
      </c>
      <c r="AQ2" t="s">
        <v>1</v>
      </c>
    </row>
    <row r="3" spans="1:43" hidden="1" x14ac:dyDescent="0.2">
      <c r="A3" t="s">
        <v>47</v>
      </c>
      <c r="B3" t="s">
        <v>48</v>
      </c>
      <c r="C3" t="s">
        <v>48</v>
      </c>
      <c r="D3" t="s">
        <v>6</v>
      </c>
      <c r="E3">
        <v>0</v>
      </c>
      <c r="F3">
        <v>0</v>
      </c>
      <c r="G3">
        <v>0</v>
      </c>
      <c r="H3">
        <v>1</v>
      </c>
      <c r="I3" t="s">
        <v>11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7.9</v>
      </c>
      <c r="AE3">
        <v>3</v>
      </c>
      <c r="AF3">
        <v>19.240823493098301</v>
      </c>
      <c r="AG3">
        <v>13.772025556497979</v>
      </c>
      <c r="AH3">
        <v>18.356517311410219</v>
      </c>
      <c r="AI3">
        <f>7.75815732252044*1</f>
        <v>7.7581573225204403</v>
      </c>
      <c r="AJ3">
        <f>1.53201002821252*1</f>
        <v>1.53201002821252</v>
      </c>
      <c r="AK3">
        <v>1</v>
      </c>
      <c r="AL3">
        <v>0</v>
      </c>
      <c r="AM3">
        <v>0</v>
      </c>
    </row>
    <row r="4" spans="1:43" hidden="1" x14ac:dyDescent="0.2">
      <c r="A4" t="s">
        <v>49</v>
      </c>
      <c r="B4" t="s">
        <v>50</v>
      </c>
      <c r="C4" t="s">
        <v>51</v>
      </c>
      <c r="D4" t="s">
        <v>4</v>
      </c>
      <c r="E4">
        <v>0</v>
      </c>
      <c r="F4">
        <v>1</v>
      </c>
      <c r="G4">
        <v>0</v>
      </c>
      <c r="H4">
        <v>0</v>
      </c>
      <c r="I4" t="s">
        <v>11</v>
      </c>
      <c r="J4">
        <v>1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5.7</v>
      </c>
      <c r="AE4">
        <v>5</v>
      </c>
      <c r="AF4">
        <v>0</v>
      </c>
      <c r="AG4">
        <v>0</v>
      </c>
      <c r="AH4">
        <v>0</v>
      </c>
      <c r="AI4">
        <f>0*1</f>
        <v>0</v>
      </c>
      <c r="AJ4">
        <f>0*1</f>
        <v>0</v>
      </c>
      <c r="AK4">
        <v>1</v>
      </c>
      <c r="AL4">
        <v>0</v>
      </c>
      <c r="AM4">
        <v>0</v>
      </c>
      <c r="AO4" t="s">
        <v>2</v>
      </c>
      <c r="AP4">
        <f>SUMPRODUCT(Table1[Selected],Table1[Cost])</f>
        <v>97.5</v>
      </c>
      <c r="AQ4">
        <v>99.7</v>
      </c>
    </row>
    <row r="5" spans="1:43" hidden="1" x14ac:dyDescent="0.2">
      <c r="A5" t="s">
        <v>45</v>
      </c>
      <c r="B5" t="s">
        <v>52</v>
      </c>
      <c r="C5" t="s">
        <v>53</v>
      </c>
      <c r="D5" t="s">
        <v>5</v>
      </c>
      <c r="E5">
        <v>0</v>
      </c>
      <c r="F5">
        <v>0</v>
      </c>
      <c r="G5">
        <v>1</v>
      </c>
      <c r="H5">
        <v>0</v>
      </c>
      <c r="I5" t="s">
        <v>11</v>
      </c>
      <c r="J5">
        <v>1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6.7</v>
      </c>
      <c r="AE5">
        <v>8</v>
      </c>
      <c r="AF5">
        <v>21.807228915662652</v>
      </c>
      <c r="AG5">
        <v>12.50478984429823</v>
      </c>
      <c r="AH5">
        <v>16.101411559051051</v>
      </c>
      <c r="AI5">
        <f>6.10554745087294*1</f>
        <v>6.1055474508729404</v>
      </c>
      <c r="AJ5">
        <f>1.04370893737551*1</f>
        <v>1.04370893737551</v>
      </c>
      <c r="AK5">
        <v>1</v>
      </c>
      <c r="AL5">
        <v>0</v>
      </c>
      <c r="AM5">
        <v>0</v>
      </c>
    </row>
    <row r="6" spans="1:43" hidden="1" x14ac:dyDescent="0.2">
      <c r="A6" t="s">
        <v>54</v>
      </c>
      <c r="B6" t="s">
        <v>55</v>
      </c>
      <c r="C6" t="s">
        <v>56</v>
      </c>
      <c r="D6" t="s">
        <v>3</v>
      </c>
      <c r="E6">
        <v>1</v>
      </c>
      <c r="F6">
        <v>0</v>
      </c>
      <c r="G6">
        <v>0</v>
      </c>
      <c r="H6">
        <v>0</v>
      </c>
      <c r="I6" t="s">
        <v>11</v>
      </c>
      <c r="J6">
        <v>1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5.6</v>
      </c>
      <c r="AE6">
        <v>11</v>
      </c>
      <c r="AF6">
        <v>20.555555555555561</v>
      </c>
      <c r="AG6">
        <v>21.092892271182048</v>
      </c>
      <c r="AH6">
        <v>14.199798426577599</v>
      </c>
      <c r="AI6">
        <f>15.084187128544*1</f>
        <v>15.084187128544</v>
      </c>
      <c r="AJ6">
        <f>3.00148732700748*1</f>
        <v>3.0014873270074802</v>
      </c>
      <c r="AK6">
        <v>1</v>
      </c>
      <c r="AL6">
        <v>0</v>
      </c>
      <c r="AM6">
        <v>0</v>
      </c>
      <c r="AO6" t="s">
        <v>3</v>
      </c>
      <c r="AP6">
        <f>SUMPRODUCT(Table1[Selected],Table1[GKP])</f>
        <v>2</v>
      </c>
      <c r="AQ6">
        <v>2</v>
      </c>
    </row>
    <row r="7" spans="1:43" hidden="1" x14ac:dyDescent="0.2">
      <c r="A7" t="s">
        <v>57</v>
      </c>
      <c r="B7" t="s">
        <v>58</v>
      </c>
      <c r="C7" t="s">
        <v>58</v>
      </c>
      <c r="D7" t="s">
        <v>5</v>
      </c>
      <c r="E7">
        <v>0</v>
      </c>
      <c r="F7">
        <v>0</v>
      </c>
      <c r="G7">
        <v>1</v>
      </c>
      <c r="H7">
        <v>0</v>
      </c>
      <c r="I7" t="s">
        <v>11</v>
      </c>
      <c r="J7">
        <v>1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6.2</v>
      </c>
      <c r="AE7">
        <v>12</v>
      </c>
      <c r="AF7">
        <v>18.284115759245921</v>
      </c>
      <c r="AG7">
        <v>13.88674565007388</v>
      </c>
      <c r="AH7">
        <v>37.284564093314088</v>
      </c>
      <c r="AI7">
        <f>21.8603305531336*1</f>
        <v>21.860330553133601</v>
      </c>
      <c r="AJ7">
        <f>4.03875123336356*1</f>
        <v>4.03875123336356</v>
      </c>
      <c r="AK7">
        <v>1</v>
      </c>
      <c r="AL7">
        <v>0</v>
      </c>
      <c r="AM7">
        <v>0</v>
      </c>
      <c r="AO7" t="s">
        <v>4</v>
      </c>
      <c r="AP7">
        <f>SUMPRODUCT(Table1[Selected],Table1[DEF])</f>
        <v>5</v>
      </c>
      <c r="AQ7">
        <v>5</v>
      </c>
    </row>
    <row r="8" spans="1:43" hidden="1" x14ac:dyDescent="0.2">
      <c r="A8" t="s">
        <v>59</v>
      </c>
      <c r="B8" t="s">
        <v>60</v>
      </c>
      <c r="C8" t="s">
        <v>60</v>
      </c>
      <c r="D8" t="s">
        <v>5</v>
      </c>
      <c r="E8">
        <v>0</v>
      </c>
      <c r="F8">
        <v>0</v>
      </c>
      <c r="G8">
        <v>1</v>
      </c>
      <c r="H8">
        <v>0</v>
      </c>
      <c r="I8" t="s">
        <v>11</v>
      </c>
      <c r="J8">
        <v>1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10.5</v>
      </c>
      <c r="AE8">
        <v>13</v>
      </c>
      <c r="AF8">
        <v>32.343033464457989</v>
      </c>
      <c r="AG8">
        <v>26.089897512286001</v>
      </c>
      <c r="AH8">
        <v>12.82595288659892</v>
      </c>
      <c r="AI8">
        <f>0*0</f>
        <v>0</v>
      </c>
      <c r="AJ8">
        <f>3.02532107445295*0</f>
        <v>0</v>
      </c>
      <c r="AK8">
        <v>0</v>
      </c>
      <c r="AL8">
        <v>0</v>
      </c>
      <c r="AM8">
        <v>0</v>
      </c>
      <c r="AO8" t="s">
        <v>5</v>
      </c>
      <c r="AP8">
        <f>SUMPRODUCT(Table1[Selected],Table1[MID])</f>
        <v>5</v>
      </c>
      <c r="AQ8">
        <v>5</v>
      </c>
    </row>
    <row r="9" spans="1:43" hidden="1" x14ac:dyDescent="0.2">
      <c r="A9" t="s">
        <v>61</v>
      </c>
      <c r="B9" t="s">
        <v>62</v>
      </c>
      <c r="C9" t="s">
        <v>62</v>
      </c>
      <c r="D9" t="s">
        <v>4</v>
      </c>
      <c r="E9">
        <v>0</v>
      </c>
      <c r="F9">
        <v>1</v>
      </c>
      <c r="G9">
        <v>0</v>
      </c>
      <c r="H9">
        <v>0</v>
      </c>
      <c r="I9" t="s">
        <v>11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6.3</v>
      </c>
      <c r="AE9">
        <v>14</v>
      </c>
      <c r="AF9">
        <v>21.025641025641011</v>
      </c>
      <c r="AG9">
        <v>19.47673730721538</v>
      </c>
      <c r="AH9">
        <v>21.0350879034212</v>
      </c>
      <c r="AI9">
        <f>18.4933971880415*1</f>
        <v>18.493397188041499</v>
      </c>
      <c r="AJ9">
        <f>3.72391951329652*1</f>
        <v>3.7239195132965199</v>
      </c>
      <c r="AK9">
        <v>1</v>
      </c>
      <c r="AL9">
        <v>0</v>
      </c>
      <c r="AM9">
        <v>0</v>
      </c>
      <c r="AO9" t="s">
        <v>6</v>
      </c>
      <c r="AP9">
        <f>SUMPRODUCT(Table1[Selected],Table1[FWD])</f>
        <v>3</v>
      </c>
      <c r="AQ9">
        <v>3</v>
      </c>
    </row>
    <row r="10" spans="1:43" hidden="1" x14ac:dyDescent="0.2">
      <c r="A10" t="s">
        <v>63</v>
      </c>
      <c r="B10" t="s">
        <v>64</v>
      </c>
      <c r="C10" t="s">
        <v>63</v>
      </c>
      <c r="D10" t="s">
        <v>5</v>
      </c>
      <c r="E10">
        <v>0</v>
      </c>
      <c r="F10">
        <v>0</v>
      </c>
      <c r="G10">
        <v>1</v>
      </c>
      <c r="H10">
        <v>0</v>
      </c>
      <c r="I10" t="s">
        <v>11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5</v>
      </c>
      <c r="AE10">
        <v>15</v>
      </c>
      <c r="AF10">
        <v>13.09967959486114</v>
      </c>
      <c r="AG10">
        <v>10.01031268843251</v>
      </c>
      <c r="AH10">
        <v>12.84</v>
      </c>
      <c r="AI10">
        <f>14.5324800297174*1</f>
        <v>14.5324800297174</v>
      </c>
      <c r="AJ10">
        <f>3.00206270704765*1</f>
        <v>3.0020627070476502</v>
      </c>
      <c r="AK10">
        <v>1</v>
      </c>
      <c r="AL10">
        <v>0</v>
      </c>
      <c r="AM10">
        <v>0</v>
      </c>
    </row>
    <row r="11" spans="1:43" hidden="1" x14ac:dyDescent="0.2">
      <c r="A11" t="s">
        <v>65</v>
      </c>
      <c r="B11" t="s">
        <v>66</v>
      </c>
      <c r="C11" t="s">
        <v>66</v>
      </c>
      <c r="D11" t="s">
        <v>5</v>
      </c>
      <c r="E11">
        <v>0</v>
      </c>
      <c r="F11">
        <v>0</v>
      </c>
      <c r="G11">
        <v>1</v>
      </c>
      <c r="H11">
        <v>0</v>
      </c>
      <c r="I11" t="s">
        <v>11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6.8</v>
      </c>
      <c r="AE11">
        <v>18</v>
      </c>
      <c r="AF11">
        <v>19.175824175824161</v>
      </c>
      <c r="AG11">
        <v>18.468371786631579</v>
      </c>
      <c r="AH11">
        <v>11.91202758072834</v>
      </c>
      <c r="AI11">
        <f>11.9901960268726*1</f>
        <v>11.990196026872599</v>
      </c>
      <c r="AJ11">
        <f>2.20761060315772*1</f>
        <v>2.2076106031577201</v>
      </c>
      <c r="AK11">
        <v>1</v>
      </c>
      <c r="AL11">
        <v>0</v>
      </c>
      <c r="AM11">
        <v>0</v>
      </c>
      <c r="AO11" t="s">
        <v>7</v>
      </c>
      <c r="AP11">
        <f>SUMPRODUCT(Table1[Selected], -- (Table1[PREV] = 0))</f>
        <v>4</v>
      </c>
    </row>
    <row r="12" spans="1:43" hidden="1" x14ac:dyDescent="0.2">
      <c r="A12" t="s">
        <v>67</v>
      </c>
      <c r="B12" t="s">
        <v>68</v>
      </c>
      <c r="C12" t="s">
        <v>68</v>
      </c>
      <c r="D12" t="s">
        <v>5</v>
      </c>
      <c r="E12">
        <v>0</v>
      </c>
      <c r="F12">
        <v>0</v>
      </c>
      <c r="G12">
        <v>1</v>
      </c>
      <c r="H12">
        <v>0</v>
      </c>
      <c r="I12" t="s">
        <v>12</v>
      </c>
      <c r="J12">
        <v>0</v>
      </c>
      <c r="K12">
        <v>1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5.2</v>
      </c>
      <c r="AE12">
        <v>34</v>
      </c>
      <c r="AF12">
        <v>14.46280991735536</v>
      </c>
      <c r="AG12">
        <v>16.594841413497601</v>
      </c>
      <c r="AH12">
        <v>6.6055105173473923</v>
      </c>
      <c r="AI12">
        <f>11.8279344182227*1</f>
        <v>11.8279344182227</v>
      </c>
      <c r="AJ12">
        <f>2.38988311057021*1</f>
        <v>2.3898831105702101</v>
      </c>
      <c r="AK12">
        <v>1</v>
      </c>
      <c r="AL12">
        <v>0</v>
      </c>
      <c r="AM12">
        <v>0</v>
      </c>
      <c r="AO12" t="s">
        <v>8</v>
      </c>
      <c r="AP12">
        <v>-1</v>
      </c>
    </row>
    <row r="13" spans="1:43" hidden="1" x14ac:dyDescent="0.2">
      <c r="A13" t="s">
        <v>69</v>
      </c>
      <c r="B13" t="s">
        <v>70</v>
      </c>
      <c r="C13" t="s">
        <v>71</v>
      </c>
      <c r="D13" t="s">
        <v>6</v>
      </c>
      <c r="E13">
        <v>0</v>
      </c>
      <c r="F13">
        <v>0</v>
      </c>
      <c r="G13">
        <v>0</v>
      </c>
      <c r="H13">
        <v>1</v>
      </c>
      <c r="I13" t="s">
        <v>12</v>
      </c>
      <c r="J13">
        <v>0</v>
      </c>
      <c r="K13">
        <v>1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5.8</v>
      </c>
      <c r="AE13">
        <v>43</v>
      </c>
      <c r="AF13">
        <v>10.96153846153846</v>
      </c>
      <c r="AG13">
        <v>11.99654698296461</v>
      </c>
      <c r="AH13">
        <v>24.960757575757579</v>
      </c>
      <c r="AI13">
        <f>11.0802601885619*1</f>
        <v>11.080260188561899</v>
      </c>
      <c r="AJ13">
        <f>2.33979662879335*1</f>
        <v>2.33979662879335</v>
      </c>
      <c r="AK13">
        <v>1</v>
      </c>
      <c r="AL13">
        <v>0</v>
      </c>
      <c r="AM13">
        <v>0</v>
      </c>
    </row>
    <row r="14" spans="1:43" hidden="1" x14ac:dyDescent="0.2">
      <c r="A14" t="s">
        <v>72</v>
      </c>
      <c r="B14" t="s">
        <v>73</v>
      </c>
      <c r="C14" t="s">
        <v>74</v>
      </c>
      <c r="D14" t="s">
        <v>4</v>
      </c>
      <c r="E14">
        <v>0</v>
      </c>
      <c r="F14">
        <v>1</v>
      </c>
      <c r="G14">
        <v>0</v>
      </c>
      <c r="H14">
        <v>0</v>
      </c>
      <c r="I14" t="s">
        <v>12</v>
      </c>
      <c r="J14">
        <v>0</v>
      </c>
      <c r="K14">
        <v>1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4.4000000000000004</v>
      </c>
      <c r="AE14">
        <v>49</v>
      </c>
      <c r="AF14">
        <v>13.77906976744187</v>
      </c>
      <c r="AG14">
        <v>15.208040693966881</v>
      </c>
      <c r="AH14">
        <v>12.82285162329166</v>
      </c>
      <c r="AI14">
        <f>6.08476415510664*1</f>
        <v>6.0847641551066403</v>
      </c>
      <c r="AJ14">
        <f>1.36232993537755*1</f>
        <v>1.36232993537755</v>
      </c>
      <c r="AK14">
        <v>1</v>
      </c>
      <c r="AL14">
        <v>0</v>
      </c>
      <c r="AM14">
        <v>0</v>
      </c>
      <c r="AO14" t="s">
        <v>9</v>
      </c>
      <c r="AP14">
        <f>((AP11-AP12)+ABS((AP11-AP12)))/2*4</f>
        <v>20</v>
      </c>
    </row>
    <row r="15" spans="1:43" hidden="1" x14ac:dyDescent="0.2">
      <c r="A15" t="s">
        <v>75</v>
      </c>
      <c r="B15" t="s">
        <v>76</v>
      </c>
      <c r="C15" t="s">
        <v>77</v>
      </c>
      <c r="D15" t="s">
        <v>3</v>
      </c>
      <c r="E15">
        <v>1</v>
      </c>
      <c r="F15">
        <v>0</v>
      </c>
      <c r="G15">
        <v>0</v>
      </c>
      <c r="H15">
        <v>0</v>
      </c>
      <c r="I15" t="s">
        <v>12</v>
      </c>
      <c r="J15">
        <v>0</v>
      </c>
      <c r="K15">
        <v>1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5</v>
      </c>
      <c r="AE15">
        <v>52</v>
      </c>
      <c r="AF15">
        <v>21.66441198905213</v>
      </c>
      <c r="AG15">
        <v>15.13601753340722</v>
      </c>
      <c r="AH15">
        <v>8.913333333333334</v>
      </c>
      <c r="AI15">
        <f>6.03961566554508*1</f>
        <v>6.0396156655450799</v>
      </c>
      <c r="AJ15">
        <f>1.27159863861772*1</f>
        <v>1.27159863861772</v>
      </c>
      <c r="AK15">
        <v>1</v>
      </c>
      <c r="AL15">
        <v>0</v>
      </c>
      <c r="AM15">
        <v>0</v>
      </c>
    </row>
    <row r="16" spans="1:43" hidden="1" x14ac:dyDescent="0.2">
      <c r="A16" t="s">
        <v>78</v>
      </c>
      <c r="B16" t="s">
        <v>79</v>
      </c>
      <c r="C16" t="s">
        <v>79</v>
      </c>
      <c r="D16" t="s">
        <v>5</v>
      </c>
      <c r="E16">
        <v>0</v>
      </c>
      <c r="F16">
        <v>0</v>
      </c>
      <c r="G16">
        <v>1</v>
      </c>
      <c r="H16">
        <v>0</v>
      </c>
      <c r="I16" t="s">
        <v>12</v>
      </c>
      <c r="J16">
        <v>0</v>
      </c>
      <c r="K16">
        <v>1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5.2</v>
      </c>
      <c r="AE16">
        <v>53</v>
      </c>
      <c r="AF16">
        <v>14.915254237288121</v>
      </c>
      <c r="AG16">
        <v>15.42624094302858</v>
      </c>
      <c r="AH16">
        <v>21.17921031933108</v>
      </c>
      <c r="AI16">
        <f>15.0428826406365*1</f>
        <v>15.042882640636501</v>
      </c>
      <c r="AJ16">
        <f>3.00425529334499*1</f>
        <v>3.0042552933449902</v>
      </c>
      <c r="AK16">
        <v>1</v>
      </c>
      <c r="AL16">
        <v>0</v>
      </c>
      <c r="AM16">
        <v>0</v>
      </c>
      <c r="AO16" t="s">
        <v>10</v>
      </c>
      <c r="AP16">
        <f>AP2-AP14*5</f>
        <v>286.82449158302472</v>
      </c>
    </row>
    <row r="17" spans="1:43" hidden="1" x14ac:dyDescent="0.2">
      <c r="A17" t="s">
        <v>80</v>
      </c>
      <c r="B17" t="s">
        <v>81</v>
      </c>
      <c r="C17" t="s">
        <v>81</v>
      </c>
      <c r="D17" t="s">
        <v>5</v>
      </c>
      <c r="E17">
        <v>0</v>
      </c>
      <c r="F17">
        <v>0</v>
      </c>
      <c r="G17">
        <v>1</v>
      </c>
      <c r="H17">
        <v>0</v>
      </c>
      <c r="I17" t="s">
        <v>12</v>
      </c>
      <c r="J17">
        <v>0</v>
      </c>
      <c r="K17">
        <v>1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5.3</v>
      </c>
      <c r="AE17">
        <v>59</v>
      </c>
      <c r="AF17">
        <v>21.89727187060689</v>
      </c>
      <c r="AG17">
        <v>20.2973621343756</v>
      </c>
      <c r="AH17">
        <v>31.32214740003683</v>
      </c>
      <c r="AI17">
        <f>16.0378154879319*1</f>
        <v>16.037815487931901</v>
      </c>
      <c r="AJ17">
        <f>3.45090488491561*1</f>
        <v>3.4509048849156101</v>
      </c>
      <c r="AK17">
        <v>1</v>
      </c>
      <c r="AL17">
        <v>0</v>
      </c>
      <c r="AM17">
        <v>0</v>
      </c>
    </row>
    <row r="18" spans="1:43" hidden="1" x14ac:dyDescent="0.2">
      <c r="A18" t="s">
        <v>82</v>
      </c>
      <c r="B18" t="s">
        <v>83</v>
      </c>
      <c r="C18" t="s">
        <v>83</v>
      </c>
      <c r="D18" t="s">
        <v>5</v>
      </c>
      <c r="E18">
        <v>0</v>
      </c>
      <c r="F18">
        <v>0</v>
      </c>
      <c r="G18">
        <v>1</v>
      </c>
      <c r="H18">
        <v>0</v>
      </c>
      <c r="I18" t="s">
        <v>12</v>
      </c>
      <c r="J18">
        <v>0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5.5</v>
      </c>
      <c r="AE18">
        <v>62</v>
      </c>
      <c r="AF18">
        <v>13.20936940183149</v>
      </c>
      <c r="AG18">
        <v>16.85140796717052</v>
      </c>
      <c r="AH18">
        <v>10.314524613762959</v>
      </c>
      <c r="AI18">
        <f>5.50460118613695*1</f>
        <v>5.5046011861369504</v>
      </c>
      <c r="AJ18">
        <f>1.09485756869693*1</f>
        <v>1.09485756869693</v>
      </c>
      <c r="AK18">
        <v>1</v>
      </c>
      <c r="AL18">
        <v>0</v>
      </c>
      <c r="AM18">
        <v>0</v>
      </c>
      <c r="AO18" t="s">
        <v>11</v>
      </c>
      <c r="AP18">
        <f>SUMPRODUCT(Table1[Selected],Table1[ARS])</f>
        <v>0</v>
      </c>
      <c r="AQ18">
        <v>3</v>
      </c>
    </row>
    <row r="19" spans="1:43" hidden="1" x14ac:dyDescent="0.2">
      <c r="A19" t="s">
        <v>84</v>
      </c>
      <c r="B19" t="s">
        <v>85</v>
      </c>
      <c r="C19" t="s">
        <v>85</v>
      </c>
      <c r="D19" t="s">
        <v>6</v>
      </c>
      <c r="E19">
        <v>0</v>
      </c>
      <c r="F19">
        <v>0</v>
      </c>
      <c r="G19">
        <v>0</v>
      </c>
      <c r="H19">
        <v>1</v>
      </c>
      <c r="I19" t="s">
        <v>12</v>
      </c>
      <c r="J19">
        <v>0</v>
      </c>
      <c r="K19">
        <v>1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8.9</v>
      </c>
      <c r="AE19">
        <v>63</v>
      </c>
      <c r="AF19">
        <v>23.821656050955401</v>
      </c>
      <c r="AG19">
        <v>21.423031354425401</v>
      </c>
      <c r="AH19">
        <v>12.645391679368711</v>
      </c>
      <c r="AI19">
        <f>9.71387760469474*1</f>
        <v>9.7138776046947406</v>
      </c>
      <c r="AJ19">
        <f>1.80003596107579*1</f>
        <v>1.8000359610757899</v>
      </c>
      <c r="AK19">
        <v>1</v>
      </c>
      <c r="AL19">
        <v>0</v>
      </c>
      <c r="AM19">
        <v>0</v>
      </c>
      <c r="AO19" t="s">
        <v>12</v>
      </c>
      <c r="AP19">
        <f>SUMPRODUCT(Table1[Selected],Table1[AVL])</f>
        <v>0</v>
      </c>
      <c r="AQ19">
        <v>3</v>
      </c>
    </row>
    <row r="20" spans="1:43" hidden="1" x14ac:dyDescent="0.2">
      <c r="A20" t="s">
        <v>86</v>
      </c>
      <c r="B20" t="s">
        <v>87</v>
      </c>
      <c r="C20" t="s">
        <v>87</v>
      </c>
      <c r="D20" t="s">
        <v>5</v>
      </c>
      <c r="E20">
        <v>0</v>
      </c>
      <c r="F20">
        <v>0</v>
      </c>
      <c r="G20">
        <v>1</v>
      </c>
      <c r="H20">
        <v>0</v>
      </c>
      <c r="I20" t="s">
        <v>13</v>
      </c>
      <c r="J20">
        <v>0</v>
      </c>
      <c r="K20">
        <v>0</v>
      </c>
      <c r="L20">
        <v>1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4.9000000000000004</v>
      </c>
      <c r="AE20">
        <v>75</v>
      </c>
      <c r="AF20">
        <v>11.036585365853661</v>
      </c>
      <c r="AG20">
        <v>8.6823416144147387</v>
      </c>
      <c r="AH20">
        <v>13.31640093240093</v>
      </c>
      <c r="AI20">
        <f>12.4799196909696*1</f>
        <v>12.4799196909696</v>
      </c>
      <c r="AJ20">
        <f>2.47540408485677*1</f>
        <v>2.4754040848567702</v>
      </c>
      <c r="AK20">
        <v>1</v>
      </c>
      <c r="AL20">
        <v>0</v>
      </c>
      <c r="AM20">
        <v>0</v>
      </c>
      <c r="AO20" t="s">
        <v>13</v>
      </c>
      <c r="AP20">
        <f>SUMPRODUCT(Table1[Selected],Table1[BOU])</f>
        <v>1</v>
      </c>
      <c r="AQ20">
        <v>3</v>
      </c>
    </row>
    <row r="21" spans="1:43" hidden="1" x14ac:dyDescent="0.2">
      <c r="A21" t="s">
        <v>88</v>
      </c>
      <c r="B21" t="s">
        <v>89</v>
      </c>
      <c r="C21" t="s">
        <v>90</v>
      </c>
      <c r="D21" t="s">
        <v>6</v>
      </c>
      <c r="E21">
        <v>0</v>
      </c>
      <c r="F21">
        <v>0</v>
      </c>
      <c r="G21">
        <v>0</v>
      </c>
      <c r="H21">
        <v>1</v>
      </c>
      <c r="I21" t="s">
        <v>13</v>
      </c>
      <c r="J21">
        <v>0</v>
      </c>
      <c r="K21">
        <v>0</v>
      </c>
      <c r="L21">
        <v>1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5.4</v>
      </c>
      <c r="AE21">
        <v>77</v>
      </c>
      <c r="AF21">
        <v>11.25</v>
      </c>
      <c r="AG21">
        <v>9.4189016319650367</v>
      </c>
      <c r="AH21">
        <v>23.33395048035127</v>
      </c>
      <c r="AI21">
        <f>15.5834997969479*1</f>
        <v>15.583499796947899</v>
      </c>
      <c r="AJ21">
        <f>3.01020922292045*1</f>
        <v>3.0102092229204498</v>
      </c>
      <c r="AK21">
        <v>1</v>
      </c>
      <c r="AL21">
        <v>0</v>
      </c>
      <c r="AM21">
        <v>0</v>
      </c>
      <c r="AO21" t="s">
        <v>14</v>
      </c>
      <c r="AP21">
        <f>SUMPRODUCT(Table1[Selected],Table1[BRE])</f>
        <v>1</v>
      </c>
      <c r="AQ21">
        <v>3</v>
      </c>
    </row>
    <row r="22" spans="1:43" x14ac:dyDescent="0.2">
      <c r="A22" t="s">
        <v>241</v>
      </c>
      <c r="B22" t="s">
        <v>242</v>
      </c>
      <c r="C22" t="s">
        <v>243</v>
      </c>
      <c r="D22" t="s">
        <v>5</v>
      </c>
      <c r="E22">
        <v>0</v>
      </c>
      <c r="F22">
        <v>0</v>
      </c>
      <c r="G22">
        <v>1</v>
      </c>
      <c r="H22">
        <v>0</v>
      </c>
      <c r="I22" t="s">
        <v>22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1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13.5</v>
      </c>
      <c r="AE22">
        <v>405</v>
      </c>
      <c r="AF22">
        <v>37.196828928770259</v>
      </c>
      <c r="AG22">
        <v>35.671432635868712</v>
      </c>
      <c r="AH22">
        <v>78.425396886102874</v>
      </c>
      <c r="AI22">
        <f>62.7169903525252*1</f>
        <v>62.716990352525201</v>
      </c>
      <c r="AJ22">
        <f>12.1110997989654*1</f>
        <v>12.1110997989654</v>
      </c>
      <c r="AK22">
        <v>1</v>
      </c>
      <c r="AL22">
        <v>1</v>
      </c>
      <c r="AM22">
        <v>1</v>
      </c>
      <c r="AO22" t="s">
        <v>15</v>
      </c>
      <c r="AP22">
        <f>SUMPRODUCT(Table1[Selected],Table1[BHA])</f>
        <v>0</v>
      </c>
      <c r="AQ22">
        <v>3</v>
      </c>
    </row>
    <row r="23" spans="1:43" hidden="1" x14ac:dyDescent="0.2">
      <c r="A23" t="s">
        <v>93</v>
      </c>
      <c r="B23" t="s">
        <v>94</v>
      </c>
      <c r="C23" t="s">
        <v>94</v>
      </c>
      <c r="D23" t="s">
        <v>5</v>
      </c>
      <c r="E23">
        <v>0</v>
      </c>
      <c r="F23">
        <v>0</v>
      </c>
      <c r="G23">
        <v>1</v>
      </c>
      <c r="H23">
        <v>0</v>
      </c>
      <c r="I23" t="s">
        <v>13</v>
      </c>
      <c r="J23">
        <v>0</v>
      </c>
      <c r="K23">
        <v>0</v>
      </c>
      <c r="L23">
        <v>1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5.5</v>
      </c>
      <c r="AE23">
        <v>83</v>
      </c>
      <c r="AF23">
        <v>25.60887584301317</v>
      </c>
      <c r="AG23">
        <v>14.00303072846636</v>
      </c>
      <c r="AH23">
        <v>35.428256604595113</v>
      </c>
      <c r="AI23">
        <f>23.095420515331*1</f>
        <v>23.095420515331</v>
      </c>
      <c r="AJ23">
        <f>5.88075939584405*1</f>
        <v>5.8807593958440503</v>
      </c>
      <c r="AK23">
        <v>1</v>
      </c>
      <c r="AL23">
        <v>0</v>
      </c>
      <c r="AM23">
        <v>0</v>
      </c>
      <c r="AO23" t="s">
        <v>16</v>
      </c>
      <c r="AP23">
        <f>SUMPRODUCT(Table1[Selected],Table1[CHE])</f>
        <v>0</v>
      </c>
      <c r="AQ23">
        <v>3</v>
      </c>
    </row>
    <row r="24" spans="1:43" hidden="1" x14ac:dyDescent="0.2">
      <c r="A24" t="s">
        <v>95</v>
      </c>
      <c r="B24" t="s">
        <v>96</v>
      </c>
      <c r="C24" t="s">
        <v>97</v>
      </c>
      <c r="D24" t="s">
        <v>5</v>
      </c>
      <c r="E24">
        <v>0</v>
      </c>
      <c r="F24">
        <v>0</v>
      </c>
      <c r="G24">
        <v>1</v>
      </c>
      <c r="H24">
        <v>0</v>
      </c>
      <c r="I24" t="s">
        <v>13</v>
      </c>
      <c r="J24">
        <v>0</v>
      </c>
      <c r="K24">
        <v>0</v>
      </c>
      <c r="L24">
        <v>1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5</v>
      </c>
      <c r="AE24">
        <v>85</v>
      </c>
      <c r="AF24">
        <v>11.25</v>
      </c>
      <c r="AG24">
        <v>7.505001105508704</v>
      </c>
      <c r="AH24">
        <v>31.24190476190476</v>
      </c>
      <c r="AI24">
        <f>11.2248812035963*1</f>
        <v>11.224881203596301</v>
      </c>
      <c r="AJ24">
        <f>2.19927854596692*1</f>
        <v>2.1992785459669202</v>
      </c>
      <c r="AK24">
        <v>1</v>
      </c>
      <c r="AL24">
        <v>0</v>
      </c>
      <c r="AM24">
        <v>0</v>
      </c>
      <c r="AO24" t="s">
        <v>17</v>
      </c>
      <c r="AP24">
        <f>SUMPRODUCT(Table1[Selected],Table1[CRY])</f>
        <v>0</v>
      </c>
      <c r="AQ24">
        <v>3</v>
      </c>
    </row>
    <row r="25" spans="1:43" hidden="1" x14ac:dyDescent="0.2">
      <c r="A25" t="s">
        <v>98</v>
      </c>
      <c r="B25" t="s">
        <v>99</v>
      </c>
      <c r="C25" t="s">
        <v>99</v>
      </c>
      <c r="D25" t="s">
        <v>5</v>
      </c>
      <c r="E25">
        <v>0</v>
      </c>
      <c r="F25">
        <v>0</v>
      </c>
      <c r="G25">
        <v>1</v>
      </c>
      <c r="H25">
        <v>0</v>
      </c>
      <c r="I25" t="s">
        <v>13</v>
      </c>
      <c r="J25">
        <v>0</v>
      </c>
      <c r="K25">
        <v>0</v>
      </c>
      <c r="L25">
        <v>1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5.6</v>
      </c>
      <c r="AE25">
        <v>89</v>
      </c>
      <c r="AF25">
        <v>16.14035087719299</v>
      </c>
      <c r="AG25">
        <v>13.029673762032919</v>
      </c>
      <c r="AH25">
        <v>27.83653781121356</v>
      </c>
      <c r="AI25">
        <f>10.5430755036719*1</f>
        <v>10.543075503671901</v>
      </c>
      <c r="AJ25">
        <f>2.11814272326595*1</f>
        <v>2.11814272326595</v>
      </c>
      <c r="AK25">
        <v>1</v>
      </c>
      <c r="AL25">
        <v>0</v>
      </c>
      <c r="AM25">
        <v>0</v>
      </c>
      <c r="AO25" t="s">
        <v>18</v>
      </c>
      <c r="AP25">
        <f>SUMPRODUCT(Table1[Selected],Table1[EVE])</f>
        <v>3</v>
      </c>
      <c r="AQ25">
        <v>3</v>
      </c>
    </row>
    <row r="26" spans="1:43" hidden="1" x14ac:dyDescent="0.2">
      <c r="A26" t="s">
        <v>100</v>
      </c>
      <c r="B26" t="s">
        <v>101</v>
      </c>
      <c r="C26" t="s">
        <v>101</v>
      </c>
      <c r="D26" t="s">
        <v>4</v>
      </c>
      <c r="E26">
        <v>0</v>
      </c>
      <c r="F26">
        <v>1</v>
      </c>
      <c r="G26">
        <v>0</v>
      </c>
      <c r="H26">
        <v>0</v>
      </c>
      <c r="I26" t="s">
        <v>13</v>
      </c>
      <c r="J26">
        <v>0</v>
      </c>
      <c r="K26">
        <v>0</v>
      </c>
      <c r="L26">
        <v>1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4.5</v>
      </c>
      <c r="AE26">
        <v>92</v>
      </c>
      <c r="AF26">
        <v>11.9140625</v>
      </c>
      <c r="AG26">
        <v>11.10281694412757</v>
      </c>
      <c r="AH26">
        <v>12.60004245678866</v>
      </c>
      <c r="AI26">
        <f>9.12999734648608*1</f>
        <v>9.1299973464860802</v>
      </c>
      <c r="AJ26">
        <f>1.82983950163682*1</f>
        <v>1.8298395016368201</v>
      </c>
      <c r="AK26">
        <v>1</v>
      </c>
      <c r="AL26">
        <v>0</v>
      </c>
      <c r="AM26">
        <v>0</v>
      </c>
      <c r="AO26" t="s">
        <v>19</v>
      </c>
      <c r="AP26">
        <f>SUMPRODUCT(Table1[Selected],Table1[FUL])</f>
        <v>0</v>
      </c>
      <c r="AQ26">
        <v>3</v>
      </c>
    </row>
    <row r="27" spans="1:43" hidden="1" x14ac:dyDescent="0.2">
      <c r="A27" t="s">
        <v>102</v>
      </c>
      <c r="B27" t="s">
        <v>103</v>
      </c>
      <c r="C27" t="s">
        <v>103</v>
      </c>
      <c r="D27" t="s">
        <v>5</v>
      </c>
      <c r="E27">
        <v>0</v>
      </c>
      <c r="F27">
        <v>0</v>
      </c>
      <c r="G27">
        <v>1</v>
      </c>
      <c r="H27">
        <v>0</v>
      </c>
      <c r="I27" t="s">
        <v>13</v>
      </c>
      <c r="J27">
        <v>0</v>
      </c>
      <c r="K27">
        <v>0</v>
      </c>
      <c r="L27">
        <v>1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5.5</v>
      </c>
      <c r="AE27">
        <v>93</v>
      </c>
      <c r="AF27">
        <v>16.81818181818182</v>
      </c>
      <c r="AG27">
        <v>21.72889474203377</v>
      </c>
      <c r="AH27">
        <v>22.94285714285714</v>
      </c>
      <c r="AI27">
        <f>14.4703090366168*1</f>
        <v>14.470309036616801</v>
      </c>
      <c r="AJ27">
        <f>2.70571247694333*1</f>
        <v>2.7057124769433298</v>
      </c>
      <c r="AK27">
        <v>1</v>
      </c>
      <c r="AL27">
        <v>0</v>
      </c>
      <c r="AM27">
        <v>0</v>
      </c>
      <c r="AO27" t="s">
        <v>20</v>
      </c>
      <c r="AP27">
        <f>SUMPRODUCT(Table1[Selected],Table1[IPS])</f>
        <v>0</v>
      </c>
      <c r="AQ27">
        <v>3</v>
      </c>
    </row>
    <row r="28" spans="1:43" hidden="1" x14ac:dyDescent="0.2">
      <c r="A28" t="s">
        <v>104</v>
      </c>
      <c r="B28" t="s">
        <v>105</v>
      </c>
      <c r="C28" t="s">
        <v>105</v>
      </c>
      <c r="D28" t="s">
        <v>4</v>
      </c>
      <c r="E28">
        <v>0</v>
      </c>
      <c r="F28">
        <v>1</v>
      </c>
      <c r="G28">
        <v>0</v>
      </c>
      <c r="H28">
        <v>0</v>
      </c>
      <c r="I28" t="s">
        <v>13</v>
      </c>
      <c r="J28">
        <v>0</v>
      </c>
      <c r="K28">
        <v>0</v>
      </c>
      <c r="L28">
        <v>1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4.4000000000000004</v>
      </c>
      <c r="AE28">
        <v>95</v>
      </c>
      <c r="AF28">
        <v>11.49122807017544</v>
      </c>
      <c r="AG28">
        <v>10.507238508943709</v>
      </c>
      <c r="AH28">
        <v>16.9796697683242</v>
      </c>
      <c r="AI28">
        <f>11.4516834129494*1</f>
        <v>11.4516834129494</v>
      </c>
      <c r="AJ28">
        <f>2.24807321348108*1</f>
        <v>2.2480732134810801</v>
      </c>
      <c r="AK28">
        <v>1</v>
      </c>
      <c r="AL28">
        <v>0</v>
      </c>
      <c r="AM28">
        <v>0</v>
      </c>
      <c r="AO28" t="s">
        <v>21</v>
      </c>
      <c r="AP28">
        <f>SUMPRODUCT(Table1[Selected],Table1[LEI])</f>
        <v>0</v>
      </c>
      <c r="AQ28">
        <v>3</v>
      </c>
    </row>
    <row r="29" spans="1:43" hidden="1" x14ac:dyDescent="0.2">
      <c r="A29" t="s">
        <v>106</v>
      </c>
      <c r="B29" t="s">
        <v>107</v>
      </c>
      <c r="C29" t="s">
        <v>107</v>
      </c>
      <c r="D29" t="s">
        <v>3</v>
      </c>
      <c r="E29">
        <v>1</v>
      </c>
      <c r="F29">
        <v>0</v>
      </c>
      <c r="G29">
        <v>0</v>
      </c>
      <c r="H29">
        <v>0</v>
      </c>
      <c r="I29" t="s">
        <v>13</v>
      </c>
      <c r="J29">
        <v>0</v>
      </c>
      <c r="K29">
        <v>0</v>
      </c>
      <c r="L29">
        <v>1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4.5</v>
      </c>
      <c r="AE29">
        <v>96</v>
      </c>
      <c r="AF29">
        <v>18.40517241379311</v>
      </c>
      <c r="AG29">
        <v>18.771843523426661</v>
      </c>
      <c r="AH29">
        <v>33.083857060243687</v>
      </c>
      <c r="AI29">
        <f>16.9100305050478*1</f>
        <v>16.9100305050478</v>
      </c>
      <c r="AJ29">
        <f>3.33814233273602*1</f>
        <v>3.33814233273602</v>
      </c>
      <c r="AK29">
        <v>1</v>
      </c>
      <c r="AL29">
        <v>0</v>
      </c>
      <c r="AM29">
        <v>0</v>
      </c>
      <c r="AO29" t="s">
        <v>22</v>
      </c>
      <c r="AP29">
        <f>SUMPRODUCT(Table1[Selected],Table1[LIV])</f>
        <v>1</v>
      </c>
      <c r="AQ29">
        <v>3</v>
      </c>
    </row>
    <row r="30" spans="1:43" hidden="1" x14ac:dyDescent="0.2">
      <c r="A30" t="s">
        <v>108</v>
      </c>
      <c r="B30" t="s">
        <v>109</v>
      </c>
      <c r="C30" t="s">
        <v>110</v>
      </c>
      <c r="D30" t="s">
        <v>6</v>
      </c>
      <c r="E30">
        <v>0</v>
      </c>
      <c r="F30">
        <v>0</v>
      </c>
      <c r="G30">
        <v>0</v>
      </c>
      <c r="H30">
        <v>1</v>
      </c>
      <c r="I30" t="s">
        <v>13</v>
      </c>
      <c r="J30">
        <v>0</v>
      </c>
      <c r="K30">
        <v>0</v>
      </c>
      <c r="L30">
        <v>1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6.1</v>
      </c>
      <c r="AE30">
        <v>100</v>
      </c>
      <c r="AF30">
        <v>0</v>
      </c>
      <c r="AG30">
        <v>0</v>
      </c>
      <c r="AH30">
        <v>0</v>
      </c>
      <c r="AI30">
        <f>0*1</f>
        <v>0</v>
      </c>
      <c r="AJ30">
        <f>0*1</f>
        <v>0</v>
      </c>
      <c r="AK30">
        <v>1</v>
      </c>
      <c r="AL30">
        <v>0</v>
      </c>
      <c r="AM30">
        <v>0</v>
      </c>
      <c r="AO30" t="s">
        <v>23</v>
      </c>
      <c r="AP30">
        <f>SUMPRODUCT(Table1[Selected],Table1[MCI])</f>
        <v>0</v>
      </c>
      <c r="AQ30">
        <v>3</v>
      </c>
    </row>
    <row r="31" spans="1:43" hidden="1" x14ac:dyDescent="0.2">
      <c r="A31" t="s">
        <v>111</v>
      </c>
      <c r="B31" t="s">
        <v>112</v>
      </c>
      <c r="C31" t="s">
        <v>112</v>
      </c>
      <c r="D31" t="s">
        <v>4</v>
      </c>
      <c r="E31">
        <v>0</v>
      </c>
      <c r="F31">
        <v>1</v>
      </c>
      <c r="G31">
        <v>0</v>
      </c>
      <c r="H31">
        <v>0</v>
      </c>
      <c r="I31" t="s">
        <v>14</v>
      </c>
      <c r="J31">
        <v>0</v>
      </c>
      <c r="K31">
        <v>0</v>
      </c>
      <c r="L31">
        <v>0</v>
      </c>
      <c r="M31">
        <v>1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4.5999999999999996</v>
      </c>
      <c r="AE31">
        <v>105</v>
      </c>
      <c r="AF31">
        <v>12.66304347826088</v>
      </c>
      <c r="AG31">
        <v>10.85650515864498</v>
      </c>
      <c r="AH31">
        <v>9.1600722835653947</v>
      </c>
      <c r="AI31">
        <f>6.36626409929367*1</f>
        <v>6.3662640992936703</v>
      </c>
      <c r="AJ31">
        <f>1.28058342124871*1</f>
        <v>1.2805834212487099</v>
      </c>
      <c r="AK31">
        <v>1</v>
      </c>
      <c r="AL31">
        <v>0</v>
      </c>
      <c r="AM31">
        <v>0</v>
      </c>
      <c r="AO31" t="s">
        <v>24</v>
      </c>
      <c r="AP31">
        <f>SUMPRODUCT(Table1[Selected],Table1[MUN])</f>
        <v>2</v>
      </c>
      <c r="AQ31">
        <v>3</v>
      </c>
    </row>
    <row r="32" spans="1:43" hidden="1" x14ac:dyDescent="0.2">
      <c r="A32" t="s">
        <v>113</v>
      </c>
      <c r="B32" t="s">
        <v>114</v>
      </c>
      <c r="C32" t="s">
        <v>114</v>
      </c>
      <c r="D32" t="s">
        <v>5</v>
      </c>
      <c r="E32">
        <v>0</v>
      </c>
      <c r="F32">
        <v>0</v>
      </c>
      <c r="G32">
        <v>1</v>
      </c>
      <c r="H32">
        <v>0</v>
      </c>
      <c r="I32" t="s">
        <v>14</v>
      </c>
      <c r="J32">
        <v>0</v>
      </c>
      <c r="K32">
        <v>0</v>
      </c>
      <c r="L32">
        <v>0</v>
      </c>
      <c r="M32">
        <v>1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5</v>
      </c>
      <c r="AE32">
        <v>106</v>
      </c>
      <c r="AF32">
        <v>18.418263797433621</v>
      </c>
      <c r="AG32">
        <v>6.9772723007668516</v>
      </c>
      <c r="AH32">
        <v>14.277437229437229</v>
      </c>
      <c r="AI32">
        <f>5.35884969973828*1</f>
        <v>5.35884969973828</v>
      </c>
      <c r="AJ32">
        <f>1.04710639576831*1</f>
        <v>1.04710639576831</v>
      </c>
      <c r="AK32">
        <v>1</v>
      </c>
      <c r="AL32">
        <v>1</v>
      </c>
      <c r="AM32">
        <v>0</v>
      </c>
      <c r="AO32" t="s">
        <v>25</v>
      </c>
      <c r="AP32">
        <f>SUMPRODUCT(Table1[Selected],Table1[NEW])</f>
        <v>3</v>
      </c>
      <c r="AQ32">
        <v>3</v>
      </c>
    </row>
    <row r="33" spans="1:43" hidden="1" x14ac:dyDescent="0.2">
      <c r="A33" t="s">
        <v>115</v>
      </c>
      <c r="B33" t="s">
        <v>116</v>
      </c>
      <c r="C33" t="s">
        <v>116</v>
      </c>
      <c r="D33" t="s">
        <v>3</v>
      </c>
      <c r="E33">
        <v>1</v>
      </c>
      <c r="F33">
        <v>0</v>
      </c>
      <c r="G33">
        <v>0</v>
      </c>
      <c r="H33">
        <v>0</v>
      </c>
      <c r="I33" t="s">
        <v>14</v>
      </c>
      <c r="J33">
        <v>0</v>
      </c>
      <c r="K33">
        <v>0</v>
      </c>
      <c r="L33">
        <v>0</v>
      </c>
      <c r="M33">
        <v>1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4.5</v>
      </c>
      <c r="AE33">
        <v>108</v>
      </c>
      <c r="AF33">
        <v>15.943396226415089</v>
      </c>
      <c r="AG33">
        <v>20.712510133750321</v>
      </c>
      <c r="AH33">
        <v>14.9775465157113</v>
      </c>
      <c r="AI33">
        <f>10.549074249021*1</f>
        <v>10.549074249021</v>
      </c>
      <c r="AJ33">
        <f>1.97717983077451*1</f>
        <v>1.9771798307745101</v>
      </c>
      <c r="AK33">
        <v>1</v>
      </c>
      <c r="AL33">
        <v>0</v>
      </c>
      <c r="AM33">
        <v>0</v>
      </c>
      <c r="AO33" t="s">
        <v>26</v>
      </c>
      <c r="AP33">
        <f>SUMPRODUCT(Table1[Selected],Table1[NFO])</f>
        <v>2</v>
      </c>
      <c r="AQ33">
        <v>3</v>
      </c>
    </row>
    <row r="34" spans="1:43" hidden="1" x14ac:dyDescent="0.2">
      <c r="A34" t="s">
        <v>117</v>
      </c>
      <c r="B34" t="s">
        <v>118</v>
      </c>
      <c r="C34" t="s">
        <v>118</v>
      </c>
      <c r="D34" t="s">
        <v>5</v>
      </c>
      <c r="E34">
        <v>0</v>
      </c>
      <c r="F34">
        <v>0</v>
      </c>
      <c r="G34">
        <v>1</v>
      </c>
      <c r="H34">
        <v>0</v>
      </c>
      <c r="I34" t="s">
        <v>14</v>
      </c>
      <c r="J34">
        <v>0</v>
      </c>
      <c r="K34">
        <v>0</v>
      </c>
      <c r="L34">
        <v>0</v>
      </c>
      <c r="M34">
        <v>1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7.6</v>
      </c>
      <c r="AE34">
        <v>116</v>
      </c>
      <c r="AF34">
        <v>27.45718766664082</v>
      </c>
      <c r="AG34">
        <v>20.05197644657332</v>
      </c>
      <c r="AH34">
        <v>51.670170565445332</v>
      </c>
      <c r="AI34">
        <f>17.3988029841308*1</f>
        <v>17.3988029841308</v>
      </c>
      <c r="AJ34">
        <f>3.4266010260173*1</f>
        <v>3.4266010260173001</v>
      </c>
      <c r="AK34">
        <v>1</v>
      </c>
      <c r="AL34">
        <v>0</v>
      </c>
      <c r="AM34">
        <v>0</v>
      </c>
      <c r="AO34" t="s">
        <v>27</v>
      </c>
      <c r="AP34">
        <f>SUMPRODUCT(Table1[Selected],Table1[SOU])</f>
        <v>0</v>
      </c>
      <c r="AQ34">
        <v>3</v>
      </c>
    </row>
    <row r="35" spans="1:43" hidden="1" x14ac:dyDescent="0.2">
      <c r="A35" t="s">
        <v>119</v>
      </c>
      <c r="B35" t="s">
        <v>120</v>
      </c>
      <c r="C35" t="s">
        <v>120</v>
      </c>
      <c r="D35" t="s">
        <v>4</v>
      </c>
      <c r="E35">
        <v>0</v>
      </c>
      <c r="F35">
        <v>1</v>
      </c>
      <c r="G35">
        <v>0</v>
      </c>
      <c r="H35">
        <v>0</v>
      </c>
      <c r="I35" t="s">
        <v>14</v>
      </c>
      <c r="J35">
        <v>0</v>
      </c>
      <c r="K35">
        <v>0</v>
      </c>
      <c r="L35">
        <v>0</v>
      </c>
      <c r="M35">
        <v>1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4.5</v>
      </c>
      <c r="AE35">
        <v>121</v>
      </c>
      <c r="AF35">
        <v>14.5631067961165</v>
      </c>
      <c r="AG35">
        <v>19.56662232956101</v>
      </c>
      <c r="AH35">
        <v>7.0774283750605456</v>
      </c>
      <c r="AI35">
        <f>6.72690218354361*1</f>
        <v>6.7269021835436096</v>
      </c>
      <c r="AJ35">
        <f>1.37286178468491*1</f>
        <v>1.37286178468491</v>
      </c>
      <c r="AK35">
        <v>1</v>
      </c>
      <c r="AL35">
        <v>0</v>
      </c>
      <c r="AM35">
        <v>0</v>
      </c>
      <c r="AO35" t="s">
        <v>28</v>
      </c>
      <c r="AP35">
        <f>SUMPRODUCT(Table1[Selected],Table1[TOT])</f>
        <v>1</v>
      </c>
      <c r="AQ35">
        <v>3</v>
      </c>
    </row>
    <row r="36" spans="1:43" hidden="1" x14ac:dyDescent="0.2">
      <c r="A36" t="s">
        <v>121</v>
      </c>
      <c r="B36" t="s">
        <v>122</v>
      </c>
      <c r="C36" t="s">
        <v>122</v>
      </c>
      <c r="D36" t="s">
        <v>5</v>
      </c>
      <c r="E36">
        <v>0</v>
      </c>
      <c r="F36">
        <v>0</v>
      </c>
      <c r="G36">
        <v>1</v>
      </c>
      <c r="H36">
        <v>0</v>
      </c>
      <c r="I36" t="s">
        <v>14</v>
      </c>
      <c r="J36">
        <v>0</v>
      </c>
      <c r="K36">
        <v>0</v>
      </c>
      <c r="L36">
        <v>0</v>
      </c>
      <c r="M36">
        <v>1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5.0999999999999996</v>
      </c>
      <c r="AE36">
        <v>123</v>
      </c>
      <c r="AF36">
        <v>13.22222222222222</v>
      </c>
      <c r="AG36">
        <v>10.58954504302889</v>
      </c>
      <c r="AH36">
        <v>26.18</v>
      </c>
      <c r="AI36">
        <f>20.7416981819663*1</f>
        <v>20.741698181966299</v>
      </c>
      <c r="AJ36">
        <f>4.14539996281955*1</f>
        <v>4.1453999628195497</v>
      </c>
      <c r="AK36">
        <v>1</v>
      </c>
      <c r="AL36">
        <v>0</v>
      </c>
      <c r="AM36">
        <v>0</v>
      </c>
      <c r="AO36" t="s">
        <v>29</v>
      </c>
      <c r="AP36">
        <f>SUMPRODUCT(Table1[Selected],Table1[WHU])</f>
        <v>0</v>
      </c>
      <c r="AQ36">
        <v>3</v>
      </c>
    </row>
    <row r="37" spans="1:43" x14ac:dyDescent="0.2">
      <c r="A37" t="s">
        <v>302</v>
      </c>
      <c r="B37" t="s">
        <v>303</v>
      </c>
      <c r="C37" t="s">
        <v>304</v>
      </c>
      <c r="D37" t="s">
        <v>5</v>
      </c>
      <c r="E37">
        <v>0</v>
      </c>
      <c r="F37">
        <v>0</v>
      </c>
      <c r="G37">
        <v>1</v>
      </c>
      <c r="H37">
        <v>0</v>
      </c>
      <c r="I37" t="s">
        <v>25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1</v>
      </c>
      <c r="Y37">
        <v>0</v>
      </c>
      <c r="Z37">
        <v>0</v>
      </c>
      <c r="AA37">
        <v>0</v>
      </c>
      <c r="AB37">
        <v>0</v>
      </c>
      <c r="AC37">
        <v>0</v>
      </c>
      <c r="AD37">
        <v>5</v>
      </c>
      <c r="AE37">
        <v>497</v>
      </c>
      <c r="AF37">
        <v>22.01048191384562</v>
      </c>
      <c r="AG37">
        <v>10.662142993731401</v>
      </c>
      <c r="AH37">
        <v>43.852278248067726</v>
      </c>
      <c r="AI37">
        <f>36.904719681354*1</f>
        <v>36.904719681354003</v>
      </c>
      <c r="AJ37">
        <f>7.4575478657739*1</f>
        <v>7.4575478657738996</v>
      </c>
      <c r="AK37">
        <v>1</v>
      </c>
      <c r="AL37">
        <v>0</v>
      </c>
      <c r="AM37">
        <v>1</v>
      </c>
      <c r="AO37" t="s">
        <v>30</v>
      </c>
      <c r="AP37">
        <f>SUMPRODUCT(Table1[Selected],Table1[WOL])</f>
        <v>1</v>
      </c>
      <c r="AQ37">
        <v>3</v>
      </c>
    </row>
    <row r="38" spans="1:43" hidden="1" x14ac:dyDescent="0.2">
      <c r="A38" t="s">
        <v>125</v>
      </c>
      <c r="B38" t="s">
        <v>126</v>
      </c>
      <c r="C38" t="s">
        <v>126</v>
      </c>
      <c r="D38" t="s">
        <v>5</v>
      </c>
      <c r="E38">
        <v>0</v>
      </c>
      <c r="F38">
        <v>0</v>
      </c>
      <c r="G38">
        <v>1</v>
      </c>
      <c r="H38">
        <v>0</v>
      </c>
      <c r="I38" t="s">
        <v>15</v>
      </c>
      <c r="J38">
        <v>0</v>
      </c>
      <c r="K38">
        <v>0</v>
      </c>
      <c r="L38">
        <v>0</v>
      </c>
      <c r="M38">
        <v>0</v>
      </c>
      <c r="N38">
        <v>1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5</v>
      </c>
      <c r="AE38">
        <v>139</v>
      </c>
      <c r="AF38">
        <v>9.0000000000000018</v>
      </c>
      <c r="AG38">
        <v>8.5005848959482329</v>
      </c>
      <c r="AH38">
        <v>3.644761904761904</v>
      </c>
      <c r="AI38">
        <f>7.57772697944122*1</f>
        <v>7.5777269794412199</v>
      </c>
      <c r="AJ38">
        <f>1.41234690671044*1</f>
        <v>1.4123469067104399</v>
      </c>
      <c r="AK38">
        <v>1</v>
      </c>
      <c r="AL38">
        <v>0</v>
      </c>
      <c r="AM38">
        <v>0</v>
      </c>
    </row>
    <row r="39" spans="1:43" hidden="1" x14ac:dyDescent="0.2">
      <c r="A39" t="s">
        <v>127</v>
      </c>
      <c r="B39" t="s">
        <v>128</v>
      </c>
      <c r="C39" t="s">
        <v>127</v>
      </c>
      <c r="D39" t="s">
        <v>5</v>
      </c>
      <c r="E39">
        <v>0</v>
      </c>
      <c r="F39">
        <v>0</v>
      </c>
      <c r="G39">
        <v>1</v>
      </c>
      <c r="H39">
        <v>0</v>
      </c>
      <c r="I39" t="s">
        <v>15</v>
      </c>
      <c r="J39">
        <v>0</v>
      </c>
      <c r="K39">
        <v>0</v>
      </c>
      <c r="L39">
        <v>0</v>
      </c>
      <c r="M39">
        <v>0</v>
      </c>
      <c r="N39">
        <v>1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6.5</v>
      </c>
      <c r="AE39">
        <v>159</v>
      </c>
      <c r="AF39">
        <v>0</v>
      </c>
      <c r="AG39">
        <v>0</v>
      </c>
      <c r="AH39">
        <v>0</v>
      </c>
      <c r="AI39">
        <f>0*1</f>
        <v>0</v>
      </c>
      <c r="AJ39">
        <f>0*1</f>
        <v>0</v>
      </c>
      <c r="AK39">
        <v>1</v>
      </c>
      <c r="AL39">
        <v>0</v>
      </c>
      <c r="AM39">
        <v>0</v>
      </c>
    </row>
    <row r="40" spans="1:43" hidden="1" x14ac:dyDescent="0.2">
      <c r="A40" t="s">
        <v>129</v>
      </c>
      <c r="B40" t="s">
        <v>130</v>
      </c>
      <c r="C40" t="s">
        <v>130</v>
      </c>
      <c r="D40" t="s">
        <v>6</v>
      </c>
      <c r="E40">
        <v>0</v>
      </c>
      <c r="F40">
        <v>0</v>
      </c>
      <c r="G40">
        <v>0</v>
      </c>
      <c r="H40">
        <v>1</v>
      </c>
      <c r="I40" t="s">
        <v>15</v>
      </c>
      <c r="J40">
        <v>0</v>
      </c>
      <c r="K40">
        <v>0</v>
      </c>
      <c r="L40">
        <v>0</v>
      </c>
      <c r="M40">
        <v>0</v>
      </c>
      <c r="N40">
        <v>1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5.7</v>
      </c>
      <c r="AE40">
        <v>171</v>
      </c>
      <c r="AF40">
        <v>15.41979931434447</v>
      </c>
      <c r="AG40">
        <v>13.005747222923279</v>
      </c>
      <c r="AH40">
        <v>10.032633331049031</v>
      </c>
      <c r="AI40">
        <f>15.6338911636692*1</f>
        <v>15.633891163669199</v>
      </c>
      <c r="AJ40">
        <f>2.78139245356212*1</f>
        <v>2.7813924535621202</v>
      </c>
      <c r="AK40">
        <v>1</v>
      </c>
      <c r="AL40">
        <v>0</v>
      </c>
      <c r="AM40">
        <v>0</v>
      </c>
    </row>
    <row r="41" spans="1:43" hidden="1" x14ac:dyDescent="0.2">
      <c r="A41" t="s">
        <v>131</v>
      </c>
      <c r="B41" t="s">
        <v>132</v>
      </c>
      <c r="C41" t="s">
        <v>132</v>
      </c>
      <c r="D41" t="s">
        <v>5</v>
      </c>
      <c r="E41">
        <v>0</v>
      </c>
      <c r="F41">
        <v>0</v>
      </c>
      <c r="G41">
        <v>1</v>
      </c>
      <c r="H41">
        <v>0</v>
      </c>
      <c r="I41" t="s">
        <v>15</v>
      </c>
      <c r="J41">
        <v>0</v>
      </c>
      <c r="K41">
        <v>0</v>
      </c>
      <c r="L41">
        <v>0</v>
      </c>
      <c r="M41">
        <v>0</v>
      </c>
      <c r="N41">
        <v>1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4.7</v>
      </c>
      <c r="AE41">
        <v>172</v>
      </c>
      <c r="AF41">
        <v>0</v>
      </c>
      <c r="AG41">
        <v>0</v>
      </c>
      <c r="AH41">
        <v>0</v>
      </c>
      <c r="AI41">
        <f>0*1</f>
        <v>0</v>
      </c>
      <c r="AJ41">
        <f>0*1</f>
        <v>0</v>
      </c>
      <c r="AK41">
        <v>1</v>
      </c>
      <c r="AL41">
        <v>0</v>
      </c>
      <c r="AM41">
        <v>0</v>
      </c>
    </row>
    <row r="42" spans="1:43" hidden="1" x14ac:dyDescent="0.2">
      <c r="A42" t="s">
        <v>133</v>
      </c>
      <c r="B42" t="s">
        <v>134</v>
      </c>
      <c r="C42" t="s">
        <v>133</v>
      </c>
      <c r="D42" t="s">
        <v>5</v>
      </c>
      <c r="E42">
        <v>0</v>
      </c>
      <c r="F42">
        <v>0</v>
      </c>
      <c r="G42">
        <v>1</v>
      </c>
      <c r="H42">
        <v>0</v>
      </c>
      <c r="I42" t="s">
        <v>15</v>
      </c>
      <c r="J42">
        <v>0</v>
      </c>
      <c r="K42">
        <v>0</v>
      </c>
      <c r="L42">
        <v>0</v>
      </c>
      <c r="M42">
        <v>0</v>
      </c>
      <c r="N42">
        <v>1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5.5</v>
      </c>
      <c r="AE42">
        <v>177</v>
      </c>
      <c r="AF42">
        <v>0</v>
      </c>
      <c r="AG42">
        <v>0</v>
      </c>
      <c r="AH42">
        <v>0</v>
      </c>
      <c r="AI42">
        <f>0*1</f>
        <v>0</v>
      </c>
      <c r="AJ42">
        <f>0*1</f>
        <v>0</v>
      </c>
      <c r="AK42">
        <v>1</v>
      </c>
      <c r="AL42">
        <v>1</v>
      </c>
      <c r="AM42">
        <v>0</v>
      </c>
    </row>
    <row r="43" spans="1:43" hidden="1" x14ac:dyDescent="0.2">
      <c r="A43" t="s">
        <v>135</v>
      </c>
      <c r="B43" t="s">
        <v>136</v>
      </c>
      <c r="C43" t="s">
        <v>137</v>
      </c>
      <c r="D43" t="s">
        <v>5</v>
      </c>
      <c r="E43">
        <v>0</v>
      </c>
      <c r="F43">
        <v>0</v>
      </c>
      <c r="G43">
        <v>1</v>
      </c>
      <c r="H43">
        <v>0</v>
      </c>
      <c r="I43" t="s">
        <v>16</v>
      </c>
      <c r="J43">
        <v>0</v>
      </c>
      <c r="K43">
        <v>0</v>
      </c>
      <c r="L43">
        <v>0</v>
      </c>
      <c r="M43">
        <v>0</v>
      </c>
      <c r="N43">
        <v>0</v>
      </c>
      <c r="O43">
        <v>1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4.9000000000000004</v>
      </c>
      <c r="AE43">
        <v>189</v>
      </c>
      <c r="AF43">
        <v>15.813800299230421</v>
      </c>
      <c r="AG43">
        <v>8.2780125138248906</v>
      </c>
      <c r="AH43">
        <v>16.112046605414861</v>
      </c>
      <c r="AI43">
        <f>15.2079424177799*1</f>
        <v>15.207942417779901</v>
      </c>
      <c r="AJ43">
        <f>3.08390229915903*1</f>
        <v>3.0839022991590301</v>
      </c>
      <c r="AK43">
        <v>1</v>
      </c>
      <c r="AL43">
        <v>0</v>
      </c>
      <c r="AM43">
        <v>0</v>
      </c>
    </row>
    <row r="44" spans="1:43" hidden="1" x14ac:dyDescent="0.2">
      <c r="A44" t="s">
        <v>138</v>
      </c>
      <c r="B44" t="s">
        <v>139</v>
      </c>
      <c r="C44" t="s">
        <v>139</v>
      </c>
      <c r="D44" t="s">
        <v>4</v>
      </c>
      <c r="E44">
        <v>0</v>
      </c>
      <c r="F44">
        <v>1</v>
      </c>
      <c r="G44">
        <v>0</v>
      </c>
      <c r="H44">
        <v>0</v>
      </c>
      <c r="I44" t="s">
        <v>16</v>
      </c>
      <c r="J44">
        <v>0</v>
      </c>
      <c r="K44">
        <v>0</v>
      </c>
      <c r="L44">
        <v>0</v>
      </c>
      <c r="M44">
        <v>0</v>
      </c>
      <c r="N44">
        <v>0</v>
      </c>
      <c r="O44">
        <v>1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4.5999999999999996</v>
      </c>
      <c r="AE44">
        <v>193</v>
      </c>
      <c r="AF44">
        <v>13.27272727272727</v>
      </c>
      <c r="AG44">
        <v>15.142407570340961</v>
      </c>
      <c r="AH44">
        <v>14.014522608319091</v>
      </c>
      <c r="AI44">
        <f>11.9749218415061*1</f>
        <v>11.974921841506101</v>
      </c>
      <c r="AJ44">
        <f>2.61624459150117*1</f>
        <v>2.6162445915011698</v>
      </c>
      <c r="AK44">
        <v>1</v>
      </c>
      <c r="AL44">
        <v>0</v>
      </c>
      <c r="AM44">
        <v>0</v>
      </c>
    </row>
    <row r="45" spans="1:43" hidden="1" x14ac:dyDescent="0.2">
      <c r="A45" t="s">
        <v>140</v>
      </c>
      <c r="B45" t="s">
        <v>141</v>
      </c>
      <c r="C45" t="s">
        <v>142</v>
      </c>
      <c r="D45" t="s">
        <v>4</v>
      </c>
      <c r="E45">
        <v>0</v>
      </c>
      <c r="F45">
        <v>1</v>
      </c>
      <c r="G45">
        <v>0</v>
      </c>
      <c r="H45">
        <v>0</v>
      </c>
      <c r="I45" t="s">
        <v>16</v>
      </c>
      <c r="J45">
        <v>0</v>
      </c>
      <c r="K45">
        <v>0</v>
      </c>
      <c r="L45">
        <v>0</v>
      </c>
      <c r="M45">
        <v>0</v>
      </c>
      <c r="N45">
        <v>0</v>
      </c>
      <c r="O45">
        <v>1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5.2</v>
      </c>
      <c r="AE45">
        <v>194</v>
      </c>
      <c r="AF45">
        <v>13.214285714285721</v>
      </c>
      <c r="AG45">
        <v>11.83348421049585</v>
      </c>
      <c r="AH45">
        <v>21.6</v>
      </c>
      <c r="AI45">
        <f>13.6804442205232*1</f>
        <v>13.680444220523199</v>
      </c>
      <c r="AJ45">
        <f>2.67525689015835*1</f>
        <v>2.6752568901583502</v>
      </c>
      <c r="AK45">
        <v>1</v>
      </c>
      <c r="AL45">
        <v>0</v>
      </c>
      <c r="AM45">
        <v>0</v>
      </c>
    </row>
    <row r="46" spans="1:43" hidden="1" x14ac:dyDescent="0.2">
      <c r="A46" t="s">
        <v>143</v>
      </c>
      <c r="B46" t="s">
        <v>144</v>
      </c>
      <c r="C46" t="s">
        <v>143</v>
      </c>
      <c r="D46" t="s">
        <v>5</v>
      </c>
      <c r="E46">
        <v>0</v>
      </c>
      <c r="F46">
        <v>0</v>
      </c>
      <c r="G46">
        <v>1</v>
      </c>
      <c r="H46">
        <v>0</v>
      </c>
      <c r="I46" t="s">
        <v>16</v>
      </c>
      <c r="J46">
        <v>0</v>
      </c>
      <c r="K46">
        <v>0</v>
      </c>
      <c r="L46">
        <v>0</v>
      </c>
      <c r="M46">
        <v>0</v>
      </c>
      <c r="N46">
        <v>0</v>
      </c>
      <c r="O46">
        <v>1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5.0999999999999996</v>
      </c>
      <c r="AE46">
        <v>199</v>
      </c>
      <c r="AF46">
        <v>14.92360925962716</v>
      </c>
      <c r="AG46">
        <v>10.232595954237549</v>
      </c>
      <c r="AH46">
        <v>24.669988306215028</v>
      </c>
      <c r="AI46">
        <f>26.4452319031633*1</f>
        <v>26.4452319031633</v>
      </c>
      <c r="AJ46">
        <f>5.42297819452243*1</f>
        <v>5.4229781945224298</v>
      </c>
      <c r="AK46">
        <v>1</v>
      </c>
      <c r="AL46">
        <v>0</v>
      </c>
      <c r="AM46">
        <v>0</v>
      </c>
    </row>
    <row r="47" spans="1:43" hidden="1" x14ac:dyDescent="0.2">
      <c r="A47" t="s">
        <v>145</v>
      </c>
      <c r="B47" t="s">
        <v>146</v>
      </c>
      <c r="C47" t="s">
        <v>146</v>
      </c>
      <c r="D47" t="s">
        <v>5</v>
      </c>
      <c r="E47">
        <v>0</v>
      </c>
      <c r="F47">
        <v>0</v>
      </c>
      <c r="G47">
        <v>1</v>
      </c>
      <c r="H47">
        <v>0</v>
      </c>
      <c r="I47" t="s">
        <v>16</v>
      </c>
      <c r="J47">
        <v>0</v>
      </c>
      <c r="K47">
        <v>0</v>
      </c>
      <c r="L47">
        <v>0</v>
      </c>
      <c r="M47">
        <v>0</v>
      </c>
      <c r="N47">
        <v>0</v>
      </c>
      <c r="O47">
        <v>1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6.3</v>
      </c>
      <c r="AE47">
        <v>208</v>
      </c>
      <c r="AF47">
        <v>17.083333333333339</v>
      </c>
      <c r="AG47">
        <v>25.935109287025028</v>
      </c>
      <c r="AH47">
        <v>25.524623887422241</v>
      </c>
      <c r="AI47">
        <f>6.19921099359267*1</f>
        <v>6.1992109935926702</v>
      </c>
      <c r="AJ47">
        <f>1.1593426133176*1</f>
        <v>1.1593426133175999</v>
      </c>
      <c r="AK47">
        <v>1</v>
      </c>
      <c r="AL47">
        <v>0</v>
      </c>
      <c r="AM47">
        <v>0</v>
      </c>
    </row>
    <row r="48" spans="1:43" hidden="1" x14ac:dyDescent="0.2">
      <c r="A48" t="s">
        <v>147</v>
      </c>
      <c r="B48" t="s">
        <v>148</v>
      </c>
      <c r="C48" t="s">
        <v>149</v>
      </c>
      <c r="D48" t="s">
        <v>6</v>
      </c>
      <c r="E48">
        <v>0</v>
      </c>
      <c r="F48">
        <v>0</v>
      </c>
      <c r="G48">
        <v>0</v>
      </c>
      <c r="H48">
        <v>1</v>
      </c>
      <c r="I48" t="s">
        <v>16</v>
      </c>
      <c r="J48">
        <v>0</v>
      </c>
      <c r="K48">
        <v>0</v>
      </c>
      <c r="L48">
        <v>0</v>
      </c>
      <c r="M48">
        <v>0</v>
      </c>
      <c r="N48">
        <v>0</v>
      </c>
      <c r="O48">
        <v>1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8.3000000000000007</v>
      </c>
      <c r="AE48">
        <v>211</v>
      </c>
      <c r="AF48">
        <v>23.65662850620113</v>
      </c>
      <c r="AG48">
        <v>20.002223365549369</v>
      </c>
      <c r="AH48">
        <v>34.748448767547259</v>
      </c>
      <c r="AI48">
        <f>11.5151072425636*1</f>
        <v>11.5151072425636</v>
      </c>
      <c r="AJ48">
        <f>1.95851312995455*1</f>
        <v>1.95851312995455</v>
      </c>
      <c r="AK48">
        <v>1</v>
      </c>
      <c r="AL48">
        <v>0</v>
      </c>
      <c r="AM48">
        <v>0</v>
      </c>
    </row>
    <row r="49" spans="1:39" hidden="1" x14ac:dyDescent="0.2">
      <c r="A49" t="s">
        <v>150</v>
      </c>
      <c r="B49" t="s">
        <v>151</v>
      </c>
      <c r="C49" t="s">
        <v>151</v>
      </c>
      <c r="D49" t="s">
        <v>5</v>
      </c>
      <c r="E49">
        <v>0</v>
      </c>
      <c r="F49">
        <v>0</v>
      </c>
      <c r="G49">
        <v>1</v>
      </c>
      <c r="H49">
        <v>0</v>
      </c>
      <c r="I49" t="s">
        <v>16</v>
      </c>
      <c r="J49">
        <v>0</v>
      </c>
      <c r="K49">
        <v>0</v>
      </c>
      <c r="L49">
        <v>0</v>
      </c>
      <c r="M49">
        <v>0</v>
      </c>
      <c r="N49">
        <v>0</v>
      </c>
      <c r="O49">
        <v>1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5.8</v>
      </c>
      <c r="AE49">
        <v>212</v>
      </c>
      <c r="AF49">
        <v>11.730769230769219</v>
      </c>
      <c r="AG49">
        <v>8.1430002365970005</v>
      </c>
      <c r="AH49">
        <v>4.3999999999999986</v>
      </c>
      <c r="AI49">
        <f>8.76311971917942*1</f>
        <v>8.7631197191794197</v>
      </c>
      <c r="AJ49">
        <f>1.77670558573055*1</f>
        <v>1.77670558573055</v>
      </c>
      <c r="AK49">
        <v>1</v>
      </c>
      <c r="AL49">
        <v>0</v>
      </c>
      <c r="AM49">
        <v>0</v>
      </c>
    </row>
    <row r="50" spans="1:39" hidden="1" x14ac:dyDescent="0.2">
      <c r="A50" t="s">
        <v>152</v>
      </c>
      <c r="B50" t="s">
        <v>153</v>
      </c>
      <c r="C50" t="s">
        <v>153</v>
      </c>
      <c r="D50" t="s">
        <v>5</v>
      </c>
      <c r="E50">
        <v>0</v>
      </c>
      <c r="F50">
        <v>0</v>
      </c>
      <c r="G50">
        <v>1</v>
      </c>
      <c r="H50">
        <v>0</v>
      </c>
      <c r="I50" t="s">
        <v>16</v>
      </c>
      <c r="J50">
        <v>0</v>
      </c>
      <c r="K50">
        <v>0</v>
      </c>
      <c r="L50">
        <v>0</v>
      </c>
      <c r="M50">
        <v>0</v>
      </c>
      <c r="N50">
        <v>0</v>
      </c>
      <c r="O50">
        <v>1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11.2</v>
      </c>
      <c r="AE50">
        <v>213</v>
      </c>
      <c r="AF50">
        <v>37.108590502470157</v>
      </c>
      <c r="AG50">
        <v>25.414348993230519</v>
      </c>
      <c r="AH50">
        <v>24.730483628593369</v>
      </c>
      <c r="AI50">
        <f>9.68775720522661*1</f>
        <v>9.6877572052266103</v>
      </c>
      <c r="AJ50">
        <f>2.16935057406735*1</f>
        <v>2.1693505740673502</v>
      </c>
      <c r="AK50">
        <v>1</v>
      </c>
      <c r="AL50">
        <v>0</v>
      </c>
      <c r="AM50">
        <v>0</v>
      </c>
    </row>
    <row r="51" spans="1:39" hidden="1" x14ac:dyDescent="0.2">
      <c r="A51" t="s">
        <v>154</v>
      </c>
      <c r="B51" t="s">
        <v>155</v>
      </c>
      <c r="C51" t="s">
        <v>155</v>
      </c>
      <c r="D51" t="s">
        <v>3</v>
      </c>
      <c r="E51">
        <v>1</v>
      </c>
      <c r="F51">
        <v>0</v>
      </c>
      <c r="G51">
        <v>0</v>
      </c>
      <c r="H51">
        <v>0</v>
      </c>
      <c r="I51" t="s">
        <v>16</v>
      </c>
      <c r="J51">
        <v>0</v>
      </c>
      <c r="K51">
        <v>0</v>
      </c>
      <c r="L51">
        <v>0</v>
      </c>
      <c r="M51">
        <v>0</v>
      </c>
      <c r="N51">
        <v>0</v>
      </c>
      <c r="O51">
        <v>1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4.8</v>
      </c>
      <c r="AE51">
        <v>216</v>
      </c>
      <c r="AF51">
        <v>18.043478260869559</v>
      </c>
      <c r="AG51">
        <v>17.66384902900646</v>
      </c>
      <c r="AH51">
        <v>18.444444444444439</v>
      </c>
      <c r="AI51">
        <f>13.1584985688371*1</f>
        <v>13.1584985688371</v>
      </c>
      <c r="AJ51">
        <f>2.5538375875569*1</f>
        <v>2.5538375875569002</v>
      </c>
      <c r="AK51">
        <v>1</v>
      </c>
      <c r="AL51">
        <v>0</v>
      </c>
      <c r="AM51">
        <v>0</v>
      </c>
    </row>
    <row r="52" spans="1:39" hidden="1" x14ac:dyDescent="0.2">
      <c r="A52" t="s">
        <v>156</v>
      </c>
      <c r="B52" t="s">
        <v>157</v>
      </c>
      <c r="C52" t="s">
        <v>158</v>
      </c>
      <c r="D52" t="s">
        <v>5</v>
      </c>
      <c r="E52">
        <v>0</v>
      </c>
      <c r="F52">
        <v>0</v>
      </c>
      <c r="G52">
        <v>1</v>
      </c>
      <c r="H52">
        <v>0</v>
      </c>
      <c r="I52" t="s">
        <v>16</v>
      </c>
      <c r="J52">
        <v>0</v>
      </c>
      <c r="K52">
        <v>0</v>
      </c>
      <c r="L52">
        <v>0</v>
      </c>
      <c r="M52">
        <v>0</v>
      </c>
      <c r="N52">
        <v>0</v>
      </c>
      <c r="O52">
        <v>1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6.2</v>
      </c>
      <c r="AE52">
        <v>220</v>
      </c>
      <c r="AF52">
        <v>14.463032861173099</v>
      </c>
      <c r="AG52">
        <v>15.61387782327898</v>
      </c>
      <c r="AH52">
        <v>11.576275063721971</v>
      </c>
      <c r="AI52">
        <f>16.374103292694*1</f>
        <v>16.374103292693999</v>
      </c>
      <c r="AJ52">
        <f>3.37828697798053*1</f>
        <v>3.37828697798053</v>
      </c>
      <c r="AK52">
        <v>1</v>
      </c>
      <c r="AL52">
        <v>0</v>
      </c>
      <c r="AM52">
        <v>0</v>
      </c>
    </row>
    <row r="53" spans="1:39" hidden="1" x14ac:dyDescent="0.2">
      <c r="A53" t="s">
        <v>159</v>
      </c>
      <c r="B53" t="s">
        <v>160</v>
      </c>
      <c r="C53" t="s">
        <v>160</v>
      </c>
      <c r="D53" t="s">
        <v>5</v>
      </c>
      <c r="E53">
        <v>0</v>
      </c>
      <c r="F53">
        <v>0</v>
      </c>
      <c r="G53">
        <v>1</v>
      </c>
      <c r="H53">
        <v>0</v>
      </c>
      <c r="I53" t="s">
        <v>17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1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6.6</v>
      </c>
      <c r="AE53">
        <v>235</v>
      </c>
      <c r="AF53">
        <v>19.369747899159659</v>
      </c>
      <c r="AG53">
        <v>16.467706340497141</v>
      </c>
      <c r="AH53">
        <v>12.254060715544689</v>
      </c>
      <c r="AI53">
        <f>4.98321356019158*1</f>
        <v>4.9832135601915803</v>
      </c>
      <c r="AJ53">
        <f>1.05586736723219*1</f>
        <v>1.0558673672321901</v>
      </c>
      <c r="AK53">
        <v>1</v>
      </c>
      <c r="AL53">
        <v>0</v>
      </c>
      <c r="AM53">
        <v>0</v>
      </c>
    </row>
    <row r="54" spans="1:39" hidden="1" x14ac:dyDescent="0.2">
      <c r="A54" t="s">
        <v>161</v>
      </c>
      <c r="B54" t="s">
        <v>162</v>
      </c>
      <c r="C54" t="s">
        <v>162</v>
      </c>
      <c r="D54" t="s">
        <v>3</v>
      </c>
      <c r="E54">
        <v>1</v>
      </c>
      <c r="F54">
        <v>0</v>
      </c>
      <c r="G54">
        <v>0</v>
      </c>
      <c r="H54">
        <v>0</v>
      </c>
      <c r="I54" t="s">
        <v>17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1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4.4000000000000004</v>
      </c>
      <c r="AE54">
        <v>237</v>
      </c>
      <c r="AF54">
        <v>20.44547735965266</v>
      </c>
      <c r="AG54">
        <v>21.85518571620695</v>
      </c>
      <c r="AH54">
        <v>9.5541409023867132</v>
      </c>
      <c r="AI54">
        <f>15.0308515198257*1</f>
        <v>15.030851519825699</v>
      </c>
      <c r="AJ54">
        <f>3.17214024166544*1</f>
        <v>3.1721402416654398</v>
      </c>
      <c r="AK54">
        <v>1</v>
      </c>
      <c r="AL54">
        <v>0</v>
      </c>
      <c r="AM54">
        <v>0</v>
      </c>
    </row>
    <row r="55" spans="1:39" hidden="1" x14ac:dyDescent="0.2">
      <c r="A55" t="s">
        <v>163</v>
      </c>
      <c r="B55" t="s">
        <v>164</v>
      </c>
      <c r="C55" t="s">
        <v>164</v>
      </c>
      <c r="D55" t="s">
        <v>5</v>
      </c>
      <c r="E55">
        <v>0</v>
      </c>
      <c r="F55">
        <v>0</v>
      </c>
      <c r="G55">
        <v>1</v>
      </c>
      <c r="H55">
        <v>0</v>
      </c>
      <c r="I55" t="s">
        <v>17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1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4.9000000000000004</v>
      </c>
      <c r="AE55">
        <v>239</v>
      </c>
      <c r="AF55">
        <v>10.54794520547946</v>
      </c>
      <c r="AG55">
        <v>9.8436653323473031</v>
      </c>
      <c r="AH55">
        <v>15.289876768099861</v>
      </c>
      <c r="AI55">
        <f>14.7365987033757*1</f>
        <v>14.7365987033757</v>
      </c>
      <c r="AJ55">
        <f>2.75743068882802*1</f>
        <v>2.7574306888280198</v>
      </c>
      <c r="AK55">
        <v>1</v>
      </c>
      <c r="AL55">
        <v>0</v>
      </c>
      <c r="AM55">
        <v>0</v>
      </c>
    </row>
    <row r="56" spans="1:39" hidden="1" x14ac:dyDescent="0.2">
      <c r="A56" t="s">
        <v>165</v>
      </c>
      <c r="B56" t="s">
        <v>166</v>
      </c>
      <c r="C56" t="s">
        <v>166</v>
      </c>
      <c r="D56" t="s">
        <v>6</v>
      </c>
      <c r="E56">
        <v>0</v>
      </c>
      <c r="F56">
        <v>0</v>
      </c>
      <c r="G56">
        <v>0</v>
      </c>
      <c r="H56">
        <v>1</v>
      </c>
      <c r="I56" t="s">
        <v>17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1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7.2</v>
      </c>
      <c r="AE56">
        <v>242</v>
      </c>
      <c r="AF56">
        <v>18.717429814450799</v>
      </c>
      <c r="AG56">
        <v>12.03742140482958</v>
      </c>
      <c r="AH56">
        <v>12.83333333333333</v>
      </c>
      <c r="AI56">
        <f>11.9876135981422*1</f>
        <v>11.9876135981422</v>
      </c>
      <c r="AJ56">
        <f>2.43480820165416*1</f>
        <v>2.4348082016541599</v>
      </c>
      <c r="AK56">
        <v>1</v>
      </c>
      <c r="AL56">
        <v>0</v>
      </c>
      <c r="AM56">
        <v>0</v>
      </c>
    </row>
    <row r="57" spans="1:39" hidden="1" x14ac:dyDescent="0.2">
      <c r="A57" t="s">
        <v>167</v>
      </c>
      <c r="B57" t="s">
        <v>168</v>
      </c>
      <c r="C57" t="s">
        <v>168</v>
      </c>
      <c r="D57" t="s">
        <v>4</v>
      </c>
      <c r="E57">
        <v>0</v>
      </c>
      <c r="F57">
        <v>1</v>
      </c>
      <c r="G57">
        <v>0</v>
      </c>
      <c r="H57">
        <v>0</v>
      </c>
      <c r="I57" t="s">
        <v>17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1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4.8</v>
      </c>
      <c r="AE57">
        <v>245</v>
      </c>
      <c r="AF57">
        <v>10.950853029974709</v>
      </c>
      <c r="AG57">
        <v>12.79919011336988</v>
      </c>
      <c r="AH57">
        <v>37.416622710622711</v>
      </c>
      <c r="AI57">
        <f>13.8279345439368*1</f>
        <v>13.8279345439368</v>
      </c>
      <c r="AJ57">
        <f>2.29853683033397*1</f>
        <v>2.2985368303339699</v>
      </c>
      <c r="AK57">
        <v>1</v>
      </c>
      <c r="AL57">
        <v>0</v>
      </c>
      <c r="AM57">
        <v>0</v>
      </c>
    </row>
    <row r="58" spans="1:39" hidden="1" x14ac:dyDescent="0.2">
      <c r="A58" t="s">
        <v>169</v>
      </c>
      <c r="B58" t="s">
        <v>170</v>
      </c>
      <c r="C58" t="s">
        <v>170</v>
      </c>
      <c r="D58" t="s">
        <v>4</v>
      </c>
      <c r="E58">
        <v>0</v>
      </c>
      <c r="F58">
        <v>1</v>
      </c>
      <c r="G58">
        <v>0</v>
      </c>
      <c r="H58">
        <v>0</v>
      </c>
      <c r="I58" t="s">
        <v>17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1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4.7</v>
      </c>
      <c r="AE58">
        <v>246</v>
      </c>
      <c r="AF58">
        <v>17.096774193548381</v>
      </c>
      <c r="AG58">
        <v>16.865072833606419</v>
      </c>
      <c r="AH58">
        <v>25.510226604147149</v>
      </c>
      <c r="AI58">
        <f>21.4820052107959*1</f>
        <v>21.482005210795901</v>
      </c>
      <c r="AJ58">
        <f>4.46104736082021*1</f>
        <v>4.4610473608202099</v>
      </c>
      <c r="AK58">
        <v>1</v>
      </c>
      <c r="AL58">
        <v>0</v>
      </c>
      <c r="AM58">
        <v>0</v>
      </c>
    </row>
    <row r="59" spans="1:39" hidden="1" x14ac:dyDescent="0.2">
      <c r="A59" t="s">
        <v>171</v>
      </c>
      <c r="B59" t="s">
        <v>172</v>
      </c>
      <c r="C59" t="s">
        <v>173</v>
      </c>
      <c r="D59" t="s">
        <v>5</v>
      </c>
      <c r="E59">
        <v>0</v>
      </c>
      <c r="F59">
        <v>0</v>
      </c>
      <c r="G59">
        <v>1</v>
      </c>
      <c r="H59">
        <v>0</v>
      </c>
      <c r="I59" t="s">
        <v>17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1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5.7</v>
      </c>
      <c r="AE59">
        <v>253</v>
      </c>
      <c r="AF59">
        <v>22.093204892616001</v>
      </c>
      <c r="AG59">
        <v>13.01031943520778</v>
      </c>
      <c r="AH59">
        <v>34.321846580811417</v>
      </c>
      <c r="AI59">
        <f>25.1397081339971*1</f>
        <v>25.1397081339971</v>
      </c>
      <c r="AJ59">
        <f>3.97930294595073*1</f>
        <v>3.9793029459507299</v>
      </c>
      <c r="AK59">
        <v>1</v>
      </c>
      <c r="AL59">
        <v>0</v>
      </c>
      <c r="AM59">
        <v>0</v>
      </c>
    </row>
    <row r="60" spans="1:39" hidden="1" x14ac:dyDescent="0.2">
      <c r="A60" t="s">
        <v>174</v>
      </c>
      <c r="B60" t="s">
        <v>175</v>
      </c>
      <c r="C60" t="s">
        <v>175</v>
      </c>
      <c r="D60" t="s">
        <v>4</v>
      </c>
      <c r="E60">
        <v>0</v>
      </c>
      <c r="F60">
        <v>1</v>
      </c>
      <c r="G60">
        <v>0</v>
      </c>
      <c r="H60">
        <v>0</v>
      </c>
      <c r="I60" t="s">
        <v>17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1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4.5</v>
      </c>
      <c r="AE60">
        <v>258</v>
      </c>
      <c r="AF60">
        <v>0</v>
      </c>
      <c r="AG60">
        <v>0</v>
      </c>
      <c r="AH60">
        <v>0</v>
      </c>
      <c r="AI60">
        <f>0*1</f>
        <v>0</v>
      </c>
      <c r="AJ60">
        <f>0*1</f>
        <v>0</v>
      </c>
      <c r="AK60">
        <v>1</v>
      </c>
      <c r="AL60">
        <v>0</v>
      </c>
      <c r="AM60">
        <v>0</v>
      </c>
    </row>
    <row r="61" spans="1:39" hidden="1" x14ac:dyDescent="0.2">
      <c r="A61" t="s">
        <v>176</v>
      </c>
      <c r="B61" t="s">
        <v>177</v>
      </c>
      <c r="C61" t="s">
        <v>178</v>
      </c>
      <c r="D61" t="s">
        <v>5</v>
      </c>
      <c r="E61">
        <v>0</v>
      </c>
      <c r="F61">
        <v>0</v>
      </c>
      <c r="G61">
        <v>1</v>
      </c>
      <c r="H61">
        <v>0</v>
      </c>
      <c r="I61" t="s">
        <v>18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1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5.0999999999999996</v>
      </c>
      <c r="AE61">
        <v>262</v>
      </c>
      <c r="AF61">
        <v>15.57291666666667</v>
      </c>
      <c r="AG61">
        <v>16.149030887922908</v>
      </c>
      <c r="AH61">
        <v>13.207632895090191</v>
      </c>
      <c r="AI61">
        <f>12.8867085356976*1</f>
        <v>12.886708535697601</v>
      </c>
      <c r="AJ61">
        <f>2.44743408501168*1</f>
        <v>2.4474340850116798</v>
      </c>
      <c r="AK61">
        <v>1</v>
      </c>
      <c r="AL61">
        <v>0</v>
      </c>
      <c r="AM61">
        <v>0</v>
      </c>
    </row>
    <row r="62" spans="1:39" hidden="1" x14ac:dyDescent="0.2">
      <c r="A62" t="s">
        <v>179</v>
      </c>
      <c r="B62" t="s">
        <v>180</v>
      </c>
      <c r="C62" t="s">
        <v>180</v>
      </c>
      <c r="D62" t="s">
        <v>6</v>
      </c>
      <c r="E62">
        <v>0</v>
      </c>
      <c r="F62">
        <v>0</v>
      </c>
      <c r="G62">
        <v>0</v>
      </c>
      <c r="H62">
        <v>1</v>
      </c>
      <c r="I62" t="s">
        <v>18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1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5.5</v>
      </c>
      <c r="AE62">
        <v>265</v>
      </c>
      <c r="AF62">
        <v>16.756966111635339</v>
      </c>
      <c r="AG62">
        <v>18.223197190387701</v>
      </c>
      <c r="AH62">
        <v>15.238012854144721</v>
      </c>
      <c r="AI62">
        <f>10.1007709839827*1</f>
        <v>10.1007709839827</v>
      </c>
      <c r="AJ62">
        <f>1.91815870102785*1</f>
        <v>1.91815870102785</v>
      </c>
      <c r="AK62">
        <v>1</v>
      </c>
      <c r="AL62">
        <v>0</v>
      </c>
      <c r="AM62">
        <v>0</v>
      </c>
    </row>
    <row r="63" spans="1:39" hidden="1" x14ac:dyDescent="0.2">
      <c r="A63" t="s">
        <v>181</v>
      </c>
      <c r="B63" t="s">
        <v>182</v>
      </c>
      <c r="C63" t="s">
        <v>183</v>
      </c>
      <c r="D63" t="s">
        <v>5</v>
      </c>
      <c r="E63">
        <v>0</v>
      </c>
      <c r="F63">
        <v>0</v>
      </c>
      <c r="G63">
        <v>1</v>
      </c>
      <c r="H63">
        <v>0</v>
      </c>
      <c r="I63" t="s">
        <v>18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1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4.8</v>
      </c>
      <c r="AE63">
        <v>267</v>
      </c>
      <c r="AF63">
        <v>11.768746884427539</v>
      </c>
      <c r="AG63">
        <v>9.0387140459286179</v>
      </c>
      <c r="AH63">
        <v>12.177435163273451</v>
      </c>
      <c r="AI63">
        <f>10.374293543048*1</f>
        <v>10.374293543047999</v>
      </c>
      <c r="AJ63">
        <f>2.16287214604299*1</f>
        <v>2.1628721460429898</v>
      </c>
      <c r="AK63">
        <v>1</v>
      </c>
      <c r="AL63">
        <v>0</v>
      </c>
      <c r="AM63">
        <v>0</v>
      </c>
    </row>
    <row r="64" spans="1:39" hidden="1" x14ac:dyDescent="0.2">
      <c r="A64" t="s">
        <v>184</v>
      </c>
      <c r="B64" t="s">
        <v>185</v>
      </c>
      <c r="C64" t="s">
        <v>185</v>
      </c>
      <c r="D64" t="s">
        <v>5</v>
      </c>
      <c r="E64">
        <v>0</v>
      </c>
      <c r="F64">
        <v>0</v>
      </c>
      <c r="G64">
        <v>1</v>
      </c>
      <c r="H64">
        <v>0</v>
      </c>
      <c r="I64" t="s">
        <v>18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1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5.3</v>
      </c>
      <c r="AE64">
        <v>275</v>
      </c>
      <c r="AF64">
        <v>16.411886341614011</v>
      </c>
      <c r="AG64">
        <v>16.065163160331409</v>
      </c>
      <c r="AH64">
        <v>20.93957508258222</v>
      </c>
      <c r="AI64">
        <f>16.3545674091668*1</f>
        <v>16.354567409166801</v>
      </c>
      <c r="AJ64">
        <f>3.26926518163093*1</f>
        <v>3.2692651816309302</v>
      </c>
      <c r="AK64">
        <v>1</v>
      </c>
      <c r="AL64">
        <v>0</v>
      </c>
      <c r="AM64">
        <v>0</v>
      </c>
    </row>
    <row r="65" spans="1:39" x14ac:dyDescent="0.2">
      <c r="A65" t="s">
        <v>272</v>
      </c>
      <c r="B65" t="s">
        <v>273</v>
      </c>
      <c r="C65" t="s">
        <v>274</v>
      </c>
      <c r="D65" t="s">
        <v>5</v>
      </c>
      <c r="E65">
        <v>0</v>
      </c>
      <c r="F65">
        <v>0</v>
      </c>
      <c r="G65">
        <v>1</v>
      </c>
      <c r="H65">
        <v>0</v>
      </c>
      <c r="I65" t="s">
        <v>24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1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8.4</v>
      </c>
      <c r="AE65">
        <v>454</v>
      </c>
      <c r="AF65">
        <v>23.214285714285712</v>
      </c>
      <c r="AG65">
        <v>18.643677258812041</v>
      </c>
      <c r="AH65">
        <v>47.664635279666037</v>
      </c>
      <c r="AI65">
        <f>36.6004058098503*1</f>
        <v>36.600405809850301</v>
      </c>
      <c r="AJ65">
        <f>7.22656627182458*1</f>
        <v>7.2265662718245798</v>
      </c>
      <c r="AK65">
        <v>1</v>
      </c>
      <c r="AL65">
        <v>1</v>
      </c>
      <c r="AM65">
        <v>1</v>
      </c>
    </row>
    <row r="66" spans="1:39" x14ac:dyDescent="0.2">
      <c r="A66" t="s">
        <v>300</v>
      </c>
      <c r="B66" t="s">
        <v>301</v>
      </c>
      <c r="C66" t="s">
        <v>301</v>
      </c>
      <c r="D66" t="s">
        <v>6</v>
      </c>
      <c r="E66">
        <v>0</v>
      </c>
      <c r="F66">
        <v>0</v>
      </c>
      <c r="G66">
        <v>0</v>
      </c>
      <c r="H66">
        <v>1</v>
      </c>
      <c r="I66" t="s">
        <v>25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1</v>
      </c>
      <c r="Y66">
        <v>0</v>
      </c>
      <c r="Z66">
        <v>0</v>
      </c>
      <c r="AA66">
        <v>0</v>
      </c>
      <c r="AB66">
        <v>0</v>
      </c>
      <c r="AC66">
        <v>0</v>
      </c>
      <c r="AD66">
        <v>9</v>
      </c>
      <c r="AE66">
        <v>496</v>
      </c>
      <c r="AF66">
        <v>28.125</v>
      </c>
      <c r="AG66">
        <v>24.080722369986471</v>
      </c>
      <c r="AH66">
        <v>52.828942811574393</v>
      </c>
      <c r="AI66">
        <f>33.4737378480015*1</f>
        <v>33.473737848001498</v>
      </c>
      <c r="AJ66">
        <f>6.73132002742536*1</f>
        <v>6.73132002742536</v>
      </c>
      <c r="AK66">
        <v>1</v>
      </c>
      <c r="AL66">
        <v>0</v>
      </c>
      <c r="AM66">
        <v>1</v>
      </c>
    </row>
    <row r="67" spans="1:39" x14ac:dyDescent="0.2">
      <c r="A67" t="s">
        <v>298</v>
      </c>
      <c r="B67" t="s">
        <v>299</v>
      </c>
      <c r="C67" t="s">
        <v>299</v>
      </c>
      <c r="D67" t="s">
        <v>4</v>
      </c>
      <c r="E67">
        <v>0</v>
      </c>
      <c r="F67">
        <v>1</v>
      </c>
      <c r="G67">
        <v>0</v>
      </c>
      <c r="H67">
        <v>0</v>
      </c>
      <c r="I67" t="s">
        <v>25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1</v>
      </c>
      <c r="Y67">
        <v>0</v>
      </c>
      <c r="Z67">
        <v>0</v>
      </c>
      <c r="AA67">
        <v>0</v>
      </c>
      <c r="AB67">
        <v>0</v>
      </c>
      <c r="AC67">
        <v>0</v>
      </c>
      <c r="AD67">
        <v>4.5999999999999996</v>
      </c>
      <c r="AE67">
        <v>494</v>
      </c>
      <c r="AF67">
        <v>13.65853658536586</v>
      </c>
      <c r="AG67">
        <v>12.85603117025614</v>
      </c>
      <c r="AH67">
        <v>60.45454545454546</v>
      </c>
      <c r="AI67">
        <f>32.3071962022011*1</f>
        <v>32.307196202201098</v>
      </c>
      <c r="AJ67">
        <f>6.22863207922193*1</f>
        <v>6.2286320792219296</v>
      </c>
      <c r="AK67">
        <v>1</v>
      </c>
      <c r="AL67">
        <v>0</v>
      </c>
      <c r="AM67">
        <v>1</v>
      </c>
    </row>
    <row r="68" spans="1:39" hidden="1" x14ac:dyDescent="0.2">
      <c r="A68" t="s">
        <v>192</v>
      </c>
      <c r="B68" t="s">
        <v>193</v>
      </c>
      <c r="C68" t="s">
        <v>193</v>
      </c>
      <c r="D68" t="s">
        <v>5</v>
      </c>
      <c r="E68">
        <v>0</v>
      </c>
      <c r="F68">
        <v>0</v>
      </c>
      <c r="G68">
        <v>1</v>
      </c>
      <c r="H68">
        <v>0</v>
      </c>
      <c r="I68" t="s">
        <v>18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1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5</v>
      </c>
      <c r="AE68">
        <v>289</v>
      </c>
      <c r="AF68">
        <v>9.8305084745762699</v>
      </c>
      <c r="AG68">
        <v>7.7846365196181786</v>
      </c>
      <c r="AH68">
        <v>17.638207570003871</v>
      </c>
      <c r="AI68">
        <f>8.79996860927211*1</f>
        <v>8.7999686092721099</v>
      </c>
      <c r="AJ68">
        <f>1.79037814148082*1</f>
        <v>1.79037814148082</v>
      </c>
      <c r="AK68">
        <v>1</v>
      </c>
      <c r="AL68">
        <v>0</v>
      </c>
      <c r="AM68">
        <v>0</v>
      </c>
    </row>
    <row r="69" spans="1:39" hidden="1" x14ac:dyDescent="0.2">
      <c r="A69" t="s">
        <v>194</v>
      </c>
      <c r="B69" t="s">
        <v>195</v>
      </c>
      <c r="C69" t="s">
        <v>195</v>
      </c>
      <c r="D69" t="s">
        <v>5</v>
      </c>
      <c r="E69">
        <v>0</v>
      </c>
      <c r="F69">
        <v>0</v>
      </c>
      <c r="G69">
        <v>1</v>
      </c>
      <c r="H69">
        <v>0</v>
      </c>
      <c r="I69" t="s">
        <v>19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1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5</v>
      </c>
      <c r="AE69">
        <v>291</v>
      </c>
      <c r="AF69">
        <v>10.58287742507312</v>
      </c>
      <c r="AG69">
        <v>7.7255428445449299</v>
      </c>
      <c r="AH69">
        <v>11.59260101067377</v>
      </c>
      <c r="AI69">
        <f>7.3677999939984*1</f>
        <v>7.3677999939983998</v>
      </c>
      <c r="AJ69">
        <f>1.59607153735544*1</f>
        <v>1.5960715373554399</v>
      </c>
      <c r="AK69">
        <v>1</v>
      </c>
      <c r="AL69">
        <v>0</v>
      </c>
      <c r="AM69">
        <v>0</v>
      </c>
    </row>
    <row r="70" spans="1:39" hidden="1" x14ac:dyDescent="0.2">
      <c r="A70" t="s">
        <v>196</v>
      </c>
      <c r="B70" t="s">
        <v>197</v>
      </c>
      <c r="C70" t="s">
        <v>196</v>
      </c>
      <c r="D70" t="s">
        <v>5</v>
      </c>
      <c r="E70">
        <v>0</v>
      </c>
      <c r="F70">
        <v>0</v>
      </c>
      <c r="G70">
        <v>1</v>
      </c>
      <c r="H70">
        <v>0</v>
      </c>
      <c r="I70" t="s">
        <v>19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1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5</v>
      </c>
      <c r="AE70">
        <v>295</v>
      </c>
      <c r="AF70">
        <v>17.261904761904759</v>
      </c>
      <c r="AG70">
        <v>19.227695080635069</v>
      </c>
      <c r="AH70">
        <v>17.341859064802801</v>
      </c>
      <c r="AI70">
        <f>12.3041690889497*1</f>
        <v>12.304169088949701</v>
      </c>
      <c r="AJ70">
        <f>2.51868043365372*1</f>
        <v>2.5186804336537199</v>
      </c>
      <c r="AK70">
        <v>1</v>
      </c>
      <c r="AL70">
        <v>0</v>
      </c>
      <c r="AM70">
        <v>0</v>
      </c>
    </row>
    <row r="71" spans="1:39" hidden="1" x14ac:dyDescent="0.2">
      <c r="A71" t="s">
        <v>198</v>
      </c>
      <c r="B71" t="s">
        <v>199</v>
      </c>
      <c r="C71" t="s">
        <v>199</v>
      </c>
      <c r="D71" t="s">
        <v>4</v>
      </c>
      <c r="E71">
        <v>0</v>
      </c>
      <c r="F71">
        <v>1</v>
      </c>
      <c r="G71">
        <v>0</v>
      </c>
      <c r="H71">
        <v>0</v>
      </c>
      <c r="I71" t="s">
        <v>19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1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4.5</v>
      </c>
      <c r="AE71">
        <v>296</v>
      </c>
      <c r="AF71">
        <v>11.22222222222222</v>
      </c>
      <c r="AG71">
        <v>13.27961125795715</v>
      </c>
      <c r="AH71">
        <v>10.545024867757681</v>
      </c>
      <c r="AI71">
        <f>9.54169973947902*1</f>
        <v>9.5416997394790197</v>
      </c>
      <c r="AJ71">
        <f>2.21079430058808*1</f>
        <v>2.2107943005880801</v>
      </c>
      <c r="AK71">
        <v>1</v>
      </c>
      <c r="AL71">
        <v>0</v>
      </c>
      <c r="AM71">
        <v>0</v>
      </c>
    </row>
    <row r="72" spans="1:39" hidden="1" x14ac:dyDescent="0.2">
      <c r="A72" t="s">
        <v>200</v>
      </c>
      <c r="B72" t="s">
        <v>201</v>
      </c>
      <c r="C72" t="s">
        <v>201</v>
      </c>
      <c r="D72" t="s">
        <v>5</v>
      </c>
      <c r="E72">
        <v>0</v>
      </c>
      <c r="F72">
        <v>0</v>
      </c>
      <c r="G72">
        <v>1</v>
      </c>
      <c r="H72">
        <v>0</v>
      </c>
      <c r="I72" t="s">
        <v>19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1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5.8</v>
      </c>
      <c r="AE72">
        <v>302</v>
      </c>
      <c r="AF72">
        <v>19.936030480973528</v>
      </c>
      <c r="AG72">
        <v>12.88801188994467</v>
      </c>
      <c r="AH72">
        <v>10.483563272609439</v>
      </c>
      <c r="AI72">
        <f>25.890803603238*1</f>
        <v>25.890803603237998</v>
      </c>
      <c r="AJ72">
        <f>5.3327681697063*1</f>
        <v>5.3327681697063003</v>
      </c>
      <c r="AK72">
        <v>1</v>
      </c>
      <c r="AL72">
        <v>0</v>
      </c>
      <c r="AM72">
        <v>0</v>
      </c>
    </row>
    <row r="73" spans="1:39" hidden="1" x14ac:dyDescent="0.2">
      <c r="A73" t="s">
        <v>202</v>
      </c>
      <c r="B73" t="s">
        <v>203</v>
      </c>
      <c r="C73" t="s">
        <v>203</v>
      </c>
      <c r="D73" t="s">
        <v>3</v>
      </c>
      <c r="E73">
        <v>1</v>
      </c>
      <c r="F73">
        <v>0</v>
      </c>
      <c r="G73">
        <v>0</v>
      </c>
      <c r="H73">
        <v>0</v>
      </c>
      <c r="I73" t="s">
        <v>19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1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5</v>
      </c>
      <c r="AE73">
        <v>303</v>
      </c>
      <c r="AF73">
        <v>17.51474233553499</v>
      </c>
      <c r="AG73">
        <v>17.949397169529689</v>
      </c>
      <c r="AH73">
        <v>13.72067965954067</v>
      </c>
      <c r="AI73">
        <f>10.9544461614155*1</f>
        <v>10.9544461614155</v>
      </c>
      <c r="AJ73">
        <f>1.82664840738354*1</f>
        <v>1.8266484073835401</v>
      </c>
      <c r="AK73">
        <v>1</v>
      </c>
      <c r="AL73">
        <v>0</v>
      </c>
      <c r="AM73">
        <v>0</v>
      </c>
    </row>
    <row r="74" spans="1:39" hidden="1" x14ac:dyDescent="0.2">
      <c r="A74" t="s">
        <v>204</v>
      </c>
      <c r="B74" t="s">
        <v>205</v>
      </c>
      <c r="C74" t="s">
        <v>206</v>
      </c>
      <c r="D74" t="s">
        <v>6</v>
      </c>
      <c r="E74">
        <v>0</v>
      </c>
      <c r="F74">
        <v>0</v>
      </c>
      <c r="G74">
        <v>0</v>
      </c>
      <c r="H74">
        <v>1</v>
      </c>
      <c r="I74" t="s">
        <v>19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1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5.5</v>
      </c>
      <c r="AE74">
        <v>306</v>
      </c>
      <c r="AF74">
        <v>16.207757954818991</v>
      </c>
      <c r="AG74">
        <v>13.83898529547564</v>
      </c>
      <c r="AH74">
        <v>24.36</v>
      </c>
      <c r="AI74">
        <f>5.62382466798203*1</f>
        <v>5.6238246679820296</v>
      </c>
      <c r="AJ74">
        <f>1.25837785150976*1</f>
        <v>1.2583778515097599</v>
      </c>
      <c r="AK74">
        <v>1</v>
      </c>
      <c r="AL74">
        <v>0</v>
      </c>
      <c r="AM74">
        <v>0</v>
      </c>
    </row>
    <row r="75" spans="1:39" hidden="1" x14ac:dyDescent="0.2">
      <c r="A75" t="s">
        <v>207</v>
      </c>
      <c r="B75" t="s">
        <v>208</v>
      </c>
      <c r="C75" t="s">
        <v>207</v>
      </c>
      <c r="D75" t="s">
        <v>6</v>
      </c>
      <c r="E75">
        <v>0</v>
      </c>
      <c r="F75">
        <v>0</v>
      </c>
      <c r="G75">
        <v>0</v>
      </c>
      <c r="H75">
        <v>1</v>
      </c>
      <c r="I75" t="s">
        <v>19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1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5.6</v>
      </c>
      <c r="AE75">
        <v>307</v>
      </c>
      <c r="AF75">
        <v>18.018742932391991</v>
      </c>
      <c r="AG75">
        <v>21.294116622419811</v>
      </c>
      <c r="AH75">
        <v>10.365451816823461</v>
      </c>
      <c r="AI75">
        <f>6.83088526813108*1</f>
        <v>6.8308852681310803</v>
      </c>
      <c r="AJ75">
        <f>1.45866216775123*1</f>
        <v>1.4586621677512299</v>
      </c>
      <c r="AK75">
        <v>1</v>
      </c>
      <c r="AL75">
        <v>0</v>
      </c>
      <c r="AM75">
        <v>0</v>
      </c>
    </row>
    <row r="76" spans="1:39" hidden="1" x14ac:dyDescent="0.2">
      <c r="A76" t="s">
        <v>209</v>
      </c>
      <c r="B76" t="s">
        <v>210</v>
      </c>
      <c r="C76" t="s">
        <v>210</v>
      </c>
      <c r="D76" t="s">
        <v>4</v>
      </c>
      <c r="E76">
        <v>0</v>
      </c>
      <c r="F76">
        <v>1</v>
      </c>
      <c r="G76">
        <v>0</v>
      </c>
      <c r="H76">
        <v>0</v>
      </c>
      <c r="I76" t="s">
        <v>19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1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4.9000000000000004</v>
      </c>
      <c r="AE76">
        <v>310</v>
      </c>
      <c r="AF76">
        <v>15.421403933130851</v>
      </c>
      <c r="AG76">
        <v>10.15397038039155</v>
      </c>
      <c r="AH76">
        <v>34.802739952257191</v>
      </c>
      <c r="AI76">
        <f>14.682400152429*1</f>
        <v>14.682400152429</v>
      </c>
      <c r="AJ76">
        <f>2.61751288473578*1</f>
        <v>2.6175128847357798</v>
      </c>
      <c r="AK76">
        <v>1</v>
      </c>
      <c r="AL76">
        <v>0</v>
      </c>
      <c r="AM76">
        <v>0</v>
      </c>
    </row>
    <row r="77" spans="1:39" hidden="1" x14ac:dyDescent="0.2">
      <c r="A77" t="s">
        <v>211</v>
      </c>
      <c r="B77" t="s">
        <v>212</v>
      </c>
      <c r="C77" t="s">
        <v>212</v>
      </c>
      <c r="D77" t="s">
        <v>4</v>
      </c>
      <c r="E77">
        <v>0</v>
      </c>
      <c r="F77">
        <v>1</v>
      </c>
      <c r="G77">
        <v>0</v>
      </c>
      <c r="H77">
        <v>0</v>
      </c>
      <c r="I77" t="s">
        <v>19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1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4.5</v>
      </c>
      <c r="AE77">
        <v>312</v>
      </c>
      <c r="AF77">
        <v>11.53737424753761</v>
      </c>
      <c r="AG77">
        <v>12.25709128177836</v>
      </c>
      <c r="AH77">
        <v>13.283237477158281</v>
      </c>
      <c r="AI77">
        <f>8.77135495695473*1</f>
        <v>8.7713549569547293</v>
      </c>
      <c r="AJ77">
        <f>1.60381600646052*1</f>
        <v>1.60381600646052</v>
      </c>
      <c r="AK77">
        <v>1</v>
      </c>
      <c r="AL77">
        <v>0</v>
      </c>
      <c r="AM77">
        <v>0</v>
      </c>
    </row>
    <row r="78" spans="1:39" hidden="1" x14ac:dyDescent="0.2">
      <c r="A78" t="s">
        <v>213</v>
      </c>
      <c r="B78" t="s">
        <v>214</v>
      </c>
      <c r="C78" t="s">
        <v>214</v>
      </c>
      <c r="D78" t="s">
        <v>5</v>
      </c>
      <c r="E78">
        <v>0</v>
      </c>
      <c r="F78">
        <v>0</v>
      </c>
      <c r="G78">
        <v>1</v>
      </c>
      <c r="H78">
        <v>0</v>
      </c>
      <c r="I78" t="s">
        <v>20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1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5.0999999999999996</v>
      </c>
      <c r="AE78">
        <v>326</v>
      </c>
      <c r="AF78">
        <v>0</v>
      </c>
      <c r="AG78">
        <v>0</v>
      </c>
      <c r="AH78">
        <v>0</v>
      </c>
      <c r="AI78">
        <f>0*1</f>
        <v>0</v>
      </c>
      <c r="AJ78">
        <f>0*1</f>
        <v>0</v>
      </c>
      <c r="AK78">
        <v>1</v>
      </c>
      <c r="AL78">
        <v>0</v>
      </c>
      <c r="AM78">
        <v>0</v>
      </c>
    </row>
    <row r="79" spans="1:39" hidden="1" x14ac:dyDescent="0.2">
      <c r="A79" t="s">
        <v>215</v>
      </c>
      <c r="B79" t="s">
        <v>216</v>
      </c>
      <c r="C79" t="s">
        <v>216</v>
      </c>
      <c r="D79" t="s">
        <v>3</v>
      </c>
      <c r="E79">
        <v>1</v>
      </c>
      <c r="F79">
        <v>0</v>
      </c>
      <c r="G79">
        <v>0</v>
      </c>
      <c r="H79">
        <v>0</v>
      </c>
      <c r="I79" t="s">
        <v>20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1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4.4000000000000004</v>
      </c>
      <c r="AE79">
        <v>347</v>
      </c>
      <c r="AF79">
        <v>16.20245211513496</v>
      </c>
      <c r="AG79">
        <v>35.336776511985477</v>
      </c>
      <c r="AH79">
        <v>13.245008305161081</v>
      </c>
      <c r="AI79">
        <f>13.0457702172526*1</f>
        <v>13.045770217252601</v>
      </c>
      <c r="AJ79">
        <f>2.04251211625913*1</f>
        <v>2.0425121162591302</v>
      </c>
      <c r="AK79">
        <v>1</v>
      </c>
      <c r="AL79">
        <v>0</v>
      </c>
      <c r="AM79">
        <v>0</v>
      </c>
    </row>
    <row r="80" spans="1:39" hidden="1" x14ac:dyDescent="0.2">
      <c r="A80" t="s">
        <v>217</v>
      </c>
      <c r="B80" t="s">
        <v>218</v>
      </c>
      <c r="C80" t="s">
        <v>218</v>
      </c>
      <c r="D80" t="s">
        <v>5</v>
      </c>
      <c r="E80">
        <v>0</v>
      </c>
      <c r="F80">
        <v>0</v>
      </c>
      <c r="G80">
        <v>1</v>
      </c>
      <c r="H80">
        <v>0</v>
      </c>
      <c r="I80" t="s">
        <v>20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1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5.8</v>
      </c>
      <c r="AE80">
        <v>349</v>
      </c>
      <c r="AF80">
        <v>0</v>
      </c>
      <c r="AG80">
        <v>0</v>
      </c>
      <c r="AH80">
        <v>0</v>
      </c>
      <c r="AI80">
        <f>0*1</f>
        <v>0</v>
      </c>
      <c r="AJ80">
        <f>0*1</f>
        <v>0</v>
      </c>
      <c r="AK80">
        <v>1</v>
      </c>
      <c r="AL80">
        <v>0</v>
      </c>
      <c r="AM80">
        <v>0</v>
      </c>
    </row>
    <row r="81" spans="1:39" hidden="1" x14ac:dyDescent="0.2">
      <c r="A81" t="s">
        <v>219</v>
      </c>
      <c r="B81" t="s">
        <v>220</v>
      </c>
      <c r="C81" t="s">
        <v>220</v>
      </c>
      <c r="D81" t="s">
        <v>5</v>
      </c>
      <c r="E81">
        <v>0</v>
      </c>
      <c r="F81">
        <v>0</v>
      </c>
      <c r="G81">
        <v>1</v>
      </c>
      <c r="H81">
        <v>0</v>
      </c>
      <c r="I81" t="s">
        <v>21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1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4.9000000000000004</v>
      </c>
      <c r="AE81">
        <v>354</v>
      </c>
      <c r="AF81">
        <v>13</v>
      </c>
      <c r="AG81">
        <v>11.847155213449961</v>
      </c>
      <c r="AH81">
        <v>7.1214285714285719</v>
      </c>
      <c r="AI81">
        <f>13.0309514491859*1</f>
        <v>13.030951449185901</v>
      </c>
      <c r="AJ81">
        <f>2.75859984114321*1</f>
        <v>2.75859984114321</v>
      </c>
      <c r="AK81">
        <v>1</v>
      </c>
      <c r="AL81">
        <v>0</v>
      </c>
      <c r="AM81">
        <v>0</v>
      </c>
    </row>
    <row r="82" spans="1:39" hidden="1" x14ac:dyDescent="0.2">
      <c r="A82" t="s">
        <v>188</v>
      </c>
      <c r="B82" t="s">
        <v>221</v>
      </c>
      <c r="C82" t="s">
        <v>222</v>
      </c>
      <c r="D82" t="s">
        <v>5</v>
      </c>
      <c r="E82">
        <v>0</v>
      </c>
      <c r="F82">
        <v>0</v>
      </c>
      <c r="G82">
        <v>1</v>
      </c>
      <c r="H82">
        <v>0</v>
      </c>
      <c r="I82" t="s">
        <v>21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1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5.2</v>
      </c>
      <c r="AE82">
        <v>355</v>
      </c>
      <c r="AF82">
        <v>13.872549019607829</v>
      </c>
      <c r="AG82">
        <v>13.277790805390479</v>
      </c>
      <c r="AH82">
        <v>11.87105050901018</v>
      </c>
      <c r="AI82">
        <f>13.4551033162971*1</f>
        <v>13.4551033162971</v>
      </c>
      <c r="AJ82">
        <f>2.72144526241799*1</f>
        <v>2.7214452624179901</v>
      </c>
      <c r="AK82">
        <v>1</v>
      </c>
      <c r="AL82">
        <v>0</v>
      </c>
      <c r="AM82">
        <v>0</v>
      </c>
    </row>
    <row r="83" spans="1:39" hidden="1" x14ac:dyDescent="0.2">
      <c r="A83" t="s">
        <v>223</v>
      </c>
      <c r="B83" t="s">
        <v>224</v>
      </c>
      <c r="C83" t="s">
        <v>224</v>
      </c>
      <c r="D83" t="s">
        <v>5</v>
      </c>
      <c r="E83">
        <v>0</v>
      </c>
      <c r="F83">
        <v>0</v>
      </c>
      <c r="G83">
        <v>1</v>
      </c>
      <c r="H83">
        <v>0</v>
      </c>
      <c r="I83" t="s">
        <v>21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1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5.2</v>
      </c>
      <c r="AE83">
        <v>362</v>
      </c>
      <c r="AF83">
        <v>14.34557096672008</v>
      </c>
      <c r="AG83">
        <v>15.60021848042223</v>
      </c>
      <c r="AH83">
        <v>7.4</v>
      </c>
      <c r="AI83">
        <f>10.1970292124146*1</f>
        <v>10.1970292124146</v>
      </c>
      <c r="AJ83">
        <f>1.96341644083993*1</f>
        <v>1.9634164408399299</v>
      </c>
      <c r="AK83">
        <v>1</v>
      </c>
      <c r="AL83">
        <v>0</v>
      </c>
      <c r="AM83">
        <v>0</v>
      </c>
    </row>
    <row r="84" spans="1:39" hidden="1" x14ac:dyDescent="0.2">
      <c r="A84" t="s">
        <v>225</v>
      </c>
      <c r="B84" t="s">
        <v>226</v>
      </c>
      <c r="C84" t="s">
        <v>226</v>
      </c>
      <c r="D84" t="s">
        <v>3</v>
      </c>
      <c r="E84">
        <v>1</v>
      </c>
      <c r="F84">
        <v>0</v>
      </c>
      <c r="G84">
        <v>0</v>
      </c>
      <c r="H84">
        <v>0</v>
      </c>
      <c r="I84" t="s">
        <v>21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1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4.5</v>
      </c>
      <c r="AE84">
        <v>365</v>
      </c>
      <c r="AF84">
        <v>0</v>
      </c>
      <c r="AG84">
        <v>0</v>
      </c>
      <c r="AH84">
        <v>0</v>
      </c>
      <c r="AI84">
        <f>0*1</f>
        <v>0</v>
      </c>
      <c r="AJ84">
        <f>0*1</f>
        <v>0</v>
      </c>
      <c r="AK84">
        <v>1</v>
      </c>
      <c r="AL84">
        <v>0</v>
      </c>
      <c r="AM84">
        <v>0</v>
      </c>
    </row>
    <row r="85" spans="1:39" hidden="1" x14ac:dyDescent="0.2">
      <c r="A85" t="s">
        <v>227</v>
      </c>
      <c r="B85" t="s">
        <v>228</v>
      </c>
      <c r="C85" t="s">
        <v>228</v>
      </c>
      <c r="D85" t="s">
        <v>6</v>
      </c>
      <c r="E85">
        <v>0</v>
      </c>
      <c r="F85">
        <v>0</v>
      </c>
      <c r="G85">
        <v>0</v>
      </c>
      <c r="H85">
        <v>1</v>
      </c>
      <c r="I85" t="s">
        <v>21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1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5.6</v>
      </c>
      <c r="AE85">
        <v>378</v>
      </c>
      <c r="AF85">
        <v>18.2387402753684</v>
      </c>
      <c r="AG85">
        <v>26.205933382186249</v>
      </c>
      <c r="AH85">
        <v>17.451617279567849</v>
      </c>
      <c r="AI85">
        <f>24.7391408893971*1</f>
        <v>24.739140889397099</v>
      </c>
      <c r="AJ85">
        <f>4.59529745395052*1</f>
        <v>4.5952974539505203</v>
      </c>
      <c r="AK85">
        <v>1</v>
      </c>
      <c r="AL85">
        <v>0</v>
      </c>
      <c r="AM85">
        <v>0</v>
      </c>
    </row>
    <row r="86" spans="1:39" hidden="1" x14ac:dyDescent="0.2">
      <c r="A86" t="s">
        <v>229</v>
      </c>
      <c r="B86" t="s">
        <v>230</v>
      </c>
      <c r="C86" t="s">
        <v>230</v>
      </c>
      <c r="D86" t="s">
        <v>5</v>
      </c>
      <c r="E86">
        <v>0</v>
      </c>
      <c r="F86">
        <v>0</v>
      </c>
      <c r="G86">
        <v>1</v>
      </c>
      <c r="H86">
        <v>0</v>
      </c>
      <c r="I86" t="s">
        <v>21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1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4.5</v>
      </c>
      <c r="AE86">
        <v>381</v>
      </c>
      <c r="AF86">
        <v>8.4129003496866162</v>
      </c>
      <c r="AG86">
        <v>9.5092542831370288</v>
      </c>
      <c r="AH86">
        <v>5.6147144918573497</v>
      </c>
      <c r="AI86">
        <f>8.96136975259079*1</f>
        <v>8.9613697525907892</v>
      </c>
      <c r="AJ86">
        <f>1.7684612177093*1</f>
        <v>1.7684612177093</v>
      </c>
      <c r="AK86">
        <v>1</v>
      </c>
      <c r="AL86">
        <v>0</v>
      </c>
      <c r="AM86">
        <v>0</v>
      </c>
    </row>
    <row r="87" spans="1:39" hidden="1" x14ac:dyDescent="0.2">
      <c r="A87" t="s">
        <v>231</v>
      </c>
      <c r="B87" t="s">
        <v>232</v>
      </c>
      <c r="C87" t="s">
        <v>232</v>
      </c>
      <c r="D87" t="s">
        <v>4</v>
      </c>
      <c r="E87">
        <v>0</v>
      </c>
      <c r="F87">
        <v>1</v>
      </c>
      <c r="G87">
        <v>0</v>
      </c>
      <c r="H87">
        <v>0</v>
      </c>
      <c r="I87" t="s">
        <v>22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1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7.1</v>
      </c>
      <c r="AE87">
        <v>389</v>
      </c>
      <c r="AF87">
        <v>25.482252212858839</v>
      </c>
      <c r="AG87">
        <v>27.531369293291789</v>
      </c>
      <c r="AH87">
        <v>24.173578697798309</v>
      </c>
      <c r="AI87">
        <f>13.0896950425535*1</f>
        <v>13.089695042553499</v>
      </c>
      <c r="AJ87">
        <f>2.45244858385705*1</f>
        <v>2.4524485838570498</v>
      </c>
      <c r="AK87">
        <v>1</v>
      </c>
      <c r="AL87">
        <v>1</v>
      </c>
      <c r="AM87">
        <v>0</v>
      </c>
    </row>
    <row r="88" spans="1:39" hidden="1" x14ac:dyDescent="0.2">
      <c r="A88" t="s">
        <v>233</v>
      </c>
      <c r="B88" t="s">
        <v>234</v>
      </c>
      <c r="C88" t="s">
        <v>234</v>
      </c>
      <c r="D88" t="s">
        <v>6</v>
      </c>
      <c r="E88">
        <v>0</v>
      </c>
      <c r="F88">
        <v>0</v>
      </c>
      <c r="G88">
        <v>0</v>
      </c>
      <c r="H88">
        <v>1</v>
      </c>
      <c r="I88" t="s">
        <v>22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1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7.1</v>
      </c>
      <c r="AE88">
        <v>398</v>
      </c>
      <c r="AF88">
        <v>16.2385911141326</v>
      </c>
      <c r="AG88">
        <v>16.466615608542821</v>
      </c>
      <c r="AH88">
        <v>26.30787906552905</v>
      </c>
      <c r="AI88">
        <f>20.8052795380912*1</f>
        <v>20.805279538091199</v>
      </c>
      <c r="AJ88">
        <f>4.18307319206749*1</f>
        <v>4.1830731920674902</v>
      </c>
      <c r="AK88">
        <v>1</v>
      </c>
      <c r="AL88">
        <v>0</v>
      </c>
      <c r="AM88">
        <v>0</v>
      </c>
    </row>
    <row r="89" spans="1:39" hidden="1" x14ac:dyDescent="0.2">
      <c r="A89" t="s">
        <v>86</v>
      </c>
      <c r="B89" t="s">
        <v>235</v>
      </c>
      <c r="C89" t="s">
        <v>235</v>
      </c>
      <c r="D89" t="s">
        <v>5</v>
      </c>
      <c r="E89">
        <v>0</v>
      </c>
      <c r="F89">
        <v>0</v>
      </c>
      <c r="G89">
        <v>1</v>
      </c>
      <c r="H89">
        <v>0</v>
      </c>
      <c r="I89" t="s">
        <v>22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1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5</v>
      </c>
      <c r="AE89">
        <v>400</v>
      </c>
      <c r="AF89">
        <v>10.1219512195122</v>
      </c>
      <c r="AG89">
        <v>12.032777429471899</v>
      </c>
      <c r="AH89">
        <v>9.9294117647058826</v>
      </c>
      <c r="AI89">
        <f>7.3251477901011*1</f>
        <v>7.3251477901011004</v>
      </c>
      <c r="AJ89">
        <f>1.44390648061531*1</f>
        <v>1.4439064806153099</v>
      </c>
      <c r="AK89">
        <v>1</v>
      </c>
      <c r="AL89">
        <v>0</v>
      </c>
      <c r="AM89">
        <v>0</v>
      </c>
    </row>
    <row r="90" spans="1:39" hidden="1" x14ac:dyDescent="0.2">
      <c r="A90" t="s">
        <v>236</v>
      </c>
      <c r="B90" t="s">
        <v>237</v>
      </c>
      <c r="C90" t="s">
        <v>237</v>
      </c>
      <c r="D90" t="s">
        <v>5</v>
      </c>
      <c r="E90">
        <v>0</v>
      </c>
      <c r="F90">
        <v>0</v>
      </c>
      <c r="G90">
        <v>1</v>
      </c>
      <c r="H90">
        <v>0</v>
      </c>
      <c r="I90" t="s">
        <v>22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1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5.3</v>
      </c>
      <c r="AE90">
        <v>401</v>
      </c>
      <c r="AF90">
        <v>11.35416666666667</v>
      </c>
      <c r="AG90">
        <v>10.63625166604338</v>
      </c>
      <c r="AH90">
        <v>7.8333333333333339</v>
      </c>
      <c r="AI90">
        <f>13.8902869660594*1</f>
        <v>13.890286966059399</v>
      </c>
      <c r="AJ90">
        <f>2.81879141187778*1</f>
        <v>2.8187914118777799</v>
      </c>
      <c r="AK90">
        <v>1</v>
      </c>
      <c r="AL90">
        <v>0</v>
      </c>
      <c r="AM90">
        <v>0</v>
      </c>
    </row>
    <row r="91" spans="1:39" hidden="1" x14ac:dyDescent="0.2">
      <c r="A91" t="s">
        <v>238</v>
      </c>
      <c r="B91" t="s">
        <v>239</v>
      </c>
      <c r="C91" t="s">
        <v>240</v>
      </c>
      <c r="D91" t="s">
        <v>5</v>
      </c>
      <c r="E91">
        <v>0</v>
      </c>
      <c r="F91">
        <v>0</v>
      </c>
      <c r="G91">
        <v>1</v>
      </c>
      <c r="H91">
        <v>0</v>
      </c>
      <c r="I91" t="s">
        <v>22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1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7.4</v>
      </c>
      <c r="AE91">
        <v>404</v>
      </c>
      <c r="AF91">
        <v>20.12987012987012</v>
      </c>
      <c r="AG91">
        <v>13.858410886856401</v>
      </c>
      <c r="AH91">
        <v>28.748086866836861</v>
      </c>
      <c r="AI91">
        <f>10.6978769384975*1</f>
        <v>10.697876938497499</v>
      </c>
      <c r="AJ91">
        <f>2.09738723639529*1</f>
        <v>2.0973872363952899</v>
      </c>
      <c r="AK91">
        <v>1</v>
      </c>
      <c r="AL91">
        <v>0</v>
      </c>
      <c r="AM91">
        <v>0</v>
      </c>
    </row>
    <row r="92" spans="1:39" x14ac:dyDescent="0.2">
      <c r="A92" t="s">
        <v>270</v>
      </c>
      <c r="B92" t="s">
        <v>271</v>
      </c>
      <c r="C92" t="s">
        <v>270</v>
      </c>
      <c r="D92" t="s">
        <v>5</v>
      </c>
      <c r="E92">
        <v>0</v>
      </c>
      <c r="F92">
        <v>0</v>
      </c>
      <c r="G92">
        <v>1</v>
      </c>
      <c r="H92">
        <v>0</v>
      </c>
      <c r="I92" t="s">
        <v>24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1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5.4</v>
      </c>
      <c r="AE92">
        <v>452</v>
      </c>
      <c r="AF92">
        <v>18.46153846153846</v>
      </c>
      <c r="AG92">
        <v>16.202018289652749</v>
      </c>
      <c r="AH92">
        <v>39.285676650816399</v>
      </c>
      <c r="AI92">
        <f>28.6451781358724*1</f>
        <v>28.645178135872399</v>
      </c>
      <c r="AJ92">
        <f>5.87892256545498*1</f>
        <v>5.8789225654549799</v>
      </c>
      <c r="AK92">
        <v>1</v>
      </c>
      <c r="AL92">
        <v>0</v>
      </c>
      <c r="AM92">
        <v>1</v>
      </c>
    </row>
    <row r="93" spans="1:39" hidden="1" x14ac:dyDescent="0.2">
      <c r="A93" t="s">
        <v>244</v>
      </c>
      <c r="B93" t="s">
        <v>245</v>
      </c>
      <c r="C93" t="s">
        <v>245</v>
      </c>
      <c r="D93" t="s">
        <v>5</v>
      </c>
      <c r="E93">
        <v>0</v>
      </c>
      <c r="F93">
        <v>0</v>
      </c>
      <c r="G93">
        <v>1</v>
      </c>
      <c r="H93">
        <v>0</v>
      </c>
      <c r="I93" t="s">
        <v>22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1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6.2</v>
      </c>
      <c r="AE93">
        <v>406</v>
      </c>
      <c r="AF93">
        <v>15.267044814598419</v>
      </c>
      <c r="AG93">
        <v>10.64165639256394</v>
      </c>
      <c r="AH93">
        <v>15.53704990395795</v>
      </c>
      <c r="AI93">
        <f>7.66168290940608*1</f>
        <v>7.6616829094060801</v>
      </c>
      <c r="AJ93">
        <f>1.56092848519704*1</f>
        <v>1.56092848519704</v>
      </c>
      <c r="AK93">
        <v>1</v>
      </c>
      <c r="AL93">
        <v>0</v>
      </c>
      <c r="AM93">
        <v>0</v>
      </c>
    </row>
    <row r="94" spans="1:39" hidden="1" x14ac:dyDescent="0.2">
      <c r="A94" t="s">
        <v>246</v>
      </c>
      <c r="B94" t="s">
        <v>247</v>
      </c>
      <c r="C94" t="s">
        <v>247</v>
      </c>
      <c r="D94" t="s">
        <v>5</v>
      </c>
      <c r="E94">
        <v>0</v>
      </c>
      <c r="F94">
        <v>0</v>
      </c>
      <c r="G94">
        <v>1</v>
      </c>
      <c r="H94">
        <v>0</v>
      </c>
      <c r="I94" t="s">
        <v>22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1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6.3</v>
      </c>
      <c r="AE94">
        <v>413</v>
      </c>
      <c r="AF94">
        <v>16.458333333333339</v>
      </c>
      <c r="AG94">
        <v>11.817827981747611</v>
      </c>
      <c r="AH94">
        <v>18.988340726276199</v>
      </c>
      <c r="AI94">
        <f>15.548196782776*1</f>
        <v>15.548196782775999</v>
      </c>
      <c r="AJ94">
        <f>3.08985828779851*1</f>
        <v>3.0898582877985099</v>
      </c>
      <c r="AK94">
        <v>1</v>
      </c>
      <c r="AL94">
        <v>0</v>
      </c>
      <c r="AM94">
        <v>0</v>
      </c>
    </row>
    <row r="95" spans="1:39" hidden="1" x14ac:dyDescent="0.2">
      <c r="A95" t="s">
        <v>248</v>
      </c>
      <c r="B95" t="s">
        <v>249</v>
      </c>
      <c r="C95" t="s">
        <v>248</v>
      </c>
      <c r="D95" t="s">
        <v>4</v>
      </c>
      <c r="E95">
        <v>0</v>
      </c>
      <c r="F95">
        <v>1</v>
      </c>
      <c r="G95">
        <v>0</v>
      </c>
      <c r="H95">
        <v>0</v>
      </c>
      <c r="I95" t="s">
        <v>22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1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6.5</v>
      </c>
      <c r="AE95">
        <v>415</v>
      </c>
      <c r="AF95">
        <v>20.324520724090188</v>
      </c>
      <c r="AG95">
        <v>21.254914506993689</v>
      </c>
      <c r="AH95">
        <v>5.4841314937537318</v>
      </c>
      <c r="AI95">
        <f>10.0909013215347*1</f>
        <v>10.0909013215347</v>
      </c>
      <c r="AJ95">
        <f>1.74969100248477*1</f>
        <v>1.7496910024847701</v>
      </c>
      <c r="AK95">
        <v>1</v>
      </c>
      <c r="AL95">
        <v>0</v>
      </c>
      <c r="AM95">
        <v>0</v>
      </c>
    </row>
    <row r="96" spans="1:39" hidden="1" x14ac:dyDescent="0.2">
      <c r="A96" t="s">
        <v>250</v>
      </c>
      <c r="B96" t="s">
        <v>251</v>
      </c>
      <c r="C96" t="s">
        <v>250</v>
      </c>
      <c r="D96" t="s">
        <v>5</v>
      </c>
      <c r="E96">
        <v>0</v>
      </c>
      <c r="F96">
        <v>0</v>
      </c>
      <c r="G96">
        <v>1</v>
      </c>
      <c r="H96">
        <v>0</v>
      </c>
      <c r="I96" t="s">
        <v>23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1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6.3</v>
      </c>
      <c r="AE96">
        <v>423</v>
      </c>
      <c r="AF96">
        <v>17.97468354430379</v>
      </c>
      <c r="AG96">
        <v>24.420816675071361</v>
      </c>
      <c r="AH96">
        <v>10.956277018981741</v>
      </c>
      <c r="AI96">
        <f>12.0837766001158*1</f>
        <v>12.083776600115799</v>
      </c>
      <c r="AJ96">
        <f>2.76360007135422*1</f>
        <v>2.7636000713542201</v>
      </c>
      <c r="AK96">
        <v>1</v>
      </c>
      <c r="AL96">
        <v>0</v>
      </c>
      <c r="AM96">
        <v>0</v>
      </c>
    </row>
    <row r="97" spans="1:39" hidden="1" x14ac:dyDescent="0.2">
      <c r="A97" t="s">
        <v>252</v>
      </c>
      <c r="B97" t="s">
        <v>253</v>
      </c>
      <c r="C97" t="s">
        <v>253</v>
      </c>
      <c r="D97" t="s">
        <v>5</v>
      </c>
      <c r="E97">
        <v>0</v>
      </c>
      <c r="F97">
        <v>0</v>
      </c>
      <c r="G97">
        <v>1</v>
      </c>
      <c r="H97">
        <v>0</v>
      </c>
      <c r="I97" t="s">
        <v>23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1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6.2</v>
      </c>
      <c r="AE97">
        <v>427</v>
      </c>
      <c r="AF97">
        <v>17</v>
      </c>
      <c r="AG97">
        <v>16.53538479895677</v>
      </c>
      <c r="AH97">
        <v>13.264311041686931</v>
      </c>
      <c r="AI97">
        <f>12.2528981371123*1</f>
        <v>12.2528981371123</v>
      </c>
      <c r="AJ97">
        <f>2.41595627836224*1</f>
        <v>2.4159562783622399</v>
      </c>
      <c r="AK97">
        <v>1</v>
      </c>
      <c r="AL97">
        <v>0</v>
      </c>
      <c r="AM97">
        <v>0</v>
      </c>
    </row>
    <row r="98" spans="1:39" hidden="1" x14ac:dyDescent="0.2">
      <c r="A98" t="s">
        <v>254</v>
      </c>
      <c r="B98" t="s">
        <v>255</v>
      </c>
      <c r="C98" t="s">
        <v>256</v>
      </c>
      <c r="D98" t="s">
        <v>3</v>
      </c>
      <c r="E98">
        <v>1</v>
      </c>
      <c r="F98">
        <v>0</v>
      </c>
      <c r="G98">
        <v>0</v>
      </c>
      <c r="H98">
        <v>0</v>
      </c>
      <c r="I98" t="s">
        <v>23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1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5.4</v>
      </c>
      <c r="AE98">
        <v>428</v>
      </c>
      <c r="AF98">
        <v>16.045089625927481</v>
      </c>
      <c r="AG98">
        <v>18.822743291353738</v>
      </c>
      <c r="AH98">
        <v>6.2809723380068192</v>
      </c>
      <c r="AI98">
        <f>5.56577581045239*1</f>
        <v>5.56577581045239</v>
      </c>
      <c r="AJ98">
        <f>1.08160364326915*1</f>
        <v>1.08160364326915</v>
      </c>
      <c r="AK98">
        <v>1</v>
      </c>
      <c r="AL98">
        <v>0</v>
      </c>
      <c r="AM98">
        <v>0</v>
      </c>
    </row>
    <row r="99" spans="1:39" hidden="1" x14ac:dyDescent="0.2">
      <c r="A99" t="s">
        <v>257</v>
      </c>
      <c r="B99" t="s">
        <v>258</v>
      </c>
      <c r="C99" t="s">
        <v>258</v>
      </c>
      <c r="D99" t="s">
        <v>5</v>
      </c>
      <c r="E99">
        <v>0</v>
      </c>
      <c r="F99">
        <v>0</v>
      </c>
      <c r="G99">
        <v>1</v>
      </c>
      <c r="H99">
        <v>0</v>
      </c>
      <c r="I99" t="s">
        <v>23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1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9.1</v>
      </c>
      <c r="AE99">
        <v>429</v>
      </c>
      <c r="AF99">
        <v>23.259561082150231</v>
      </c>
      <c r="AG99">
        <v>20.689116159461431</v>
      </c>
      <c r="AH99">
        <v>23.33550880601473</v>
      </c>
      <c r="AI99">
        <f>8.92356288788272*1</f>
        <v>8.9235628878827207</v>
      </c>
      <c r="AJ99">
        <f>1.86924637366491*1</f>
        <v>1.8692463736649101</v>
      </c>
      <c r="AK99">
        <v>1</v>
      </c>
      <c r="AL99">
        <v>0</v>
      </c>
      <c r="AM99">
        <v>0</v>
      </c>
    </row>
    <row r="100" spans="1:39" hidden="1" x14ac:dyDescent="0.2">
      <c r="A100" t="s">
        <v>259</v>
      </c>
      <c r="B100" t="s">
        <v>260</v>
      </c>
      <c r="C100" t="s">
        <v>260</v>
      </c>
      <c r="D100" t="s">
        <v>4</v>
      </c>
      <c r="E100">
        <v>0</v>
      </c>
      <c r="F100">
        <v>1</v>
      </c>
      <c r="G100">
        <v>0</v>
      </c>
      <c r="H100">
        <v>0</v>
      </c>
      <c r="I100" t="s">
        <v>23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1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6.1</v>
      </c>
      <c r="AE100">
        <v>431</v>
      </c>
      <c r="AF100">
        <v>19.302325581395351</v>
      </c>
      <c r="AG100">
        <v>15.445688052726959</v>
      </c>
      <c r="AH100">
        <v>22.313960824947682</v>
      </c>
      <c r="AI100">
        <f>12.0315203966916*1</f>
        <v>12.031520396691599</v>
      </c>
      <c r="AJ100">
        <f>2.50402105407715*1</f>
        <v>2.5040210540771501</v>
      </c>
      <c r="AK100">
        <v>1</v>
      </c>
      <c r="AL100">
        <v>0</v>
      </c>
      <c r="AM100">
        <v>0</v>
      </c>
    </row>
    <row r="101" spans="1:39" hidden="1" x14ac:dyDescent="0.2">
      <c r="A101" t="s">
        <v>261</v>
      </c>
      <c r="B101" t="s">
        <v>262</v>
      </c>
      <c r="C101" t="s">
        <v>262</v>
      </c>
      <c r="D101" t="s">
        <v>6</v>
      </c>
      <c r="E101">
        <v>0</v>
      </c>
      <c r="F101">
        <v>0</v>
      </c>
      <c r="G101">
        <v>0</v>
      </c>
      <c r="H101">
        <v>1</v>
      </c>
      <c r="I101" t="s">
        <v>23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1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14.8</v>
      </c>
      <c r="AE101">
        <v>432</v>
      </c>
      <c r="AF101">
        <v>37.142857142857132</v>
      </c>
      <c r="AG101">
        <v>44.944018294597292</v>
      </c>
      <c r="AH101">
        <v>22.008104503683452</v>
      </c>
      <c r="AI101">
        <f>15.6378916017141*1</f>
        <v>15.637891601714101</v>
      </c>
      <c r="AJ101">
        <f>2.59877613394535*1</f>
        <v>2.5987761339453499</v>
      </c>
      <c r="AK101">
        <v>1</v>
      </c>
      <c r="AL101">
        <v>0</v>
      </c>
      <c r="AM101">
        <v>0</v>
      </c>
    </row>
    <row r="102" spans="1:39" hidden="1" x14ac:dyDescent="0.2">
      <c r="A102" t="s">
        <v>263</v>
      </c>
      <c r="B102" t="s">
        <v>264</v>
      </c>
      <c r="C102" t="s">
        <v>264</v>
      </c>
      <c r="D102" t="s">
        <v>5</v>
      </c>
      <c r="E102">
        <v>0</v>
      </c>
      <c r="F102">
        <v>0</v>
      </c>
      <c r="G102">
        <v>1</v>
      </c>
      <c r="H102">
        <v>0</v>
      </c>
      <c r="I102" t="s">
        <v>23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1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5.4</v>
      </c>
      <c r="AE102">
        <v>435</v>
      </c>
      <c r="AF102">
        <v>12.38095238095238</v>
      </c>
      <c r="AG102">
        <v>9.5491959166585119</v>
      </c>
      <c r="AH102">
        <v>8.0943594104308385</v>
      </c>
      <c r="AI102">
        <f>15.5909661235787*1</f>
        <v>15.590966123578699</v>
      </c>
      <c r="AJ102">
        <f>3.04838446584622*1</f>
        <v>3.0483844658462198</v>
      </c>
      <c r="AK102">
        <v>1</v>
      </c>
      <c r="AL102">
        <v>0</v>
      </c>
      <c r="AM102">
        <v>0</v>
      </c>
    </row>
    <row r="103" spans="1:39" hidden="1" x14ac:dyDescent="0.2">
      <c r="A103" t="s">
        <v>265</v>
      </c>
      <c r="B103" t="s">
        <v>266</v>
      </c>
      <c r="C103" t="s">
        <v>267</v>
      </c>
      <c r="D103" t="s">
        <v>5</v>
      </c>
      <c r="E103">
        <v>0</v>
      </c>
      <c r="F103">
        <v>0</v>
      </c>
      <c r="G103">
        <v>1</v>
      </c>
      <c r="H103">
        <v>0</v>
      </c>
      <c r="I103" t="s">
        <v>23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1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4.9000000000000004</v>
      </c>
      <c r="AE103">
        <v>437</v>
      </c>
      <c r="AF103">
        <v>11.015625</v>
      </c>
      <c r="AG103">
        <v>11.18539464312169</v>
      </c>
      <c r="AH103">
        <v>11.43207235865747</v>
      </c>
      <c r="AI103">
        <f>9.36804225632516*1</f>
        <v>9.3680422563251593</v>
      </c>
      <c r="AJ103">
        <f>1.84603897594887*1</f>
        <v>1.84603897594887</v>
      </c>
      <c r="AK103">
        <v>1</v>
      </c>
      <c r="AL103">
        <v>0</v>
      </c>
      <c r="AM103">
        <v>0</v>
      </c>
    </row>
    <row r="104" spans="1:39" hidden="1" x14ac:dyDescent="0.2">
      <c r="A104" t="s">
        <v>268</v>
      </c>
      <c r="B104" t="s">
        <v>269</v>
      </c>
      <c r="C104" t="s">
        <v>268</v>
      </c>
      <c r="D104" t="s">
        <v>4</v>
      </c>
      <c r="E104">
        <v>0</v>
      </c>
      <c r="F104">
        <v>1</v>
      </c>
      <c r="G104">
        <v>0</v>
      </c>
      <c r="H104">
        <v>0</v>
      </c>
      <c r="I104" t="s">
        <v>23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1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5.4</v>
      </c>
      <c r="AE104">
        <v>441</v>
      </c>
      <c r="AF104">
        <v>14.30769230769231</v>
      </c>
      <c r="AG104">
        <v>18.622710727802481</v>
      </c>
      <c r="AH104">
        <v>8.8396951451607322</v>
      </c>
      <c r="AI104">
        <f>9.83209753326346*1</f>
        <v>9.8320975332634593</v>
      </c>
      <c r="AJ104">
        <f>2.25528709608608*1</f>
        <v>2.25528709608608</v>
      </c>
      <c r="AK104">
        <v>1</v>
      </c>
      <c r="AL104">
        <v>0</v>
      </c>
      <c r="AM104">
        <v>0</v>
      </c>
    </row>
    <row r="105" spans="1:39" x14ac:dyDescent="0.2">
      <c r="A105" t="s">
        <v>186</v>
      </c>
      <c r="B105" t="s">
        <v>187</v>
      </c>
      <c r="C105" t="s">
        <v>187</v>
      </c>
      <c r="D105" t="s">
        <v>4</v>
      </c>
      <c r="E105">
        <v>0</v>
      </c>
      <c r="F105">
        <v>1</v>
      </c>
      <c r="G105">
        <v>0</v>
      </c>
      <c r="H105">
        <v>0</v>
      </c>
      <c r="I105" t="s">
        <v>18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1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4.3</v>
      </c>
      <c r="AE105">
        <v>276</v>
      </c>
      <c r="AF105">
        <v>15.810545005225061</v>
      </c>
      <c r="AG105">
        <v>12.662114713900269</v>
      </c>
      <c r="AH105">
        <v>24.817480846561839</v>
      </c>
      <c r="AI105">
        <f>26.6519808000435*1</f>
        <v>26.6519808000435</v>
      </c>
      <c r="AJ105">
        <f>5.51229877555244*1</f>
        <v>5.5122987755524404</v>
      </c>
      <c r="AK105">
        <v>1</v>
      </c>
      <c r="AL105">
        <v>1</v>
      </c>
      <c r="AM105">
        <v>1</v>
      </c>
    </row>
    <row r="106" spans="1:39" x14ac:dyDescent="0.2">
      <c r="A106" t="s">
        <v>351</v>
      </c>
      <c r="B106" t="s">
        <v>352</v>
      </c>
      <c r="C106" t="s">
        <v>351</v>
      </c>
      <c r="D106" t="s">
        <v>5</v>
      </c>
      <c r="E106">
        <v>0</v>
      </c>
      <c r="F106">
        <v>0</v>
      </c>
      <c r="G106">
        <v>1</v>
      </c>
      <c r="H106">
        <v>0</v>
      </c>
      <c r="I106" t="s">
        <v>28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1</v>
      </c>
      <c r="AB106">
        <v>0</v>
      </c>
      <c r="AC106">
        <v>0</v>
      </c>
      <c r="AD106">
        <v>9.8000000000000007</v>
      </c>
      <c r="AE106">
        <v>615</v>
      </c>
      <c r="AF106">
        <v>26.969493364586011</v>
      </c>
      <c r="AG106">
        <v>27.85135416171185</v>
      </c>
      <c r="AH106">
        <v>57.891733576365148</v>
      </c>
      <c r="AI106">
        <f>24.6175317972641*1</f>
        <v>24.6175317972641</v>
      </c>
      <c r="AJ106">
        <f>4.91677405544343*1</f>
        <v>4.9167740554434296</v>
      </c>
      <c r="AK106">
        <v>1</v>
      </c>
      <c r="AL106">
        <v>1</v>
      </c>
      <c r="AM106">
        <v>1</v>
      </c>
    </row>
    <row r="107" spans="1:39" hidden="1" x14ac:dyDescent="0.2">
      <c r="A107" t="s">
        <v>275</v>
      </c>
      <c r="B107" t="s">
        <v>276</v>
      </c>
      <c r="C107" t="s">
        <v>277</v>
      </c>
      <c r="D107" t="s">
        <v>5</v>
      </c>
      <c r="E107">
        <v>0</v>
      </c>
      <c r="F107">
        <v>0</v>
      </c>
      <c r="G107">
        <v>1</v>
      </c>
      <c r="H107">
        <v>0</v>
      </c>
      <c r="I107" t="s">
        <v>24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1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4.8</v>
      </c>
      <c r="AE107">
        <v>456</v>
      </c>
      <c r="AF107">
        <v>12.622950819672131</v>
      </c>
      <c r="AG107">
        <v>13.589453420745331</v>
      </c>
      <c r="AH107">
        <v>9.8499193873268318</v>
      </c>
      <c r="AI107">
        <f>11.4568005072508*1</f>
        <v>11.456800507250801</v>
      </c>
      <c r="AJ107">
        <f>2.03237662073082*1</f>
        <v>2.0323766207308198</v>
      </c>
      <c r="AK107">
        <v>1</v>
      </c>
      <c r="AL107">
        <v>0</v>
      </c>
      <c r="AM107">
        <v>0</v>
      </c>
    </row>
    <row r="108" spans="1:39" hidden="1" x14ac:dyDescent="0.2">
      <c r="A108" t="s">
        <v>278</v>
      </c>
      <c r="B108" t="s">
        <v>279</v>
      </c>
      <c r="C108" t="s">
        <v>280</v>
      </c>
      <c r="D108" t="s">
        <v>4</v>
      </c>
      <c r="E108">
        <v>0</v>
      </c>
      <c r="F108">
        <v>1</v>
      </c>
      <c r="G108">
        <v>0</v>
      </c>
      <c r="H108">
        <v>0</v>
      </c>
      <c r="I108" t="s">
        <v>24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1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5.2</v>
      </c>
      <c r="AE108">
        <v>457</v>
      </c>
      <c r="AF108">
        <v>16.64473684210526</v>
      </c>
      <c r="AG108">
        <v>21.463603779748279</v>
      </c>
      <c r="AH108">
        <v>11.348628065731599</v>
      </c>
      <c r="AI108">
        <f>5.78520238382221*1</f>
        <v>5.7852023838222104</v>
      </c>
      <c r="AJ108">
        <f>1.2018334995241*1</f>
        <v>1.2018334995241</v>
      </c>
      <c r="AK108">
        <v>1</v>
      </c>
      <c r="AL108">
        <v>0</v>
      </c>
      <c r="AM108">
        <v>0</v>
      </c>
    </row>
    <row r="109" spans="1:39" hidden="1" x14ac:dyDescent="0.2">
      <c r="A109" t="s">
        <v>281</v>
      </c>
      <c r="B109" t="s">
        <v>282</v>
      </c>
      <c r="C109" t="s">
        <v>282</v>
      </c>
      <c r="D109" t="s">
        <v>6</v>
      </c>
      <c r="E109">
        <v>0</v>
      </c>
      <c r="F109">
        <v>0</v>
      </c>
      <c r="G109">
        <v>0</v>
      </c>
      <c r="H109">
        <v>1</v>
      </c>
      <c r="I109" t="s">
        <v>24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1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6.9</v>
      </c>
      <c r="AE109">
        <v>463</v>
      </c>
      <c r="AF109">
        <v>15.958755015965719</v>
      </c>
      <c r="AG109">
        <v>20.45902315806789</v>
      </c>
      <c r="AH109">
        <v>10.93333333333333</v>
      </c>
      <c r="AI109">
        <f>12.7235088765241*1</f>
        <v>12.7235088765241</v>
      </c>
      <c r="AJ109">
        <f>2.00864720649467*1</f>
        <v>2.0086472064946701</v>
      </c>
      <c r="AK109">
        <v>1</v>
      </c>
      <c r="AL109">
        <v>0</v>
      </c>
      <c r="AM109">
        <v>0</v>
      </c>
    </row>
    <row r="110" spans="1:39" hidden="1" x14ac:dyDescent="0.2">
      <c r="A110" t="s">
        <v>283</v>
      </c>
      <c r="B110" t="s">
        <v>284</v>
      </c>
      <c r="C110" t="s">
        <v>77</v>
      </c>
      <c r="D110" t="s">
        <v>4</v>
      </c>
      <c r="E110">
        <v>0</v>
      </c>
      <c r="F110">
        <v>1</v>
      </c>
      <c r="G110">
        <v>0</v>
      </c>
      <c r="H110">
        <v>0</v>
      </c>
      <c r="I110" t="s">
        <v>24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1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4.4000000000000004</v>
      </c>
      <c r="AE110">
        <v>468</v>
      </c>
      <c r="AF110">
        <v>13.571428571428569</v>
      </c>
      <c r="AG110">
        <v>13.740982742599851</v>
      </c>
      <c r="AH110">
        <v>18.61935945604279</v>
      </c>
      <c r="AI110">
        <f>8.16666783909675*1</f>
        <v>8.1666678390967498</v>
      </c>
      <c r="AJ110">
        <f>1.40034913994219*1</f>
        <v>1.4003491399421899</v>
      </c>
      <c r="AK110">
        <v>1</v>
      </c>
      <c r="AL110">
        <v>0</v>
      </c>
      <c r="AM110">
        <v>0</v>
      </c>
    </row>
    <row r="111" spans="1:39" hidden="1" x14ac:dyDescent="0.2">
      <c r="A111" t="s">
        <v>285</v>
      </c>
      <c r="B111" t="s">
        <v>286</v>
      </c>
      <c r="C111" t="s">
        <v>286</v>
      </c>
      <c r="D111" t="s">
        <v>3</v>
      </c>
      <c r="E111">
        <v>1</v>
      </c>
      <c r="F111">
        <v>0</v>
      </c>
      <c r="G111">
        <v>0</v>
      </c>
      <c r="H111">
        <v>0</v>
      </c>
      <c r="I111" t="s">
        <v>24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1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5.2</v>
      </c>
      <c r="AE111">
        <v>471</v>
      </c>
      <c r="AF111">
        <v>18.333333333333339</v>
      </c>
      <c r="AG111">
        <v>24.829224844993629</v>
      </c>
      <c r="AH111">
        <v>13.35836830580106</v>
      </c>
      <c r="AI111">
        <f>11.1452667669886*1</f>
        <v>11.1452667669886</v>
      </c>
      <c r="AJ111">
        <f>2.40014040555867*1</f>
        <v>2.4001404055586701</v>
      </c>
      <c r="AK111">
        <v>1</v>
      </c>
      <c r="AL111">
        <v>0</v>
      </c>
      <c r="AM111">
        <v>0</v>
      </c>
    </row>
    <row r="112" spans="1:39" hidden="1" x14ac:dyDescent="0.2">
      <c r="A112" t="s">
        <v>102</v>
      </c>
      <c r="B112" t="s">
        <v>287</v>
      </c>
      <c r="C112" t="s">
        <v>287</v>
      </c>
      <c r="D112" t="s">
        <v>5</v>
      </c>
      <c r="E112">
        <v>0</v>
      </c>
      <c r="F112">
        <v>0</v>
      </c>
      <c r="G112">
        <v>1</v>
      </c>
      <c r="H112">
        <v>0</v>
      </c>
      <c r="I112" t="s">
        <v>24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1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6.7</v>
      </c>
      <c r="AE112">
        <v>473</v>
      </c>
      <c r="AF112">
        <v>21.827411167512679</v>
      </c>
      <c r="AG112">
        <v>23.9148058967914</v>
      </c>
      <c r="AH112">
        <v>16.108019117455601</v>
      </c>
      <c r="AI112">
        <f>18.8126741678223*1</f>
        <v>18.812674167822301</v>
      </c>
      <c r="AJ112">
        <f>3.62664255269339*1</f>
        <v>3.6266425526933901</v>
      </c>
      <c r="AK112">
        <v>1</v>
      </c>
      <c r="AL112">
        <v>0</v>
      </c>
      <c r="AM112">
        <v>0</v>
      </c>
    </row>
    <row r="113" spans="1:39" hidden="1" x14ac:dyDescent="0.2">
      <c r="A113" t="s">
        <v>288</v>
      </c>
      <c r="B113" t="s">
        <v>289</v>
      </c>
      <c r="C113" t="s">
        <v>289</v>
      </c>
      <c r="D113" t="s">
        <v>6</v>
      </c>
      <c r="E113">
        <v>0</v>
      </c>
      <c r="F113">
        <v>0</v>
      </c>
      <c r="G113">
        <v>0</v>
      </c>
      <c r="H113">
        <v>1</v>
      </c>
      <c r="I113" t="s">
        <v>24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1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6.6</v>
      </c>
      <c r="AE113">
        <v>475</v>
      </c>
      <c r="AF113">
        <v>0</v>
      </c>
      <c r="AG113">
        <v>0</v>
      </c>
      <c r="AH113">
        <v>0</v>
      </c>
      <c r="AI113">
        <f>0*1</f>
        <v>0</v>
      </c>
      <c r="AJ113">
        <f>0*1</f>
        <v>0</v>
      </c>
      <c r="AK113">
        <v>1</v>
      </c>
      <c r="AL113">
        <v>0</v>
      </c>
      <c r="AM113">
        <v>0</v>
      </c>
    </row>
    <row r="114" spans="1:39" hidden="1" x14ac:dyDescent="0.2">
      <c r="A114" t="s">
        <v>290</v>
      </c>
      <c r="B114" t="s">
        <v>291</v>
      </c>
      <c r="C114" t="s">
        <v>291</v>
      </c>
      <c r="D114" t="s">
        <v>5</v>
      </c>
      <c r="E114">
        <v>0</v>
      </c>
      <c r="F114">
        <v>0</v>
      </c>
      <c r="G114">
        <v>1</v>
      </c>
      <c r="H114">
        <v>0</v>
      </c>
      <c r="I114" t="s">
        <v>25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1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6.1</v>
      </c>
      <c r="AE114">
        <v>488</v>
      </c>
      <c r="AF114">
        <v>19.851826612247329</v>
      </c>
      <c r="AG114">
        <v>21.116515336553</v>
      </c>
      <c r="AH114">
        <v>6</v>
      </c>
      <c r="AI114">
        <f>11.3849023055392*1</f>
        <v>11.3849023055392</v>
      </c>
      <c r="AJ114">
        <f>2.45015730442745*1</f>
        <v>2.4501573044274498</v>
      </c>
      <c r="AK114">
        <v>1</v>
      </c>
      <c r="AL114">
        <v>0</v>
      </c>
      <c r="AM114">
        <v>0</v>
      </c>
    </row>
    <row r="115" spans="1:39" hidden="1" x14ac:dyDescent="0.2">
      <c r="A115" t="s">
        <v>272</v>
      </c>
      <c r="B115" t="s">
        <v>292</v>
      </c>
      <c r="C115" t="s">
        <v>293</v>
      </c>
      <c r="D115" t="s">
        <v>5</v>
      </c>
      <c r="E115">
        <v>0</v>
      </c>
      <c r="F115">
        <v>0</v>
      </c>
      <c r="G115">
        <v>1</v>
      </c>
      <c r="H115">
        <v>0</v>
      </c>
      <c r="I115" t="s">
        <v>25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1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6.1</v>
      </c>
      <c r="AE115">
        <v>490</v>
      </c>
      <c r="AF115">
        <v>18.60824742268041</v>
      </c>
      <c r="AG115">
        <v>17.02932000424736</v>
      </c>
      <c r="AH115">
        <v>25.366775654733441</v>
      </c>
      <c r="AI115">
        <f>16.712412802597*1</f>
        <v>16.712412802597001</v>
      </c>
      <c r="AJ115">
        <f>3.28000188528899*1</f>
        <v>3.2800018852889901</v>
      </c>
      <c r="AK115">
        <v>1</v>
      </c>
      <c r="AL115">
        <v>0</v>
      </c>
      <c r="AM115">
        <v>0</v>
      </c>
    </row>
    <row r="116" spans="1:39" hidden="1" x14ac:dyDescent="0.2">
      <c r="A116" t="s">
        <v>294</v>
      </c>
      <c r="B116" t="s">
        <v>295</v>
      </c>
      <c r="C116" t="s">
        <v>295</v>
      </c>
      <c r="D116" t="s">
        <v>4</v>
      </c>
      <c r="E116">
        <v>0</v>
      </c>
      <c r="F116">
        <v>1</v>
      </c>
      <c r="G116">
        <v>0</v>
      </c>
      <c r="H116">
        <v>0</v>
      </c>
      <c r="I116" t="s">
        <v>25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1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4.4000000000000004</v>
      </c>
      <c r="AE116">
        <v>491</v>
      </c>
      <c r="AF116">
        <v>14.5958696042263</v>
      </c>
      <c r="AG116">
        <v>15.14646500984523</v>
      </c>
      <c r="AH116">
        <v>25.981479825270611</v>
      </c>
      <c r="AI116">
        <f>12.6334746409851*1</f>
        <v>12.633474640985099</v>
      </c>
      <c r="AJ116">
        <f>2.43935019766954*1</f>
        <v>2.43935019766954</v>
      </c>
      <c r="AK116">
        <v>1</v>
      </c>
      <c r="AL116">
        <v>0</v>
      </c>
      <c r="AM116">
        <v>0</v>
      </c>
    </row>
    <row r="117" spans="1:39" hidden="1" x14ac:dyDescent="0.2">
      <c r="A117" t="s">
        <v>296</v>
      </c>
      <c r="B117" t="s">
        <v>297</v>
      </c>
      <c r="C117" t="s">
        <v>297</v>
      </c>
      <c r="D117" t="s">
        <v>5</v>
      </c>
      <c r="E117">
        <v>0</v>
      </c>
      <c r="F117">
        <v>0</v>
      </c>
      <c r="G117">
        <v>1</v>
      </c>
      <c r="H117">
        <v>0</v>
      </c>
      <c r="I117" t="s">
        <v>25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1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7.2</v>
      </c>
      <c r="AE117">
        <v>493</v>
      </c>
      <c r="AF117">
        <v>0</v>
      </c>
      <c r="AG117">
        <v>0</v>
      </c>
      <c r="AH117">
        <v>0</v>
      </c>
      <c r="AI117">
        <f>0*1</f>
        <v>0</v>
      </c>
      <c r="AJ117">
        <f>0*1</f>
        <v>0</v>
      </c>
      <c r="AK117">
        <v>1</v>
      </c>
      <c r="AL117">
        <v>0</v>
      </c>
      <c r="AM117">
        <v>0</v>
      </c>
    </row>
    <row r="118" spans="1:39" x14ac:dyDescent="0.2">
      <c r="A118" t="s">
        <v>188</v>
      </c>
      <c r="B118" t="s">
        <v>189</v>
      </c>
      <c r="C118" t="s">
        <v>189</v>
      </c>
      <c r="D118" t="s">
        <v>3</v>
      </c>
      <c r="E118">
        <v>1</v>
      </c>
      <c r="F118">
        <v>0</v>
      </c>
      <c r="G118">
        <v>0</v>
      </c>
      <c r="H118">
        <v>0</v>
      </c>
      <c r="I118" t="s">
        <v>18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1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4.9000000000000004</v>
      </c>
      <c r="AE118">
        <v>279</v>
      </c>
      <c r="AF118">
        <v>18.333333333333339</v>
      </c>
      <c r="AG118">
        <v>18.092569251589399</v>
      </c>
      <c r="AH118">
        <v>30.960866212258981</v>
      </c>
      <c r="AI118">
        <f>15.2001944776811*1</f>
        <v>15.2001944776811</v>
      </c>
      <c r="AJ118">
        <f>3.04277461380006*1</f>
        <v>3.0427746138000602</v>
      </c>
      <c r="AK118">
        <v>1</v>
      </c>
      <c r="AL118">
        <v>1</v>
      </c>
      <c r="AM118">
        <v>1</v>
      </c>
    </row>
    <row r="119" spans="1:39" x14ac:dyDescent="0.2">
      <c r="A119" t="s">
        <v>190</v>
      </c>
      <c r="B119" t="s">
        <v>191</v>
      </c>
      <c r="C119" t="s">
        <v>191</v>
      </c>
      <c r="D119" t="s">
        <v>4</v>
      </c>
      <c r="E119">
        <v>0</v>
      </c>
      <c r="F119">
        <v>1</v>
      </c>
      <c r="G119">
        <v>0</v>
      </c>
      <c r="H119">
        <v>0</v>
      </c>
      <c r="I119" t="s">
        <v>18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1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4.8</v>
      </c>
      <c r="AE119">
        <v>280</v>
      </c>
      <c r="AF119">
        <v>13.513544905960959</v>
      </c>
      <c r="AG119">
        <v>13.47833339337909</v>
      </c>
      <c r="AH119">
        <v>25.74452337624307</v>
      </c>
      <c r="AI119">
        <f>16.0783416778703*1</f>
        <v>16.078341677870299</v>
      </c>
      <c r="AJ119">
        <f>2.98404436702231*1</f>
        <v>2.9840443670223098</v>
      </c>
      <c r="AK119">
        <v>1</v>
      </c>
      <c r="AL119">
        <v>1</v>
      </c>
      <c r="AM119">
        <v>1</v>
      </c>
    </row>
    <row r="120" spans="1:39" x14ac:dyDescent="0.2">
      <c r="A120" t="s">
        <v>309</v>
      </c>
      <c r="B120" t="s">
        <v>310</v>
      </c>
      <c r="C120" t="s">
        <v>310</v>
      </c>
      <c r="D120" t="s">
        <v>4</v>
      </c>
      <c r="E120">
        <v>0</v>
      </c>
      <c r="F120">
        <v>1</v>
      </c>
      <c r="G120">
        <v>0</v>
      </c>
      <c r="H120">
        <v>0</v>
      </c>
      <c r="I120" t="s">
        <v>26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1</v>
      </c>
      <c r="Z120">
        <v>0</v>
      </c>
      <c r="AA120">
        <v>0</v>
      </c>
      <c r="AB120">
        <v>0</v>
      </c>
      <c r="AC120">
        <v>0</v>
      </c>
      <c r="AD120">
        <v>5</v>
      </c>
      <c r="AE120">
        <v>520</v>
      </c>
      <c r="AF120">
        <v>11.580497617556841</v>
      </c>
      <c r="AG120">
        <v>14.882245498974349</v>
      </c>
      <c r="AH120">
        <v>33.760245951820373</v>
      </c>
      <c r="AI120">
        <f>22.4479584894222*1</f>
        <v>22.447958489422199</v>
      </c>
      <c r="AJ120">
        <f>2.68470990239517*1</f>
        <v>2.6847099023951699</v>
      </c>
      <c r="AK120">
        <v>1</v>
      </c>
      <c r="AL120">
        <v>1</v>
      </c>
      <c r="AM120">
        <v>1</v>
      </c>
    </row>
    <row r="121" spans="1:39" hidden="1" x14ac:dyDescent="0.2">
      <c r="A121" t="s">
        <v>305</v>
      </c>
      <c r="B121" t="s">
        <v>306</v>
      </c>
      <c r="C121" t="s">
        <v>306</v>
      </c>
      <c r="D121" t="s">
        <v>4</v>
      </c>
      <c r="E121">
        <v>0</v>
      </c>
      <c r="F121">
        <v>1</v>
      </c>
      <c r="G121">
        <v>0</v>
      </c>
      <c r="H121">
        <v>0</v>
      </c>
      <c r="I121" t="s">
        <v>25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1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4.5</v>
      </c>
      <c r="AE121">
        <v>504</v>
      </c>
      <c r="AF121">
        <v>11.33723437703452</v>
      </c>
      <c r="AG121">
        <v>14.0107631591559</v>
      </c>
      <c r="AH121">
        <v>15.3988043265469</v>
      </c>
      <c r="AI121">
        <f>13.2979399701824*1</f>
        <v>13.2979399701824</v>
      </c>
      <c r="AJ121">
        <f>2.3210795268191*1</f>
        <v>2.3210795268191</v>
      </c>
      <c r="AK121">
        <v>1</v>
      </c>
      <c r="AL121">
        <v>0</v>
      </c>
      <c r="AM121">
        <v>0</v>
      </c>
    </row>
    <row r="122" spans="1:39" hidden="1" x14ac:dyDescent="0.2">
      <c r="A122" t="s">
        <v>307</v>
      </c>
      <c r="B122" t="s">
        <v>308</v>
      </c>
      <c r="C122" t="s">
        <v>308</v>
      </c>
      <c r="D122" t="s">
        <v>4</v>
      </c>
      <c r="E122">
        <v>0</v>
      </c>
      <c r="F122">
        <v>1</v>
      </c>
      <c r="G122">
        <v>0</v>
      </c>
      <c r="H122">
        <v>0</v>
      </c>
      <c r="I122" t="s">
        <v>25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1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5.4</v>
      </c>
      <c r="AE122">
        <v>510</v>
      </c>
      <c r="AF122">
        <v>17.42418137908702</v>
      </c>
      <c r="AG122">
        <v>15.927017877494491</v>
      </c>
      <c r="AH122">
        <v>19.04984083380694</v>
      </c>
      <c r="AI122">
        <f>14.4592608445491*1</f>
        <v>14.4592608445491</v>
      </c>
      <c r="AJ122">
        <f>2.62057027008284*1</f>
        <v>2.6205702700828399</v>
      </c>
      <c r="AK122">
        <v>1</v>
      </c>
      <c r="AL122">
        <v>0</v>
      </c>
      <c r="AM122">
        <v>0</v>
      </c>
    </row>
    <row r="123" spans="1:39" x14ac:dyDescent="0.2">
      <c r="A123" t="s">
        <v>91</v>
      </c>
      <c r="B123" t="s">
        <v>92</v>
      </c>
      <c r="C123" t="s">
        <v>92</v>
      </c>
      <c r="D123" t="s">
        <v>4</v>
      </c>
      <c r="E123">
        <v>0</v>
      </c>
      <c r="F123">
        <v>1</v>
      </c>
      <c r="G123">
        <v>0</v>
      </c>
      <c r="H123">
        <v>0</v>
      </c>
      <c r="I123" t="s">
        <v>13</v>
      </c>
      <c r="J123">
        <v>0</v>
      </c>
      <c r="K123">
        <v>0</v>
      </c>
      <c r="L123">
        <v>1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4.7</v>
      </c>
      <c r="AE123">
        <v>82</v>
      </c>
      <c r="AF123">
        <v>12.61363636363636</v>
      </c>
      <c r="AG123">
        <v>10.636950127922089</v>
      </c>
      <c r="AH123">
        <v>23.042963457913441</v>
      </c>
      <c r="AI123">
        <f>13.3162684663189*1</f>
        <v>13.316268466318901</v>
      </c>
      <c r="AJ123">
        <f>2.61356483329436*1</f>
        <v>2.61356483329436</v>
      </c>
      <c r="AK123">
        <v>1</v>
      </c>
      <c r="AL123">
        <v>1</v>
      </c>
      <c r="AM123">
        <v>1</v>
      </c>
    </row>
    <row r="124" spans="1:39" hidden="1" x14ac:dyDescent="0.2">
      <c r="A124" t="s">
        <v>311</v>
      </c>
      <c r="B124" t="s">
        <v>312</v>
      </c>
      <c r="C124" t="s">
        <v>312</v>
      </c>
      <c r="D124" t="s">
        <v>5</v>
      </c>
      <c r="E124">
        <v>0</v>
      </c>
      <c r="F124">
        <v>0</v>
      </c>
      <c r="G124">
        <v>1</v>
      </c>
      <c r="H124">
        <v>0</v>
      </c>
      <c r="I124" t="s">
        <v>26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1</v>
      </c>
      <c r="Z124">
        <v>0</v>
      </c>
      <c r="AA124">
        <v>0</v>
      </c>
      <c r="AB124">
        <v>0</v>
      </c>
      <c r="AC124">
        <v>0</v>
      </c>
      <c r="AD124">
        <v>5</v>
      </c>
      <c r="AE124">
        <v>521</v>
      </c>
      <c r="AF124">
        <v>13.563463589501589</v>
      </c>
      <c r="AG124">
        <v>9.2684334857540307</v>
      </c>
      <c r="AH124">
        <v>29.666666666666671</v>
      </c>
      <c r="AI124">
        <f>23.5977354247467*1</f>
        <v>23.597735424746698</v>
      </c>
      <c r="AJ124">
        <f>4.91301713451548*1</f>
        <v>4.9130171345154796</v>
      </c>
      <c r="AK124">
        <v>1</v>
      </c>
      <c r="AL124">
        <v>0</v>
      </c>
      <c r="AM124">
        <v>0</v>
      </c>
    </row>
    <row r="125" spans="1:39" hidden="1" x14ac:dyDescent="0.2">
      <c r="A125" t="s">
        <v>296</v>
      </c>
      <c r="B125" t="s">
        <v>313</v>
      </c>
      <c r="C125" t="s">
        <v>313</v>
      </c>
      <c r="D125" t="s">
        <v>5</v>
      </c>
      <c r="E125">
        <v>0</v>
      </c>
      <c r="F125">
        <v>0</v>
      </c>
      <c r="G125">
        <v>1</v>
      </c>
      <c r="H125">
        <v>0</v>
      </c>
      <c r="I125" t="s">
        <v>26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1</v>
      </c>
      <c r="Z125">
        <v>0</v>
      </c>
      <c r="AA125">
        <v>0</v>
      </c>
      <c r="AB125">
        <v>0</v>
      </c>
      <c r="AC125">
        <v>0</v>
      </c>
      <c r="AD125">
        <v>5.0999999999999996</v>
      </c>
      <c r="AE125">
        <v>530</v>
      </c>
      <c r="AF125">
        <v>14.943699166087621</v>
      </c>
      <c r="AG125">
        <v>12.10208059962461</v>
      </c>
      <c r="AH125">
        <v>30.611038764550859</v>
      </c>
      <c r="AI125">
        <f>16.3026921424554*1</f>
        <v>16.302692142455399</v>
      </c>
      <c r="AJ125">
        <f>3.00306496384192*1</f>
        <v>3.0030649638419198</v>
      </c>
      <c r="AK125">
        <v>1</v>
      </c>
      <c r="AL125">
        <v>0</v>
      </c>
      <c r="AM125">
        <v>0</v>
      </c>
    </row>
    <row r="126" spans="1:39" hidden="1" x14ac:dyDescent="0.2">
      <c r="A126" t="s">
        <v>80</v>
      </c>
      <c r="B126" t="s">
        <v>314</v>
      </c>
      <c r="C126" t="s">
        <v>314</v>
      </c>
      <c r="D126" t="s">
        <v>5</v>
      </c>
      <c r="E126">
        <v>0</v>
      </c>
      <c r="F126">
        <v>0</v>
      </c>
      <c r="G126">
        <v>1</v>
      </c>
      <c r="H126">
        <v>0</v>
      </c>
      <c r="I126" t="s">
        <v>26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1</v>
      </c>
      <c r="Z126">
        <v>0</v>
      </c>
      <c r="AA126">
        <v>0</v>
      </c>
      <c r="AB126">
        <v>0</v>
      </c>
      <c r="AC126">
        <v>0</v>
      </c>
      <c r="AD126">
        <v>6.3</v>
      </c>
      <c r="AE126">
        <v>531</v>
      </c>
      <c r="AF126">
        <v>20.330747747749999</v>
      </c>
      <c r="AG126">
        <v>15.217894200320231</v>
      </c>
      <c r="AH126">
        <v>40.979640600866091</v>
      </c>
      <c r="AI126">
        <f>10.6599984018014*1</f>
        <v>10.659998401801399</v>
      </c>
      <c r="AJ126">
        <f>2.20953809397495*1</f>
        <v>2.2095380939749498</v>
      </c>
      <c r="AK126">
        <v>1</v>
      </c>
      <c r="AL126">
        <v>0</v>
      </c>
      <c r="AM126">
        <v>0</v>
      </c>
    </row>
    <row r="127" spans="1:39" hidden="1" x14ac:dyDescent="0.2">
      <c r="A127" t="s">
        <v>315</v>
      </c>
      <c r="B127" t="s">
        <v>316</v>
      </c>
      <c r="C127" t="s">
        <v>316</v>
      </c>
      <c r="D127" t="s">
        <v>5</v>
      </c>
      <c r="E127">
        <v>0</v>
      </c>
      <c r="F127">
        <v>0</v>
      </c>
      <c r="G127">
        <v>1</v>
      </c>
      <c r="H127">
        <v>0</v>
      </c>
      <c r="I127" t="s">
        <v>26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1</v>
      </c>
      <c r="Z127">
        <v>0</v>
      </c>
      <c r="AA127">
        <v>0</v>
      </c>
      <c r="AB127">
        <v>0</v>
      </c>
      <c r="AC127">
        <v>0</v>
      </c>
      <c r="AD127">
        <v>5.3</v>
      </c>
      <c r="AE127">
        <v>532</v>
      </c>
      <c r="AF127">
        <v>17.145166417059428</v>
      </c>
      <c r="AG127">
        <v>13.63899114308385</v>
      </c>
      <c r="AH127">
        <v>15.51221486967278</v>
      </c>
      <c r="AI127">
        <f>14.9039540654361*1</f>
        <v>14.9039540654361</v>
      </c>
      <c r="AJ127">
        <f>3.00716253326223*1</f>
        <v>3.00716253326223</v>
      </c>
      <c r="AK127">
        <v>1</v>
      </c>
      <c r="AL127">
        <v>0</v>
      </c>
      <c r="AM127">
        <v>0</v>
      </c>
    </row>
    <row r="128" spans="1:39" hidden="1" x14ac:dyDescent="0.2">
      <c r="A128" t="s">
        <v>317</v>
      </c>
      <c r="B128" t="s">
        <v>318</v>
      </c>
      <c r="C128" t="s">
        <v>317</v>
      </c>
      <c r="D128" t="s">
        <v>4</v>
      </c>
      <c r="E128">
        <v>0</v>
      </c>
      <c r="F128">
        <v>1</v>
      </c>
      <c r="G128">
        <v>0</v>
      </c>
      <c r="H128">
        <v>0</v>
      </c>
      <c r="I128" t="s">
        <v>26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1</v>
      </c>
      <c r="Z128">
        <v>0</v>
      </c>
      <c r="AA128">
        <v>0</v>
      </c>
      <c r="AB128">
        <v>0</v>
      </c>
      <c r="AC128">
        <v>0</v>
      </c>
      <c r="AD128">
        <v>4.5999999999999996</v>
      </c>
      <c r="AE128">
        <v>534</v>
      </c>
      <c r="AF128">
        <v>12.04081632653061</v>
      </c>
      <c r="AG128">
        <v>9.8356101789390173</v>
      </c>
      <c r="AH128">
        <v>7.2848680317464343</v>
      </c>
      <c r="AI128">
        <f>5.9647275509497*1</f>
        <v>5.9647275509497</v>
      </c>
      <c r="AJ128">
        <f>1.11990309471531*1</f>
        <v>1.1199030947153099</v>
      </c>
      <c r="AK128">
        <v>1</v>
      </c>
      <c r="AL128">
        <v>0</v>
      </c>
      <c r="AM128">
        <v>0</v>
      </c>
    </row>
    <row r="129" spans="1:39" hidden="1" x14ac:dyDescent="0.2">
      <c r="A129" t="s">
        <v>319</v>
      </c>
      <c r="B129" t="s">
        <v>320</v>
      </c>
      <c r="C129" t="s">
        <v>321</v>
      </c>
      <c r="D129" t="s">
        <v>4</v>
      </c>
      <c r="E129">
        <v>0</v>
      </c>
      <c r="F129">
        <v>1</v>
      </c>
      <c r="G129">
        <v>0</v>
      </c>
      <c r="H129">
        <v>0</v>
      </c>
      <c r="I129" t="s">
        <v>26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1</v>
      </c>
      <c r="Z129">
        <v>0</v>
      </c>
      <c r="AA129">
        <v>0</v>
      </c>
      <c r="AB129">
        <v>0</v>
      </c>
      <c r="AC129">
        <v>0</v>
      </c>
      <c r="AD129">
        <v>4.3</v>
      </c>
      <c r="AE129">
        <v>535</v>
      </c>
      <c r="AF129">
        <v>4.7393555147638438</v>
      </c>
      <c r="AG129">
        <v>7.3138569197705623</v>
      </c>
      <c r="AH129">
        <v>16.425625300625299</v>
      </c>
      <c r="AI129">
        <f>9.09051105966605*1</f>
        <v>9.0905110596660492</v>
      </c>
      <c r="AJ129">
        <f>1.4269404558176*1</f>
        <v>1.4269404558176</v>
      </c>
      <c r="AK129">
        <v>1</v>
      </c>
      <c r="AL129">
        <v>0</v>
      </c>
      <c r="AM129">
        <v>0</v>
      </c>
    </row>
    <row r="130" spans="1:39" x14ac:dyDescent="0.2">
      <c r="A130" t="s">
        <v>322</v>
      </c>
      <c r="B130" t="s">
        <v>323</v>
      </c>
      <c r="C130" t="s">
        <v>323</v>
      </c>
      <c r="D130" t="s">
        <v>3</v>
      </c>
      <c r="E130">
        <v>1</v>
      </c>
      <c r="F130">
        <v>0</v>
      </c>
      <c r="G130">
        <v>0</v>
      </c>
      <c r="H130">
        <v>0</v>
      </c>
      <c r="I130" t="s">
        <v>26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1</v>
      </c>
      <c r="Z130">
        <v>0</v>
      </c>
      <c r="AA130">
        <v>0</v>
      </c>
      <c r="AB130">
        <v>0</v>
      </c>
      <c r="AC130">
        <v>0</v>
      </c>
      <c r="AD130">
        <v>4.7</v>
      </c>
      <c r="AE130">
        <v>541</v>
      </c>
      <c r="AF130">
        <v>15.909090909090899</v>
      </c>
      <c r="AG130">
        <v>25.741012689609349</v>
      </c>
      <c r="AH130">
        <v>32.5</v>
      </c>
      <c r="AI130">
        <f>12.8469338123456*1</f>
        <v>12.846933812345601</v>
      </c>
      <c r="AJ130">
        <f>2.54844252496437*1</f>
        <v>2.5484425249643698</v>
      </c>
      <c r="AK130">
        <v>1</v>
      </c>
      <c r="AL130">
        <v>1</v>
      </c>
      <c r="AM130">
        <v>1</v>
      </c>
    </row>
    <row r="131" spans="1:39" hidden="1" x14ac:dyDescent="0.2">
      <c r="A131" t="s">
        <v>324</v>
      </c>
      <c r="B131" t="s">
        <v>325</v>
      </c>
      <c r="C131" t="s">
        <v>325</v>
      </c>
      <c r="D131" t="s">
        <v>6</v>
      </c>
      <c r="E131">
        <v>0</v>
      </c>
      <c r="F131">
        <v>0</v>
      </c>
      <c r="G131">
        <v>0</v>
      </c>
      <c r="H131">
        <v>1</v>
      </c>
      <c r="I131" t="s">
        <v>26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1</v>
      </c>
      <c r="Z131">
        <v>0</v>
      </c>
      <c r="AA131">
        <v>0</v>
      </c>
      <c r="AB131">
        <v>0</v>
      </c>
      <c r="AC131">
        <v>0</v>
      </c>
      <c r="AD131">
        <v>6.6</v>
      </c>
      <c r="AE131">
        <v>544</v>
      </c>
      <c r="AF131">
        <v>18.215065484519009</v>
      </c>
      <c r="AG131">
        <v>16.1887171357195</v>
      </c>
      <c r="AH131">
        <v>14.22619364849321</v>
      </c>
      <c r="AI131">
        <f>11.8787785423783*1</f>
        <v>11.878778542378299</v>
      </c>
      <c r="AJ131">
        <f>2.35199743474742*1</f>
        <v>2.3519974347474202</v>
      </c>
      <c r="AK131">
        <v>1</v>
      </c>
      <c r="AL131">
        <v>1</v>
      </c>
      <c r="AM131">
        <v>0</v>
      </c>
    </row>
    <row r="132" spans="1:39" hidden="1" x14ac:dyDescent="0.2">
      <c r="A132" t="s">
        <v>326</v>
      </c>
      <c r="B132" t="s">
        <v>327</v>
      </c>
      <c r="C132" t="s">
        <v>327</v>
      </c>
      <c r="D132" t="s">
        <v>4</v>
      </c>
      <c r="E132">
        <v>0</v>
      </c>
      <c r="F132">
        <v>1</v>
      </c>
      <c r="G132">
        <v>0</v>
      </c>
      <c r="H132">
        <v>0</v>
      </c>
      <c r="I132" t="s">
        <v>26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1</v>
      </c>
      <c r="Z132">
        <v>0</v>
      </c>
      <c r="AA132">
        <v>0</v>
      </c>
      <c r="AB132">
        <v>0</v>
      </c>
      <c r="AC132">
        <v>0</v>
      </c>
      <c r="AD132">
        <v>4.5999999999999996</v>
      </c>
      <c r="AE132">
        <v>548</v>
      </c>
      <c r="AF132">
        <v>0</v>
      </c>
      <c r="AG132">
        <v>0</v>
      </c>
      <c r="AH132">
        <v>0</v>
      </c>
      <c r="AI132">
        <f>0*1</f>
        <v>0</v>
      </c>
      <c r="AJ132">
        <f>0*1</f>
        <v>0</v>
      </c>
      <c r="AK132">
        <v>1</v>
      </c>
      <c r="AL132">
        <v>0</v>
      </c>
      <c r="AM132">
        <v>0</v>
      </c>
    </row>
    <row r="133" spans="1:39" hidden="1" x14ac:dyDescent="0.2">
      <c r="A133" t="s">
        <v>328</v>
      </c>
      <c r="B133" t="s">
        <v>329</v>
      </c>
      <c r="C133" t="s">
        <v>329</v>
      </c>
      <c r="D133" t="s">
        <v>5</v>
      </c>
      <c r="E133">
        <v>0</v>
      </c>
      <c r="F133">
        <v>0</v>
      </c>
      <c r="G133">
        <v>1</v>
      </c>
      <c r="H133">
        <v>0</v>
      </c>
      <c r="I133" t="s">
        <v>27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1</v>
      </c>
      <c r="AA133">
        <v>0</v>
      </c>
      <c r="AB133">
        <v>0</v>
      </c>
      <c r="AC133">
        <v>0</v>
      </c>
      <c r="AD133">
        <v>4.9000000000000004</v>
      </c>
      <c r="AE133">
        <v>558</v>
      </c>
      <c r="AF133">
        <v>0</v>
      </c>
      <c r="AG133">
        <v>0</v>
      </c>
      <c r="AH133">
        <v>0</v>
      </c>
      <c r="AI133">
        <f>0*1</f>
        <v>0</v>
      </c>
      <c r="AJ133">
        <f>0*1</f>
        <v>0</v>
      </c>
      <c r="AK133">
        <v>1</v>
      </c>
      <c r="AL133">
        <v>0</v>
      </c>
      <c r="AM133">
        <v>0</v>
      </c>
    </row>
    <row r="134" spans="1:39" hidden="1" x14ac:dyDescent="0.2">
      <c r="A134" t="s">
        <v>100</v>
      </c>
      <c r="B134" t="s">
        <v>330</v>
      </c>
      <c r="C134" t="s">
        <v>330</v>
      </c>
      <c r="D134" t="s">
        <v>6</v>
      </c>
      <c r="E134">
        <v>0</v>
      </c>
      <c r="F134">
        <v>0</v>
      </c>
      <c r="G134">
        <v>0</v>
      </c>
      <c r="H134">
        <v>1</v>
      </c>
      <c r="I134" t="s">
        <v>27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1</v>
      </c>
      <c r="AA134">
        <v>0</v>
      </c>
      <c r="AB134">
        <v>0</v>
      </c>
      <c r="AC134">
        <v>0</v>
      </c>
      <c r="AD134">
        <v>5.0999999999999996</v>
      </c>
      <c r="AE134">
        <v>559</v>
      </c>
      <c r="AF134">
        <v>10.851305806698839</v>
      </c>
      <c r="AG134">
        <v>10.334747452278251</v>
      </c>
      <c r="AH134">
        <v>12.364102564102559</v>
      </c>
      <c r="AI134">
        <f>14.0837077397466*1</f>
        <v>14.0837077397466</v>
      </c>
      <c r="AJ134">
        <f>2.53384600515064*1</f>
        <v>2.53384600515064</v>
      </c>
      <c r="AK134">
        <v>1</v>
      </c>
      <c r="AL134">
        <v>0</v>
      </c>
      <c r="AM134">
        <v>0</v>
      </c>
    </row>
    <row r="135" spans="1:39" hidden="1" x14ac:dyDescent="0.2">
      <c r="A135" t="s">
        <v>331</v>
      </c>
      <c r="B135" t="s">
        <v>332</v>
      </c>
      <c r="C135" t="s">
        <v>332</v>
      </c>
      <c r="D135" t="s">
        <v>4</v>
      </c>
      <c r="E135">
        <v>0</v>
      </c>
      <c r="F135">
        <v>1</v>
      </c>
      <c r="G135">
        <v>0</v>
      </c>
      <c r="H135">
        <v>0</v>
      </c>
      <c r="I135" t="s">
        <v>27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1</v>
      </c>
      <c r="AA135">
        <v>0</v>
      </c>
      <c r="AB135">
        <v>0</v>
      </c>
      <c r="AC135">
        <v>0</v>
      </c>
      <c r="AD135">
        <v>4.0999999999999996</v>
      </c>
      <c r="AE135">
        <v>567</v>
      </c>
      <c r="AF135">
        <v>0</v>
      </c>
      <c r="AG135">
        <v>0</v>
      </c>
      <c r="AH135">
        <v>0</v>
      </c>
      <c r="AI135">
        <f>0*1</f>
        <v>0</v>
      </c>
      <c r="AJ135">
        <f>0*1</f>
        <v>0</v>
      </c>
      <c r="AK135">
        <v>1</v>
      </c>
      <c r="AL135">
        <v>0</v>
      </c>
      <c r="AM135">
        <v>0</v>
      </c>
    </row>
    <row r="136" spans="1:39" hidden="1" x14ac:dyDescent="0.2">
      <c r="A136" t="s">
        <v>333</v>
      </c>
      <c r="B136" t="s">
        <v>334</v>
      </c>
      <c r="C136" t="s">
        <v>334</v>
      </c>
      <c r="D136" t="s">
        <v>4</v>
      </c>
      <c r="E136">
        <v>0</v>
      </c>
      <c r="F136">
        <v>1</v>
      </c>
      <c r="G136">
        <v>0</v>
      </c>
      <c r="H136">
        <v>0</v>
      </c>
      <c r="I136" t="s">
        <v>27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1</v>
      </c>
      <c r="AA136">
        <v>0</v>
      </c>
      <c r="AB136">
        <v>0</v>
      </c>
      <c r="AC136">
        <v>0</v>
      </c>
      <c r="AD136">
        <v>4.4000000000000004</v>
      </c>
      <c r="AE136">
        <v>582</v>
      </c>
      <c r="AF136">
        <v>8.7415903362762055</v>
      </c>
      <c r="AG136">
        <v>11.245604873367499</v>
      </c>
      <c r="AH136">
        <v>10.05194253238213</v>
      </c>
      <c r="AI136">
        <f>10.5736722647405*1</f>
        <v>10.5736722647405</v>
      </c>
      <c r="AJ136">
        <f>1.48642904237232*1</f>
        <v>1.4864290423723201</v>
      </c>
      <c r="AK136">
        <v>1</v>
      </c>
      <c r="AL136">
        <v>0</v>
      </c>
      <c r="AM136">
        <v>0</v>
      </c>
    </row>
    <row r="137" spans="1:39" hidden="1" x14ac:dyDescent="0.2">
      <c r="A137" t="s">
        <v>335</v>
      </c>
      <c r="B137" t="s">
        <v>336</v>
      </c>
      <c r="C137" t="s">
        <v>336</v>
      </c>
      <c r="D137" t="s">
        <v>5</v>
      </c>
      <c r="E137">
        <v>0</v>
      </c>
      <c r="F137">
        <v>0</v>
      </c>
      <c r="G137">
        <v>1</v>
      </c>
      <c r="H137">
        <v>0</v>
      </c>
      <c r="I137" t="s">
        <v>27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1</v>
      </c>
      <c r="AA137">
        <v>0</v>
      </c>
      <c r="AB137">
        <v>0</v>
      </c>
      <c r="AC137">
        <v>0</v>
      </c>
      <c r="AD137">
        <v>4.8</v>
      </c>
      <c r="AE137">
        <v>585</v>
      </c>
      <c r="AF137">
        <v>7.9999999767716394</v>
      </c>
      <c r="AG137">
        <v>6.5289953544058887</v>
      </c>
      <c r="AH137">
        <v>12.73946883763413</v>
      </c>
      <c r="AI137">
        <f>9.3648805377984*1</f>
        <v>9.3648805377984008</v>
      </c>
      <c r="AJ137">
        <f>1.8571072641683*1</f>
        <v>1.8571072641683</v>
      </c>
      <c r="AK137">
        <v>1</v>
      </c>
      <c r="AL137">
        <v>0</v>
      </c>
      <c r="AM137">
        <v>0</v>
      </c>
    </row>
    <row r="138" spans="1:39" hidden="1" x14ac:dyDescent="0.2">
      <c r="A138" t="s">
        <v>337</v>
      </c>
      <c r="B138" t="s">
        <v>338</v>
      </c>
      <c r="C138" t="s">
        <v>339</v>
      </c>
      <c r="D138" t="s">
        <v>5</v>
      </c>
      <c r="E138">
        <v>0</v>
      </c>
      <c r="F138">
        <v>0</v>
      </c>
      <c r="G138">
        <v>1</v>
      </c>
      <c r="H138">
        <v>0</v>
      </c>
      <c r="I138" t="s">
        <v>27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1</v>
      </c>
      <c r="AA138">
        <v>0</v>
      </c>
      <c r="AB138">
        <v>0</v>
      </c>
      <c r="AC138">
        <v>0</v>
      </c>
      <c r="AD138">
        <v>5</v>
      </c>
      <c r="AE138">
        <v>588</v>
      </c>
      <c r="AF138">
        <v>0</v>
      </c>
      <c r="AG138">
        <v>0</v>
      </c>
      <c r="AH138">
        <v>0</v>
      </c>
      <c r="AI138">
        <f>0*1</f>
        <v>0</v>
      </c>
      <c r="AJ138">
        <f>0*1</f>
        <v>0</v>
      </c>
      <c r="AK138">
        <v>1</v>
      </c>
      <c r="AL138">
        <v>0</v>
      </c>
      <c r="AM138">
        <v>0</v>
      </c>
    </row>
    <row r="139" spans="1:39" hidden="1" x14ac:dyDescent="0.2">
      <c r="A139" t="s">
        <v>179</v>
      </c>
      <c r="B139" t="s">
        <v>340</v>
      </c>
      <c r="C139" t="s">
        <v>341</v>
      </c>
      <c r="D139" t="s">
        <v>6</v>
      </c>
      <c r="E139">
        <v>0</v>
      </c>
      <c r="F139">
        <v>0</v>
      </c>
      <c r="G139">
        <v>0</v>
      </c>
      <c r="H139">
        <v>1</v>
      </c>
      <c r="I139" t="s">
        <v>28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1</v>
      </c>
      <c r="AB139">
        <v>0</v>
      </c>
      <c r="AC139">
        <v>0</v>
      </c>
      <c r="AD139">
        <v>7.5</v>
      </c>
      <c r="AE139">
        <v>590</v>
      </c>
      <c r="AF139">
        <v>0</v>
      </c>
      <c r="AG139">
        <v>0</v>
      </c>
      <c r="AH139">
        <v>0</v>
      </c>
      <c r="AI139">
        <f>0*1</f>
        <v>0</v>
      </c>
      <c r="AJ139">
        <f>0*1</f>
        <v>0</v>
      </c>
      <c r="AK139">
        <v>1</v>
      </c>
      <c r="AL139">
        <v>0</v>
      </c>
      <c r="AM139">
        <v>0</v>
      </c>
    </row>
    <row r="140" spans="1:39" hidden="1" x14ac:dyDescent="0.2">
      <c r="A140" t="s">
        <v>342</v>
      </c>
      <c r="B140" t="s">
        <v>343</v>
      </c>
      <c r="C140" t="s">
        <v>343</v>
      </c>
      <c r="D140" t="s">
        <v>5</v>
      </c>
      <c r="E140">
        <v>0</v>
      </c>
      <c r="F140">
        <v>0</v>
      </c>
      <c r="G140">
        <v>1</v>
      </c>
      <c r="H140">
        <v>0</v>
      </c>
      <c r="I140" t="s">
        <v>28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1</v>
      </c>
      <c r="AB140">
        <v>0</v>
      </c>
      <c r="AC140">
        <v>0</v>
      </c>
      <c r="AD140">
        <v>6.6</v>
      </c>
      <c r="AE140">
        <v>604</v>
      </c>
      <c r="AF140">
        <v>18.103448275862061</v>
      </c>
      <c r="AG140">
        <v>12.394508179747721</v>
      </c>
      <c r="AH140">
        <v>18.465385003117571</v>
      </c>
      <c r="AI140">
        <f>6.33082845767098*1</f>
        <v>6.3308284576709797</v>
      </c>
      <c r="AJ140">
        <f>1.29513589008317*1</f>
        <v>1.29513589008317</v>
      </c>
      <c r="AK140">
        <v>1</v>
      </c>
      <c r="AL140">
        <v>0</v>
      </c>
      <c r="AM140">
        <v>0</v>
      </c>
    </row>
    <row r="141" spans="1:39" hidden="1" x14ac:dyDescent="0.2">
      <c r="A141" t="s">
        <v>344</v>
      </c>
      <c r="B141" t="s">
        <v>345</v>
      </c>
      <c r="C141" t="s">
        <v>345</v>
      </c>
      <c r="D141" t="s">
        <v>5</v>
      </c>
      <c r="E141">
        <v>0</v>
      </c>
      <c r="F141">
        <v>0</v>
      </c>
      <c r="G141">
        <v>1</v>
      </c>
      <c r="H141">
        <v>0</v>
      </c>
      <c r="I141" t="s">
        <v>28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1</v>
      </c>
      <c r="AB141">
        <v>0</v>
      </c>
      <c r="AC141">
        <v>0</v>
      </c>
      <c r="AD141">
        <v>6.3</v>
      </c>
      <c r="AE141">
        <v>605</v>
      </c>
      <c r="AF141">
        <v>19.684210526315791</v>
      </c>
      <c r="AG141">
        <v>19.021973475421991</v>
      </c>
      <c r="AH141">
        <v>36.919999999999987</v>
      </c>
      <c r="AI141">
        <f>10.9914498895691*1</f>
        <v>10.9914498895691</v>
      </c>
      <c r="AJ141">
        <f>2.14681390101677*1</f>
        <v>2.1468139010167699</v>
      </c>
      <c r="AK141">
        <v>1</v>
      </c>
      <c r="AL141">
        <v>0</v>
      </c>
      <c r="AM141">
        <v>0</v>
      </c>
    </row>
    <row r="142" spans="1:39" hidden="1" x14ac:dyDescent="0.2">
      <c r="A142" t="s">
        <v>190</v>
      </c>
      <c r="B142" t="s">
        <v>346</v>
      </c>
      <c r="C142" t="s">
        <v>346</v>
      </c>
      <c r="D142" t="s">
        <v>5</v>
      </c>
      <c r="E142">
        <v>0</v>
      </c>
      <c r="F142">
        <v>0</v>
      </c>
      <c r="G142">
        <v>1</v>
      </c>
      <c r="H142">
        <v>0</v>
      </c>
      <c r="I142" t="s">
        <v>28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1</v>
      </c>
      <c r="AB142">
        <v>0</v>
      </c>
      <c r="AC142">
        <v>0</v>
      </c>
      <c r="AD142">
        <v>7.6</v>
      </c>
      <c r="AE142">
        <v>607</v>
      </c>
      <c r="AF142">
        <v>22.139303482587071</v>
      </c>
      <c r="AG142">
        <v>22.43384132528433</v>
      </c>
      <c r="AH142">
        <v>48.431935769095048</v>
      </c>
      <c r="AI142">
        <f>19.8752167514691*1</f>
        <v>19.8752167514691</v>
      </c>
      <c r="AJ142">
        <f>3.85923159938039*1</f>
        <v>3.8592315993803901</v>
      </c>
      <c r="AK142">
        <v>1</v>
      </c>
      <c r="AL142">
        <v>0</v>
      </c>
      <c r="AM142">
        <v>0</v>
      </c>
    </row>
    <row r="143" spans="1:39" hidden="1" x14ac:dyDescent="0.2">
      <c r="A143" t="s">
        <v>156</v>
      </c>
      <c r="B143" t="s">
        <v>347</v>
      </c>
      <c r="C143" t="s">
        <v>348</v>
      </c>
      <c r="D143" t="s">
        <v>4</v>
      </c>
      <c r="E143">
        <v>0</v>
      </c>
      <c r="F143">
        <v>1</v>
      </c>
      <c r="G143">
        <v>0</v>
      </c>
      <c r="H143">
        <v>0</v>
      </c>
      <c r="I143" t="s">
        <v>28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1</v>
      </c>
      <c r="AB143">
        <v>0</v>
      </c>
      <c r="AC143">
        <v>0</v>
      </c>
      <c r="AD143">
        <v>5.5</v>
      </c>
      <c r="AE143">
        <v>608</v>
      </c>
      <c r="AF143">
        <v>18.84615384615385</v>
      </c>
      <c r="AG143">
        <v>19.538250285820759</v>
      </c>
      <c r="AH143">
        <v>12.340307027026149</v>
      </c>
      <c r="AI143">
        <f>17.0209382052674*1</f>
        <v>17.020938205267399</v>
      </c>
      <c r="AJ143">
        <f>3.00554370657917*1</f>
        <v>3.0055437065791701</v>
      </c>
      <c r="AK143">
        <v>1</v>
      </c>
      <c r="AL143">
        <v>0</v>
      </c>
      <c r="AM143">
        <v>0</v>
      </c>
    </row>
    <row r="144" spans="1:39" hidden="1" x14ac:dyDescent="0.2">
      <c r="A144" t="s">
        <v>349</v>
      </c>
      <c r="B144" t="s">
        <v>172</v>
      </c>
      <c r="C144" t="s">
        <v>350</v>
      </c>
      <c r="D144" t="s">
        <v>5</v>
      </c>
      <c r="E144">
        <v>0</v>
      </c>
      <c r="F144">
        <v>0</v>
      </c>
      <c r="G144">
        <v>1</v>
      </c>
      <c r="H144">
        <v>0</v>
      </c>
      <c r="I144" t="s">
        <v>28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1</v>
      </c>
      <c r="AB144">
        <v>0</v>
      </c>
      <c r="AC144">
        <v>0</v>
      </c>
      <c r="AD144">
        <v>4.8</v>
      </c>
      <c r="AE144">
        <v>612</v>
      </c>
      <c r="AF144">
        <v>11.083333333333339</v>
      </c>
      <c r="AG144">
        <v>9.990560655221941</v>
      </c>
      <c r="AH144">
        <v>25.858823529411762</v>
      </c>
      <c r="AI144">
        <f>9.47128664810954*1</f>
        <v>9.4712866481095404</v>
      </c>
      <c r="AJ144">
        <f>2.03148404256465*1</f>
        <v>2.0314840425646499</v>
      </c>
      <c r="AK144">
        <v>1</v>
      </c>
      <c r="AL144">
        <v>0</v>
      </c>
      <c r="AM144">
        <v>0</v>
      </c>
    </row>
    <row r="145" spans="1:39" x14ac:dyDescent="0.2">
      <c r="A145" t="s">
        <v>123</v>
      </c>
      <c r="B145" t="s">
        <v>124</v>
      </c>
      <c r="C145" t="s">
        <v>124</v>
      </c>
      <c r="D145" t="s">
        <v>6</v>
      </c>
      <c r="E145">
        <v>0</v>
      </c>
      <c r="F145">
        <v>0</v>
      </c>
      <c r="G145">
        <v>0</v>
      </c>
      <c r="H145">
        <v>1</v>
      </c>
      <c r="I145" t="s">
        <v>14</v>
      </c>
      <c r="J145">
        <v>0</v>
      </c>
      <c r="K145">
        <v>0</v>
      </c>
      <c r="L145">
        <v>0</v>
      </c>
      <c r="M145">
        <v>1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6.3</v>
      </c>
      <c r="AE145">
        <v>127</v>
      </c>
      <c r="AF145">
        <v>23.437826369354791</v>
      </c>
      <c r="AG145">
        <v>15.05815130784511</v>
      </c>
      <c r="AH145">
        <v>14.42227001579835</v>
      </c>
      <c r="AI145">
        <f>12.0731788449476*1</f>
        <v>12.0731788449476</v>
      </c>
      <c r="AJ145">
        <f>2.46084440449584*1</f>
        <v>2.4608444044958402</v>
      </c>
      <c r="AK145">
        <v>1</v>
      </c>
      <c r="AL145">
        <v>1</v>
      </c>
      <c r="AM145">
        <v>1</v>
      </c>
    </row>
    <row r="146" spans="1:39" hidden="1" x14ac:dyDescent="0.2">
      <c r="A146" t="s">
        <v>353</v>
      </c>
      <c r="B146" t="s">
        <v>354</v>
      </c>
      <c r="C146" t="s">
        <v>354</v>
      </c>
      <c r="D146" t="s">
        <v>4</v>
      </c>
      <c r="E146">
        <v>0</v>
      </c>
      <c r="F146">
        <v>1</v>
      </c>
      <c r="G146">
        <v>0</v>
      </c>
      <c r="H146">
        <v>0</v>
      </c>
      <c r="I146" t="s">
        <v>28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1</v>
      </c>
      <c r="AB146">
        <v>0</v>
      </c>
      <c r="AC146">
        <v>0</v>
      </c>
      <c r="AD146">
        <v>4.9000000000000004</v>
      </c>
      <c r="AE146">
        <v>617</v>
      </c>
      <c r="AF146">
        <v>12.84090909090909</v>
      </c>
      <c r="AG146">
        <v>11.851389058932989</v>
      </c>
      <c r="AH146">
        <v>7.9409772749440686</v>
      </c>
      <c r="AI146">
        <f>10.4543731539384*1</f>
        <v>10.4543731539384</v>
      </c>
      <c r="AJ146">
        <f>1.94906465161009*1</f>
        <v>1.94906465161009</v>
      </c>
      <c r="AK146">
        <v>1</v>
      </c>
      <c r="AL146">
        <v>0</v>
      </c>
      <c r="AM146">
        <v>0</v>
      </c>
    </row>
    <row r="147" spans="1:39" hidden="1" x14ac:dyDescent="0.2">
      <c r="A147" t="s">
        <v>355</v>
      </c>
      <c r="B147" t="s">
        <v>356</v>
      </c>
      <c r="C147" t="s">
        <v>356</v>
      </c>
      <c r="D147" t="s">
        <v>3</v>
      </c>
      <c r="E147">
        <v>1</v>
      </c>
      <c r="F147">
        <v>0</v>
      </c>
      <c r="G147">
        <v>0</v>
      </c>
      <c r="H147">
        <v>0</v>
      </c>
      <c r="I147" t="s">
        <v>28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1</v>
      </c>
      <c r="AB147">
        <v>0</v>
      </c>
      <c r="AC147">
        <v>0</v>
      </c>
      <c r="AD147">
        <v>4.9000000000000004</v>
      </c>
      <c r="AE147">
        <v>620</v>
      </c>
      <c r="AF147">
        <v>15.208333333333339</v>
      </c>
      <c r="AG147">
        <v>18.205142475338089</v>
      </c>
      <c r="AH147">
        <v>14.77795997422656</v>
      </c>
      <c r="AI147">
        <f>11.3806478167559*1</f>
        <v>11.3806478167559</v>
      </c>
      <c r="AJ147">
        <f>2.08040915810244*1</f>
        <v>2.08040915810244</v>
      </c>
      <c r="AK147">
        <v>1</v>
      </c>
      <c r="AL147">
        <v>0</v>
      </c>
      <c r="AM147">
        <v>0</v>
      </c>
    </row>
    <row r="148" spans="1:39" hidden="1" x14ac:dyDescent="0.2">
      <c r="A148" t="s">
        <v>357</v>
      </c>
      <c r="B148" t="s">
        <v>358</v>
      </c>
      <c r="C148" t="s">
        <v>358</v>
      </c>
      <c r="D148" t="s">
        <v>5</v>
      </c>
      <c r="E148">
        <v>0</v>
      </c>
      <c r="F148">
        <v>0</v>
      </c>
      <c r="G148">
        <v>1</v>
      </c>
      <c r="H148">
        <v>0</v>
      </c>
      <c r="I148" t="s">
        <v>28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1</v>
      </c>
      <c r="AB148">
        <v>0</v>
      </c>
      <c r="AC148">
        <v>0</v>
      </c>
      <c r="AD148">
        <v>6.2</v>
      </c>
      <c r="AE148">
        <v>621</v>
      </c>
      <c r="AF148">
        <v>16.602564102564099</v>
      </c>
      <c r="AG148">
        <v>24.980090450788541</v>
      </c>
      <c r="AH148">
        <v>5.8629731379731389</v>
      </c>
      <c r="AI148">
        <f>10.0979875378555*1</f>
        <v>10.0979875378555</v>
      </c>
      <c r="AJ148">
        <f>2.14043298154127*1</f>
        <v>2.1404329815412702</v>
      </c>
      <c r="AK148">
        <v>1</v>
      </c>
      <c r="AL148">
        <v>0</v>
      </c>
      <c r="AM148">
        <v>0</v>
      </c>
    </row>
    <row r="149" spans="1:39" hidden="1" x14ac:dyDescent="0.2">
      <c r="A149" t="s">
        <v>359</v>
      </c>
      <c r="B149" t="s">
        <v>360</v>
      </c>
      <c r="C149" t="s">
        <v>360</v>
      </c>
      <c r="D149" t="s">
        <v>4</v>
      </c>
      <c r="E149">
        <v>0</v>
      </c>
      <c r="F149">
        <v>1</v>
      </c>
      <c r="G149">
        <v>0</v>
      </c>
      <c r="H149">
        <v>0</v>
      </c>
      <c r="I149" t="s">
        <v>29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1</v>
      </c>
      <c r="AC149">
        <v>0</v>
      </c>
      <c r="AD149">
        <v>4.5999999999999996</v>
      </c>
      <c r="AE149">
        <v>631</v>
      </c>
      <c r="AF149">
        <v>16.14942528735634</v>
      </c>
      <c r="AG149">
        <v>17.237768825266421</v>
      </c>
      <c r="AH149">
        <v>11.540422840376801</v>
      </c>
      <c r="AI149">
        <f>23.1033917149745*1</f>
        <v>23.103391714974499</v>
      </c>
      <c r="AJ149">
        <f>4.90291988879826*1</f>
        <v>4.9029198887982597</v>
      </c>
      <c r="AK149">
        <v>1</v>
      </c>
      <c r="AL149">
        <v>0</v>
      </c>
      <c r="AM149">
        <v>0</v>
      </c>
    </row>
    <row r="150" spans="1:39" hidden="1" x14ac:dyDescent="0.2">
      <c r="A150" t="s">
        <v>361</v>
      </c>
      <c r="B150" t="s">
        <v>362</v>
      </c>
      <c r="C150" t="s">
        <v>362</v>
      </c>
      <c r="D150" t="s">
        <v>5</v>
      </c>
      <c r="E150">
        <v>0</v>
      </c>
      <c r="F150">
        <v>0</v>
      </c>
      <c r="G150">
        <v>1</v>
      </c>
      <c r="H150">
        <v>0</v>
      </c>
      <c r="I150" t="s">
        <v>29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1</v>
      </c>
      <c r="AC150">
        <v>0</v>
      </c>
      <c r="AD150">
        <v>7.5</v>
      </c>
      <c r="AE150">
        <v>635</v>
      </c>
      <c r="AF150">
        <v>22.12765085792979</v>
      </c>
      <c r="AG150">
        <v>21.642339739750991</v>
      </c>
      <c r="AH150">
        <v>51.264394792644268</v>
      </c>
      <c r="AI150">
        <f>14.5446383338599*1</f>
        <v>14.544638333859901</v>
      </c>
      <c r="AJ150">
        <f>2.46376207946494*1</f>
        <v>2.46376207946494</v>
      </c>
      <c r="AK150">
        <v>1</v>
      </c>
      <c r="AL150">
        <v>0</v>
      </c>
      <c r="AM150">
        <v>0</v>
      </c>
    </row>
    <row r="151" spans="1:39" hidden="1" x14ac:dyDescent="0.2">
      <c r="A151" t="s">
        <v>363</v>
      </c>
      <c r="B151" t="s">
        <v>364</v>
      </c>
      <c r="C151" t="s">
        <v>363</v>
      </c>
      <c r="D151" t="s">
        <v>4</v>
      </c>
      <c r="E151">
        <v>0</v>
      </c>
      <c r="F151">
        <v>1</v>
      </c>
      <c r="G151">
        <v>0</v>
      </c>
      <c r="H151">
        <v>0</v>
      </c>
      <c r="I151" t="s">
        <v>29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1</v>
      </c>
      <c r="AC151">
        <v>0</v>
      </c>
      <c r="AD151">
        <v>4.4000000000000004</v>
      </c>
      <c r="AE151">
        <v>639</v>
      </c>
      <c r="AF151">
        <v>10.07924753916169</v>
      </c>
      <c r="AG151">
        <v>9.1581371019130913</v>
      </c>
      <c r="AH151">
        <v>7.4781409691022134</v>
      </c>
      <c r="AI151">
        <f>12.0276860189137*1</f>
        <v>12.0276860189137</v>
      </c>
      <c r="AJ151">
        <f>2.19435816701959*1</f>
        <v>2.19435816701959</v>
      </c>
      <c r="AK151">
        <v>1</v>
      </c>
      <c r="AL151">
        <v>0</v>
      </c>
      <c r="AM151">
        <v>0</v>
      </c>
    </row>
    <row r="152" spans="1:39" hidden="1" x14ac:dyDescent="0.2">
      <c r="A152" t="s">
        <v>365</v>
      </c>
      <c r="B152" t="s">
        <v>366</v>
      </c>
      <c r="C152" t="s">
        <v>366</v>
      </c>
      <c r="D152" t="s">
        <v>5</v>
      </c>
      <c r="E152">
        <v>0</v>
      </c>
      <c r="F152">
        <v>0</v>
      </c>
      <c r="G152">
        <v>1</v>
      </c>
      <c r="H152">
        <v>0</v>
      </c>
      <c r="I152" t="s">
        <v>29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1</v>
      </c>
      <c r="AC152">
        <v>0</v>
      </c>
      <c r="AD152">
        <v>6.2</v>
      </c>
      <c r="AE152">
        <v>644</v>
      </c>
      <c r="AF152">
        <v>21.31987787778527</v>
      </c>
      <c r="AG152">
        <v>18.443104819466338</v>
      </c>
      <c r="AH152">
        <v>33.061452762923352</v>
      </c>
      <c r="AI152">
        <f>16.05756099997*1</f>
        <v>16.057560999970001</v>
      </c>
      <c r="AJ152">
        <f>3.22242648102693*1</f>
        <v>3.2224264810269299</v>
      </c>
      <c r="AK152">
        <v>1</v>
      </c>
      <c r="AL152">
        <v>0</v>
      </c>
      <c r="AM152">
        <v>0</v>
      </c>
    </row>
    <row r="153" spans="1:39" hidden="1" x14ac:dyDescent="0.2">
      <c r="A153" t="s">
        <v>367</v>
      </c>
      <c r="B153" t="s">
        <v>368</v>
      </c>
      <c r="C153" t="s">
        <v>369</v>
      </c>
      <c r="D153" t="s">
        <v>5</v>
      </c>
      <c r="E153">
        <v>0</v>
      </c>
      <c r="F153">
        <v>0</v>
      </c>
      <c r="G153">
        <v>1</v>
      </c>
      <c r="H153">
        <v>0</v>
      </c>
      <c r="I153" t="s">
        <v>29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1</v>
      </c>
      <c r="AC153">
        <v>0</v>
      </c>
      <c r="AD153">
        <v>5.7</v>
      </c>
      <c r="AE153">
        <v>646</v>
      </c>
      <c r="AF153">
        <v>16.192778948581189</v>
      </c>
      <c r="AG153">
        <v>20.964856846292271</v>
      </c>
      <c r="AH153">
        <v>16.216029758719689</v>
      </c>
      <c r="AI153">
        <f>12.4737890284856*1</f>
        <v>12.4737890284856</v>
      </c>
      <c r="AJ153">
        <f>2.65342981887985*1</f>
        <v>2.6534298188798502</v>
      </c>
      <c r="AK153">
        <v>1</v>
      </c>
      <c r="AL153">
        <v>0</v>
      </c>
      <c r="AM153">
        <v>0</v>
      </c>
    </row>
    <row r="154" spans="1:39" hidden="1" x14ac:dyDescent="0.2">
      <c r="A154" t="s">
        <v>370</v>
      </c>
      <c r="B154" t="s">
        <v>371</v>
      </c>
      <c r="C154" t="s">
        <v>371</v>
      </c>
      <c r="D154" t="s">
        <v>5</v>
      </c>
      <c r="E154">
        <v>0</v>
      </c>
      <c r="F154">
        <v>0</v>
      </c>
      <c r="G154">
        <v>1</v>
      </c>
      <c r="H154">
        <v>0</v>
      </c>
      <c r="I154" t="s">
        <v>29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1</v>
      </c>
      <c r="AC154">
        <v>0</v>
      </c>
      <c r="AD154">
        <v>4.9000000000000004</v>
      </c>
      <c r="AE154">
        <v>649</v>
      </c>
      <c r="AF154">
        <v>16.415094339622641</v>
      </c>
      <c r="AG154">
        <v>12.29354051889827</v>
      </c>
      <c r="AH154">
        <v>16.273684210526319</v>
      </c>
      <c r="AI154">
        <f>9.08352896237428*1</f>
        <v>9.0835289623742792</v>
      </c>
      <c r="AJ154">
        <f>1.82539850520423*1</f>
        <v>1.8253985052042301</v>
      </c>
      <c r="AK154">
        <v>1</v>
      </c>
      <c r="AL154">
        <v>0</v>
      </c>
      <c r="AM154">
        <v>0</v>
      </c>
    </row>
    <row r="155" spans="1:39" hidden="1" x14ac:dyDescent="0.2">
      <c r="A155" t="s">
        <v>372</v>
      </c>
      <c r="B155" t="s">
        <v>373</v>
      </c>
      <c r="C155" t="s">
        <v>373</v>
      </c>
      <c r="D155" t="s">
        <v>5</v>
      </c>
      <c r="E155">
        <v>0</v>
      </c>
      <c r="F155">
        <v>0</v>
      </c>
      <c r="G155">
        <v>1</v>
      </c>
      <c r="H155">
        <v>0</v>
      </c>
      <c r="I155" t="s">
        <v>30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1</v>
      </c>
      <c r="AD155">
        <v>5</v>
      </c>
      <c r="AE155">
        <v>664</v>
      </c>
      <c r="AF155">
        <v>10.540540540540549</v>
      </c>
      <c r="AG155">
        <v>15.14120988426334</v>
      </c>
      <c r="AH155">
        <v>7.849732853864329</v>
      </c>
      <c r="AI155">
        <f>8.40254340412917*1</f>
        <v>8.4025434041291707</v>
      </c>
      <c r="AJ155">
        <f>1.52574344366262*1</f>
        <v>1.52574344366262</v>
      </c>
      <c r="AK155">
        <v>1</v>
      </c>
      <c r="AL155">
        <v>0</v>
      </c>
      <c r="AM155">
        <v>0</v>
      </c>
    </row>
    <row r="156" spans="1:39" x14ac:dyDescent="0.2">
      <c r="A156" t="s">
        <v>374</v>
      </c>
      <c r="B156" t="s">
        <v>375</v>
      </c>
      <c r="C156" t="s">
        <v>376</v>
      </c>
      <c r="D156" t="s">
        <v>6</v>
      </c>
      <c r="E156">
        <v>0</v>
      </c>
      <c r="F156">
        <v>0</v>
      </c>
      <c r="G156">
        <v>0</v>
      </c>
      <c r="H156">
        <v>1</v>
      </c>
      <c r="I156" t="s">
        <v>30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1</v>
      </c>
      <c r="AD156">
        <v>7.1</v>
      </c>
      <c r="AE156">
        <v>670</v>
      </c>
      <c r="AF156">
        <v>29.030514625795039</v>
      </c>
      <c r="AG156">
        <v>18.0694503059851</v>
      </c>
      <c r="AH156">
        <v>44.703650793650787</v>
      </c>
      <c r="AI156">
        <f>12.9438751873269*1</f>
        <v>12.943875187326899</v>
      </c>
      <c r="AJ156">
        <f>2.34138737781043*1</f>
        <v>2.3413873778104302</v>
      </c>
      <c r="AK156">
        <v>1</v>
      </c>
      <c r="AL156">
        <v>1</v>
      </c>
      <c r="AM156">
        <v>1</v>
      </c>
    </row>
    <row r="157" spans="1:39" hidden="1" x14ac:dyDescent="0.2">
      <c r="A157" t="s">
        <v>377</v>
      </c>
      <c r="B157" t="s">
        <v>378</v>
      </c>
      <c r="C157" t="s">
        <v>379</v>
      </c>
      <c r="D157" t="s">
        <v>5</v>
      </c>
      <c r="E157">
        <v>0</v>
      </c>
      <c r="F157">
        <v>0</v>
      </c>
      <c r="G157">
        <v>1</v>
      </c>
      <c r="H157">
        <v>0</v>
      </c>
      <c r="I157" t="s">
        <v>30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1</v>
      </c>
      <c r="AD157">
        <v>5.3</v>
      </c>
      <c r="AE157">
        <v>677</v>
      </c>
      <c r="AF157">
        <v>12.592592592592601</v>
      </c>
      <c r="AG157">
        <v>11.18532587990226</v>
      </c>
      <c r="AH157">
        <v>14.87123563900972</v>
      </c>
      <c r="AI157">
        <f>22.135622335463*1</f>
        <v>22.135622335463001</v>
      </c>
      <c r="AJ157">
        <f>4.39844623491219*1</f>
        <v>4.39844623491219</v>
      </c>
      <c r="AK157">
        <v>1</v>
      </c>
      <c r="AL157">
        <v>0</v>
      </c>
      <c r="AM157">
        <v>0</v>
      </c>
    </row>
    <row r="158" spans="1:39" hidden="1" x14ac:dyDescent="0.2">
      <c r="A158" t="s">
        <v>380</v>
      </c>
      <c r="B158" t="s">
        <v>381</v>
      </c>
      <c r="C158" t="s">
        <v>382</v>
      </c>
      <c r="D158" t="s">
        <v>5</v>
      </c>
      <c r="E158">
        <v>0</v>
      </c>
      <c r="F158">
        <v>0</v>
      </c>
      <c r="G158">
        <v>1</v>
      </c>
      <c r="H158">
        <v>0</v>
      </c>
      <c r="I158" t="s">
        <v>30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1</v>
      </c>
      <c r="AD158">
        <v>4.9000000000000004</v>
      </c>
      <c r="AE158">
        <v>682</v>
      </c>
      <c r="AF158">
        <v>11.482829636328409</v>
      </c>
      <c r="AG158">
        <v>9.5966867847837687</v>
      </c>
      <c r="AH158">
        <v>11.96793506493507</v>
      </c>
      <c r="AI158">
        <f>16.6304049245504*1</f>
        <v>16.630404924550401</v>
      </c>
      <c r="AJ158">
        <f>2.88323219373333*1</f>
        <v>2.8832321937333298</v>
      </c>
      <c r="AK158">
        <v>1</v>
      </c>
      <c r="AL158">
        <v>0</v>
      </c>
      <c r="AM158">
        <v>0</v>
      </c>
    </row>
    <row r="159" spans="1:39" hidden="1" x14ac:dyDescent="0.2">
      <c r="A159" t="s">
        <v>383</v>
      </c>
      <c r="B159" t="s">
        <v>384</v>
      </c>
      <c r="C159" t="s">
        <v>385</v>
      </c>
      <c r="D159" t="s">
        <v>5</v>
      </c>
      <c r="E159">
        <v>0</v>
      </c>
      <c r="F159">
        <v>0</v>
      </c>
      <c r="G159">
        <v>1</v>
      </c>
      <c r="H159">
        <v>0</v>
      </c>
      <c r="I159" t="s">
        <v>30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1</v>
      </c>
      <c r="AD159">
        <v>5</v>
      </c>
      <c r="AE159">
        <v>686</v>
      </c>
      <c r="AF159">
        <v>11.65217391304347</v>
      </c>
      <c r="AG159">
        <v>10.498614143962451</v>
      </c>
      <c r="AH159">
        <v>10.22453771144527</v>
      </c>
      <c r="AI159">
        <f>9.22437237862212*1</f>
        <v>9.2243723786221192</v>
      </c>
      <c r="AJ159">
        <f>1.79782374939081*1</f>
        <v>1.79782374939081</v>
      </c>
      <c r="AK159">
        <v>1</v>
      </c>
      <c r="AL159">
        <v>0</v>
      </c>
      <c r="AM159">
        <v>0</v>
      </c>
    </row>
    <row r="160" spans="1:39" hidden="1" x14ac:dyDescent="0.2">
      <c r="A160" t="s">
        <v>386</v>
      </c>
      <c r="B160" t="s">
        <v>387</v>
      </c>
      <c r="C160" t="s">
        <v>388</v>
      </c>
      <c r="D160" t="s">
        <v>4</v>
      </c>
      <c r="E160">
        <v>0</v>
      </c>
      <c r="F160">
        <v>1</v>
      </c>
      <c r="G160">
        <v>0</v>
      </c>
      <c r="H160">
        <v>0</v>
      </c>
      <c r="I160" t="s">
        <v>30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1</v>
      </c>
      <c r="AD160">
        <v>4.5</v>
      </c>
      <c r="AE160">
        <v>688</v>
      </c>
      <c r="AF160">
        <v>0</v>
      </c>
      <c r="AG160">
        <v>0</v>
      </c>
      <c r="AH160">
        <v>0</v>
      </c>
      <c r="AI160">
        <f>0*1</f>
        <v>0</v>
      </c>
      <c r="AJ160">
        <f>0*1</f>
        <v>0</v>
      </c>
      <c r="AK160">
        <v>1</v>
      </c>
      <c r="AL160">
        <v>0</v>
      </c>
      <c r="AM160">
        <v>0</v>
      </c>
    </row>
    <row r="161" spans="1:39" hidden="1" x14ac:dyDescent="0.2">
      <c r="A161" t="s">
        <v>389</v>
      </c>
      <c r="B161" t="s">
        <v>390</v>
      </c>
      <c r="C161" t="s">
        <v>390</v>
      </c>
      <c r="D161" t="s">
        <v>6</v>
      </c>
      <c r="E161">
        <v>0</v>
      </c>
      <c r="F161">
        <v>0</v>
      </c>
      <c r="G161">
        <v>0</v>
      </c>
      <c r="H161">
        <v>1</v>
      </c>
      <c r="I161" t="s">
        <v>30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1</v>
      </c>
      <c r="AD161">
        <v>5.6</v>
      </c>
      <c r="AE161">
        <v>694</v>
      </c>
      <c r="AF161">
        <v>0</v>
      </c>
      <c r="AG161">
        <v>0</v>
      </c>
      <c r="AH161">
        <v>0</v>
      </c>
      <c r="AI161">
        <f>0*1</f>
        <v>0</v>
      </c>
      <c r="AJ161">
        <f>0*1</f>
        <v>0</v>
      </c>
      <c r="AK161">
        <v>1</v>
      </c>
      <c r="AL161">
        <v>0</v>
      </c>
      <c r="AM161">
        <v>0</v>
      </c>
    </row>
  </sheetData>
  <pageMargins left="0.7" right="0.7" top="0.75" bottom="0.75" header="0.3" footer="0.3"/>
  <pageSetup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Gabe Corridore</cp:lastModifiedBy>
  <dcterms:created xsi:type="dcterms:W3CDTF">2024-12-26T00:45:24Z</dcterms:created>
  <dcterms:modified xsi:type="dcterms:W3CDTF">2024-12-26T00:49:12Z</dcterms:modified>
</cp:coreProperties>
</file>