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rridog/Documents/FPL-predictor/Predictions/2024-25/"/>
    </mc:Choice>
  </mc:AlternateContent>
  <xr:revisionPtr revIDLastSave="0" documentId="13_ncr:1_{663DB02D-4628-2E46-808E-DBB25C17AED7}" xr6:coauthVersionLast="47" xr6:coauthVersionMax="47" xr10:uidLastSave="{00000000-0000-0000-0000-000000000000}"/>
  <bookViews>
    <workbookView xWindow="240" yWindow="760" windowWidth="34320" windowHeight="21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127" i="1" l="1"/>
  <c r="AI127" i="1"/>
  <c r="AJ126" i="1"/>
  <c r="AI126" i="1"/>
  <c r="AJ125" i="1"/>
  <c r="AI125" i="1"/>
  <c r="AJ124" i="1"/>
  <c r="AI124" i="1"/>
  <c r="AJ123" i="1"/>
  <c r="AI123" i="1"/>
  <c r="AJ122" i="1"/>
  <c r="AI122" i="1"/>
  <c r="AJ121" i="1"/>
  <c r="AI121" i="1"/>
  <c r="AJ120" i="1"/>
  <c r="AI120" i="1"/>
  <c r="AJ119" i="1"/>
  <c r="AI119" i="1"/>
  <c r="AJ118" i="1"/>
  <c r="AI118" i="1"/>
  <c r="AJ117" i="1"/>
  <c r="AI117" i="1"/>
  <c r="AJ116" i="1"/>
  <c r="AI116" i="1"/>
  <c r="AJ115" i="1"/>
  <c r="AI115" i="1"/>
  <c r="AJ114" i="1"/>
  <c r="AI114" i="1"/>
  <c r="AJ113" i="1"/>
  <c r="AI113" i="1"/>
  <c r="AJ112" i="1"/>
  <c r="AI112" i="1"/>
  <c r="AJ111" i="1"/>
  <c r="AI111" i="1"/>
  <c r="AJ90" i="1"/>
  <c r="AI90" i="1"/>
  <c r="AJ109" i="1"/>
  <c r="AI109" i="1"/>
  <c r="AJ108" i="1"/>
  <c r="AI108" i="1"/>
  <c r="AJ107" i="1"/>
  <c r="AI107" i="1"/>
  <c r="AJ106" i="1"/>
  <c r="AI106" i="1"/>
  <c r="AJ105" i="1"/>
  <c r="AI105" i="1"/>
  <c r="AJ104" i="1"/>
  <c r="AI104" i="1"/>
  <c r="AJ54" i="1"/>
  <c r="AI54" i="1"/>
  <c r="AJ102" i="1"/>
  <c r="AI102" i="1"/>
  <c r="AJ101" i="1"/>
  <c r="AI101" i="1"/>
  <c r="AJ100" i="1"/>
  <c r="AI100" i="1"/>
  <c r="AJ99" i="1"/>
  <c r="AI99" i="1"/>
  <c r="AJ98" i="1"/>
  <c r="AI98" i="1"/>
  <c r="AJ57" i="1"/>
  <c r="AI57" i="1"/>
  <c r="AJ96" i="1"/>
  <c r="AI96" i="1"/>
  <c r="AJ55" i="1"/>
  <c r="AI55" i="1"/>
  <c r="AJ94" i="1"/>
  <c r="AI94" i="1"/>
  <c r="AJ93" i="1"/>
  <c r="AI93" i="1"/>
  <c r="AJ92" i="1"/>
  <c r="AI92" i="1"/>
  <c r="AJ91" i="1"/>
  <c r="AI91" i="1"/>
  <c r="AJ7" i="1"/>
  <c r="AI7" i="1"/>
  <c r="AJ89" i="1"/>
  <c r="AI89" i="1"/>
  <c r="AJ88" i="1"/>
  <c r="AI88" i="1"/>
  <c r="AJ87" i="1"/>
  <c r="AI87" i="1"/>
  <c r="AJ86" i="1"/>
  <c r="AI86" i="1"/>
  <c r="AJ85" i="1"/>
  <c r="AI85" i="1"/>
  <c r="AJ84" i="1"/>
  <c r="AI84" i="1"/>
  <c r="AJ83" i="1"/>
  <c r="AI83" i="1"/>
  <c r="AJ82" i="1"/>
  <c r="AI82" i="1"/>
  <c r="AJ81" i="1"/>
  <c r="AI81" i="1"/>
  <c r="AJ80" i="1"/>
  <c r="AI80" i="1"/>
  <c r="AJ79" i="1"/>
  <c r="AI79" i="1"/>
  <c r="AJ78" i="1"/>
  <c r="AI78" i="1"/>
  <c r="AJ77" i="1"/>
  <c r="AI77" i="1"/>
  <c r="AJ76" i="1"/>
  <c r="AI76" i="1"/>
  <c r="AJ75" i="1"/>
  <c r="AI75" i="1"/>
  <c r="AJ74" i="1"/>
  <c r="AI74" i="1"/>
  <c r="AJ73" i="1"/>
  <c r="AI73" i="1"/>
  <c r="AJ72" i="1"/>
  <c r="AI72" i="1"/>
  <c r="AJ71" i="1"/>
  <c r="AI71" i="1"/>
  <c r="AJ70" i="1"/>
  <c r="AI70" i="1"/>
  <c r="AJ69" i="1"/>
  <c r="AI69" i="1"/>
  <c r="AJ68" i="1"/>
  <c r="AI68" i="1"/>
  <c r="AJ67" i="1"/>
  <c r="AI67" i="1"/>
  <c r="AJ66" i="1"/>
  <c r="AI66" i="1"/>
  <c r="AJ65" i="1"/>
  <c r="AI65" i="1"/>
  <c r="AJ64" i="1"/>
  <c r="AI64" i="1"/>
  <c r="AJ63" i="1"/>
  <c r="AI63" i="1"/>
  <c r="AJ62" i="1"/>
  <c r="AI62" i="1"/>
  <c r="AJ61" i="1"/>
  <c r="AI61" i="1"/>
  <c r="AJ60" i="1"/>
  <c r="AI60" i="1"/>
  <c r="AJ59" i="1"/>
  <c r="AI59" i="1"/>
  <c r="AJ58" i="1"/>
  <c r="AI58" i="1"/>
  <c r="AJ97" i="1"/>
  <c r="AI97" i="1"/>
  <c r="AJ56" i="1"/>
  <c r="AI56" i="1"/>
  <c r="AJ103" i="1"/>
  <c r="AI103" i="1"/>
  <c r="AJ110" i="1"/>
  <c r="AI110" i="1"/>
  <c r="AJ53" i="1"/>
  <c r="AI53" i="1"/>
  <c r="AJ52" i="1"/>
  <c r="AI52" i="1"/>
  <c r="AJ51" i="1"/>
  <c r="AI51" i="1"/>
  <c r="AJ50" i="1"/>
  <c r="AI50" i="1"/>
  <c r="AJ49" i="1"/>
  <c r="AI49" i="1"/>
  <c r="AJ48" i="1"/>
  <c r="AI48" i="1"/>
  <c r="AJ47" i="1"/>
  <c r="AI47" i="1"/>
  <c r="AJ46" i="1"/>
  <c r="AI46" i="1"/>
  <c r="AJ44" i="1"/>
  <c r="AI44" i="1"/>
  <c r="AJ95" i="1"/>
  <c r="AI95" i="1"/>
  <c r="AJ43" i="1"/>
  <c r="AI43" i="1"/>
  <c r="AJ42" i="1"/>
  <c r="AI42" i="1"/>
  <c r="AJ41" i="1"/>
  <c r="AI41" i="1"/>
  <c r="AJ40" i="1"/>
  <c r="AI40" i="1"/>
  <c r="AJ39" i="1"/>
  <c r="AI39" i="1"/>
  <c r="AJ38" i="1"/>
  <c r="AI38" i="1"/>
  <c r="AP37" i="1"/>
  <c r="AJ37" i="1"/>
  <c r="AI37" i="1"/>
  <c r="AP36" i="1"/>
  <c r="AJ36" i="1"/>
  <c r="AI36" i="1"/>
  <c r="AP35" i="1"/>
  <c r="AJ35" i="1"/>
  <c r="AI35" i="1"/>
  <c r="AP34" i="1"/>
  <c r="AJ34" i="1"/>
  <c r="AI34" i="1"/>
  <c r="AP33" i="1"/>
  <c r="AJ33" i="1"/>
  <c r="AI33" i="1"/>
  <c r="AP32" i="1"/>
  <c r="AJ32" i="1"/>
  <c r="AI32" i="1"/>
  <c r="AP31" i="1"/>
  <c r="AJ31" i="1"/>
  <c r="AI31" i="1"/>
  <c r="AP30" i="1"/>
  <c r="AJ30" i="1"/>
  <c r="AI30" i="1"/>
  <c r="AP29" i="1"/>
  <c r="AJ29" i="1"/>
  <c r="AI29" i="1"/>
  <c r="AP28" i="1"/>
  <c r="AJ28" i="1"/>
  <c r="AI28" i="1"/>
  <c r="AP27" i="1"/>
  <c r="AJ27" i="1"/>
  <c r="AI27" i="1"/>
  <c r="AP26" i="1"/>
  <c r="AJ26" i="1"/>
  <c r="AI26" i="1"/>
  <c r="AP25" i="1"/>
  <c r="AJ25" i="1"/>
  <c r="AI25" i="1"/>
  <c r="AP24" i="1"/>
  <c r="AJ24" i="1"/>
  <c r="AI24" i="1"/>
  <c r="AP23" i="1"/>
  <c r="AJ23" i="1"/>
  <c r="AI23" i="1"/>
  <c r="AP22" i="1"/>
  <c r="AJ22" i="1"/>
  <c r="AI22" i="1"/>
  <c r="AP21" i="1"/>
  <c r="AJ21" i="1"/>
  <c r="AI21" i="1"/>
  <c r="AP20" i="1"/>
  <c r="AJ20" i="1"/>
  <c r="AI20" i="1"/>
  <c r="AP19" i="1"/>
  <c r="AJ19" i="1"/>
  <c r="AI19" i="1"/>
  <c r="AP18" i="1"/>
  <c r="AJ18" i="1"/>
  <c r="AI18" i="1"/>
  <c r="AJ17" i="1"/>
  <c r="AI17" i="1"/>
  <c r="AJ16" i="1"/>
  <c r="AI16" i="1"/>
  <c r="AJ15" i="1"/>
  <c r="AI15" i="1"/>
  <c r="AJ14" i="1"/>
  <c r="AI14" i="1"/>
  <c r="AJ13" i="1"/>
  <c r="AI13" i="1"/>
  <c r="AJ12" i="1"/>
  <c r="AI12" i="1"/>
  <c r="AP11" i="1"/>
  <c r="AP14" i="1" s="1"/>
  <c r="AJ11" i="1"/>
  <c r="AI11" i="1"/>
  <c r="AJ10" i="1"/>
  <c r="AI10" i="1"/>
  <c r="AP9" i="1"/>
  <c r="AJ9" i="1"/>
  <c r="AI9" i="1"/>
  <c r="AP8" i="1"/>
  <c r="AJ8" i="1"/>
  <c r="AI8" i="1"/>
  <c r="AP7" i="1"/>
  <c r="AJ45" i="1"/>
  <c r="AI45" i="1"/>
  <c r="AP6" i="1"/>
  <c r="AJ6" i="1"/>
  <c r="AI6" i="1"/>
  <c r="AJ5" i="1"/>
  <c r="AI5" i="1"/>
  <c r="AP4" i="1"/>
  <c r="AJ4" i="1"/>
  <c r="AI4" i="1"/>
  <c r="AJ3" i="1"/>
  <c r="AI3" i="1"/>
  <c r="AJ2" i="1"/>
  <c r="AI2" i="1"/>
  <c r="AP2" i="1" s="1"/>
  <c r="AP16" i="1" l="1"/>
</calcChain>
</file>

<file path=xl/sharedStrings.xml><?xml version="1.0" encoding="utf-8"?>
<sst xmlns="http://schemas.openxmlformats.org/spreadsheetml/2006/main" count="700" uniqueCount="312">
  <si>
    <t>Total Points</t>
  </si>
  <si>
    <t>MAX</t>
  </si>
  <si>
    <t>Total Cost</t>
  </si>
  <si>
    <t>GKP</t>
  </si>
  <si>
    <t>DEF</t>
  </si>
  <si>
    <t>MID</t>
  </si>
  <si>
    <t>FWD</t>
  </si>
  <si>
    <t>Transfers</t>
  </si>
  <si>
    <t>Free</t>
  </si>
  <si>
    <t>Cost</t>
  </si>
  <si>
    <t>Profit</t>
  </si>
  <si>
    <t>ARS</t>
  </si>
  <si>
    <t>AVL</t>
  </si>
  <si>
    <t>BOU</t>
  </si>
  <si>
    <t>BRE</t>
  </si>
  <si>
    <t>BHA</t>
  </si>
  <si>
    <t>CHE</t>
  </si>
  <si>
    <t>CRY</t>
  </si>
  <si>
    <t>EVE</t>
  </si>
  <si>
    <t>FUL</t>
  </si>
  <si>
    <t>IPS</t>
  </si>
  <si>
    <t>LEI</t>
  </si>
  <si>
    <t>LIV</t>
  </si>
  <si>
    <t>MCI</t>
  </si>
  <si>
    <t>MUN</t>
  </si>
  <si>
    <t>NEW</t>
  </si>
  <si>
    <t>NFO</t>
  </si>
  <si>
    <t>SOU</t>
  </si>
  <si>
    <t>TOT</t>
  </si>
  <si>
    <t>WHU</t>
  </si>
  <si>
    <t>WOL</t>
  </si>
  <si>
    <t>First Name</t>
  </si>
  <si>
    <t>Surname</t>
  </si>
  <si>
    <t>Web Name</t>
  </si>
  <si>
    <t>Position</t>
  </si>
  <si>
    <t>Team</t>
  </si>
  <si>
    <t>ID</t>
  </si>
  <si>
    <t>ARIMA</t>
  </si>
  <si>
    <t>LSTM</t>
  </si>
  <si>
    <t>FOREST</t>
  </si>
  <si>
    <t>PP</t>
  </si>
  <si>
    <t>NEXT</t>
  </si>
  <si>
    <t>Health</t>
  </si>
  <si>
    <t>PREV</t>
  </si>
  <si>
    <t>Selected</t>
  </si>
  <si>
    <t>Gabriel</t>
  </si>
  <si>
    <t>dos Santos Magalhães</t>
  </si>
  <si>
    <t>Kai</t>
  </si>
  <si>
    <t>Havertz</t>
  </si>
  <si>
    <t>Martinelli Silva</t>
  </si>
  <si>
    <t>Martinelli</t>
  </si>
  <si>
    <t>Martin</t>
  </si>
  <si>
    <t>Ødegaard</t>
  </si>
  <si>
    <t>David</t>
  </si>
  <si>
    <t>Raya Martin</t>
  </si>
  <si>
    <t>Raya</t>
  </si>
  <si>
    <t>Bukayo</t>
  </si>
  <si>
    <t>Saka</t>
  </si>
  <si>
    <t>William</t>
  </si>
  <si>
    <t>Saliba</t>
  </si>
  <si>
    <t>Leandro</t>
  </si>
  <si>
    <t>Trossard</t>
  </si>
  <si>
    <t>Benjamin</t>
  </si>
  <si>
    <t>White</t>
  </si>
  <si>
    <t>Oleksandr</t>
  </si>
  <si>
    <t>Zinchenko</t>
  </si>
  <si>
    <t>Norberto</t>
  </si>
  <si>
    <t>Murara Neto</t>
  </si>
  <si>
    <t>Neto</t>
  </si>
  <si>
    <t>Raheem</t>
  </si>
  <si>
    <t>Sterling</t>
  </si>
  <si>
    <t>Lucas</t>
  </si>
  <si>
    <t>Digne</t>
  </si>
  <si>
    <t>Jhon</t>
  </si>
  <si>
    <t>Durán</t>
  </si>
  <si>
    <t>Duran</t>
  </si>
  <si>
    <t>Ezri</t>
  </si>
  <si>
    <t>Konsa Ngoyo</t>
  </si>
  <si>
    <t>Konsa</t>
  </si>
  <si>
    <t>Youri</t>
  </si>
  <si>
    <t>Tielemans</t>
  </si>
  <si>
    <t>Ollie</t>
  </si>
  <si>
    <t>Watkins</t>
  </si>
  <si>
    <t>Amadou</t>
  </si>
  <si>
    <t>Onana</t>
  </si>
  <si>
    <t>Lewis</t>
  </si>
  <si>
    <t>Cook</t>
  </si>
  <si>
    <t>Justin</t>
  </si>
  <si>
    <t>Kluivert</t>
  </si>
  <si>
    <t>Antoine</t>
  </si>
  <si>
    <t>Semenyo</t>
  </si>
  <si>
    <t>Adam</t>
  </si>
  <si>
    <t>Smith</t>
  </si>
  <si>
    <t>Marcus</t>
  </si>
  <si>
    <t>Tavernier</t>
  </si>
  <si>
    <t>Nathan</t>
  </si>
  <si>
    <t>Collins</t>
  </si>
  <si>
    <t>Mark</t>
  </si>
  <si>
    <t>Flekken</t>
  </si>
  <si>
    <t>Vitaly</t>
  </si>
  <si>
    <t>Janelt</t>
  </si>
  <si>
    <t>Mathias</t>
  </si>
  <si>
    <t>Jensen</t>
  </si>
  <si>
    <t>Keane</t>
  </si>
  <si>
    <t>Lewis-Potter</t>
  </si>
  <si>
    <t>Bryan</t>
  </si>
  <si>
    <t>Mbeumo</t>
  </si>
  <si>
    <t>Yoane</t>
  </si>
  <si>
    <t>Wissa</t>
  </si>
  <si>
    <t>Simon</t>
  </si>
  <si>
    <t>Adingra</t>
  </si>
  <si>
    <t>Dunk</t>
  </si>
  <si>
    <t>Pascal</t>
  </si>
  <si>
    <t>Groß</t>
  </si>
  <si>
    <t>Gross</t>
  </si>
  <si>
    <t>João Pedro</t>
  </si>
  <si>
    <t>Junqueira de Jesus</t>
  </si>
  <si>
    <t>Jan Paul</t>
  </si>
  <si>
    <t>van Hecke</t>
  </si>
  <si>
    <t>Van Hecke</t>
  </si>
  <si>
    <t>Joël</t>
  </si>
  <si>
    <t>Veltman</t>
  </si>
  <si>
    <t>Danny</t>
  </si>
  <si>
    <t>Welbeck</t>
  </si>
  <si>
    <t>Moisés</t>
  </si>
  <si>
    <t>Caicedo Corozo</t>
  </si>
  <si>
    <t>Caicedo</t>
  </si>
  <si>
    <t>Levi</t>
  </si>
  <si>
    <t>Colwill</t>
  </si>
  <si>
    <t>Enzo</t>
  </si>
  <si>
    <t>Fernández</t>
  </si>
  <si>
    <t>Conor</t>
  </si>
  <si>
    <t>Gallagher</t>
  </si>
  <si>
    <t>Malo</t>
  </si>
  <si>
    <t>Gusto</t>
  </si>
  <si>
    <t>Nicolas</t>
  </si>
  <si>
    <t>Jackson</t>
  </si>
  <si>
    <t>N.Jackson</t>
  </si>
  <si>
    <t>Cole</t>
  </si>
  <si>
    <t>Palmer</t>
  </si>
  <si>
    <t>Chris</t>
  </si>
  <si>
    <t>Richards</t>
  </si>
  <si>
    <t>C.Richards</t>
  </si>
  <si>
    <t>Eberechi</t>
  </si>
  <si>
    <t>Eze</t>
  </si>
  <si>
    <t>Jean-Philippe</t>
  </si>
  <si>
    <t>Mateta</t>
  </si>
  <si>
    <t>Tyrick</t>
  </si>
  <si>
    <t>Mitchell</t>
  </si>
  <si>
    <t>Jarrad</t>
  </si>
  <si>
    <t>Branthwaite</t>
  </si>
  <si>
    <t>Dominic</t>
  </si>
  <si>
    <t>Calvert-Lewin</t>
  </si>
  <si>
    <t>Idrissa</t>
  </si>
  <si>
    <t>Gueye</t>
  </si>
  <si>
    <t>Gana</t>
  </si>
  <si>
    <t>Dwight</t>
  </si>
  <si>
    <t>McNeil</t>
  </si>
  <si>
    <t>Vitalii</t>
  </si>
  <si>
    <t>Mykolenko</t>
  </si>
  <si>
    <t>Jordan</t>
  </si>
  <si>
    <t>Pickford</t>
  </si>
  <si>
    <t>Ashley</t>
  </si>
  <si>
    <t>Young</t>
  </si>
  <si>
    <t>Joachim</t>
  </si>
  <si>
    <t>Andersen</t>
  </si>
  <si>
    <t>Timothy</t>
  </si>
  <si>
    <t>Castagne</t>
  </si>
  <si>
    <t>Alex</t>
  </si>
  <si>
    <t>Iwobi</t>
  </si>
  <si>
    <t>Bernd</t>
  </si>
  <si>
    <t>Leno</t>
  </si>
  <si>
    <t>Rodrigo</t>
  </si>
  <si>
    <t>Muniz Carvalho</t>
  </si>
  <si>
    <t>Muniz</t>
  </si>
  <si>
    <t>Raúl</t>
  </si>
  <si>
    <t>Jiménez</t>
  </si>
  <si>
    <t>Antonee</t>
  </si>
  <si>
    <t>Robinson</t>
  </si>
  <si>
    <t>Harry</t>
  </si>
  <si>
    <t>Wilson</t>
  </si>
  <si>
    <t>Dara</t>
  </si>
  <si>
    <t>O'Shea</t>
  </si>
  <si>
    <t>Chiedozie</t>
  </si>
  <si>
    <t>Ogbene</t>
  </si>
  <si>
    <t>Facundo</t>
  </si>
  <si>
    <t>Buonanotte</t>
  </si>
  <si>
    <t>Alisson</t>
  </si>
  <si>
    <t>Ramses Becker</t>
  </si>
  <si>
    <t>A.Becker</t>
  </si>
  <si>
    <t>Trent</t>
  </si>
  <si>
    <t>Alexander-Arnold</t>
  </si>
  <si>
    <t>Harvey</t>
  </si>
  <si>
    <t>Elliott</t>
  </si>
  <si>
    <t>Ibrahima</t>
  </si>
  <si>
    <t>Konaté</t>
  </si>
  <si>
    <t>Luis</t>
  </si>
  <si>
    <t>Díaz</t>
  </si>
  <si>
    <t>Luis Díaz</t>
  </si>
  <si>
    <t>Mohamed</t>
  </si>
  <si>
    <t>Salah</t>
  </si>
  <si>
    <t>M.Salah</t>
  </si>
  <si>
    <t>Alexis</t>
  </si>
  <si>
    <t>Mac Allister</t>
  </si>
  <si>
    <t>Dominik</t>
  </si>
  <si>
    <t>Szoboszlai</t>
  </si>
  <si>
    <t>Virgil</t>
  </si>
  <si>
    <t>van Dijk</t>
  </si>
  <si>
    <t>Manuel</t>
  </si>
  <si>
    <t>Akanji</t>
  </si>
  <si>
    <t>Aké</t>
  </si>
  <si>
    <t>Bernardo</t>
  </si>
  <si>
    <t>Veiga de Carvalho e Silva</t>
  </si>
  <si>
    <t>Jérémy</t>
  </si>
  <si>
    <t>Doku</t>
  </si>
  <si>
    <t>Ederson</t>
  </si>
  <si>
    <t>Santana de Moraes</t>
  </si>
  <si>
    <t>Ederson M.</t>
  </si>
  <si>
    <t>Phil</t>
  </si>
  <si>
    <t>Foden</t>
  </si>
  <si>
    <t>Joško</t>
  </si>
  <si>
    <t>Gvardiol</t>
  </si>
  <si>
    <t>Erling</t>
  </si>
  <si>
    <t>Haaland</t>
  </si>
  <si>
    <t>Julián</t>
  </si>
  <si>
    <t>Álvarez</t>
  </si>
  <si>
    <t>J.Alvarez</t>
  </si>
  <si>
    <t>Mateo</t>
  </si>
  <si>
    <t>Kovačić</t>
  </si>
  <si>
    <t>Kyle</t>
  </si>
  <si>
    <t>Walker</t>
  </si>
  <si>
    <t>Bruno</t>
  </si>
  <si>
    <t>Borges Fernandes</t>
  </si>
  <si>
    <t>B.Fernandes</t>
  </si>
  <si>
    <t>Carlos Henrique</t>
  </si>
  <si>
    <t>Casimiro</t>
  </si>
  <si>
    <t>Casemiro</t>
  </si>
  <si>
    <t>Diogo</t>
  </si>
  <si>
    <t>Dalot Teixeira</t>
  </si>
  <si>
    <t>Dalot</t>
  </si>
  <si>
    <t>Alejandro</t>
  </si>
  <si>
    <t>Garnacho</t>
  </si>
  <si>
    <t>Rasmus</t>
  </si>
  <si>
    <t>Højlund</t>
  </si>
  <si>
    <t>Maguire</t>
  </si>
  <si>
    <t>Kobbie</t>
  </si>
  <si>
    <t>Mainoo</t>
  </si>
  <si>
    <t>André</t>
  </si>
  <si>
    <t>Rashford</t>
  </si>
  <si>
    <t>Guimarães Rodriguez Moura</t>
  </si>
  <si>
    <t>Bruno G.</t>
  </si>
  <si>
    <t>Anthony</t>
  </si>
  <si>
    <t>Gordon</t>
  </si>
  <si>
    <t>Alexander</t>
  </si>
  <si>
    <t>Isak</t>
  </si>
  <si>
    <t>Danilo</t>
  </si>
  <si>
    <t>dos Santos de Oliveira</t>
  </si>
  <si>
    <t>Elanga</t>
  </si>
  <si>
    <t>Morgan</t>
  </si>
  <si>
    <t>Gibbs-White</t>
  </si>
  <si>
    <t>Callum</t>
  </si>
  <si>
    <t>Hudson-Odoi</t>
  </si>
  <si>
    <t>Murillo</t>
  </si>
  <si>
    <t>Santiago Costa dos Santos</t>
  </si>
  <si>
    <t>Wood</t>
  </si>
  <si>
    <t>James</t>
  </si>
  <si>
    <t>Ward-Prowse</t>
  </si>
  <si>
    <t>Brennan</t>
  </si>
  <si>
    <t>Johnson</t>
  </si>
  <si>
    <t>Dejan</t>
  </si>
  <si>
    <t>Kulusevski</t>
  </si>
  <si>
    <t>Maddison</t>
  </si>
  <si>
    <t>Pedro</t>
  </si>
  <si>
    <t>Porro</t>
  </si>
  <si>
    <t>Pedro Porro</t>
  </si>
  <si>
    <t>Richarlison</t>
  </si>
  <si>
    <t>de Andrade</t>
  </si>
  <si>
    <t>Cristian</t>
  </si>
  <si>
    <t>Romero</t>
  </si>
  <si>
    <t>Son</t>
  </si>
  <si>
    <t>Heung-min</t>
  </si>
  <si>
    <t>Micky</t>
  </si>
  <si>
    <t>van de Ven</t>
  </si>
  <si>
    <t>Van de Ven</t>
  </si>
  <si>
    <t>Guglielmo</t>
  </si>
  <si>
    <t>Vicario</t>
  </si>
  <si>
    <t>Odobert</t>
  </si>
  <si>
    <t>Alphonse</t>
  </si>
  <si>
    <t>Areola</t>
  </si>
  <si>
    <t>Jarrod</t>
  </si>
  <si>
    <t>Bowen</t>
  </si>
  <si>
    <t>Wes</t>
  </si>
  <si>
    <t>Foderingham</t>
  </si>
  <si>
    <t>Max</t>
  </si>
  <si>
    <t>Kilman</t>
  </si>
  <si>
    <t>Mohammed</t>
  </si>
  <si>
    <t>Kudus</t>
  </si>
  <si>
    <t>Tolentino Coelho de Lima</t>
  </si>
  <si>
    <t>L.Paquetá</t>
  </si>
  <si>
    <t>Tomáš</t>
  </si>
  <si>
    <t>Souček</t>
  </si>
  <si>
    <t>Jean-Ricner</t>
  </si>
  <si>
    <t>Bellegarde</t>
  </si>
  <si>
    <t>Matheus</t>
  </si>
  <si>
    <t>Santos Carneiro Da Cunha</t>
  </si>
  <si>
    <t>Cunha</t>
  </si>
  <si>
    <t>José</t>
  </si>
  <si>
    <t>Malheiro de Sá</t>
  </si>
  <si>
    <t>José Sá</t>
  </si>
  <si>
    <t>Mario</t>
  </si>
  <si>
    <t>Lemina</t>
  </si>
  <si>
    <t>Mario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</si>
</sst>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M127" totalsRowShown="0">
  <autoFilter ref="A1:AM127" xr:uid="{00000000-0009-0000-0100-000001000000}">
    <filterColumn colId="38">
      <filters>
        <filter val="1"/>
      </filters>
    </filterColumn>
  </autoFilter>
  <sortState xmlns:xlrd2="http://schemas.microsoft.com/office/spreadsheetml/2017/richdata2" ref="A2:AM110">
    <sortCondition descending="1" ref="AJ1:AJ127"/>
  </sortState>
  <tableColumns count="39">
    <tableColumn id="1" xr3:uid="{00000000-0010-0000-0000-000001000000}" name="First Name"/>
    <tableColumn id="2" xr3:uid="{00000000-0010-0000-0000-000002000000}" name="Surname"/>
    <tableColumn id="3" xr3:uid="{00000000-0010-0000-0000-000003000000}" name="Web Name"/>
    <tableColumn id="4" xr3:uid="{00000000-0010-0000-0000-000004000000}" name="Position"/>
    <tableColumn id="5" xr3:uid="{00000000-0010-0000-0000-000005000000}" name="GKP"/>
    <tableColumn id="6" xr3:uid="{00000000-0010-0000-0000-000006000000}" name="DEF"/>
    <tableColumn id="7" xr3:uid="{00000000-0010-0000-0000-000007000000}" name="MID"/>
    <tableColumn id="8" xr3:uid="{00000000-0010-0000-0000-000008000000}" name="FWD"/>
    <tableColumn id="9" xr3:uid="{00000000-0010-0000-0000-000009000000}" name="Team"/>
    <tableColumn id="10" xr3:uid="{00000000-0010-0000-0000-00000A000000}" name="ARS"/>
    <tableColumn id="11" xr3:uid="{00000000-0010-0000-0000-00000B000000}" name="AVL"/>
    <tableColumn id="12" xr3:uid="{00000000-0010-0000-0000-00000C000000}" name="BOU"/>
    <tableColumn id="13" xr3:uid="{00000000-0010-0000-0000-00000D000000}" name="BRE"/>
    <tableColumn id="14" xr3:uid="{00000000-0010-0000-0000-00000E000000}" name="BHA"/>
    <tableColumn id="15" xr3:uid="{00000000-0010-0000-0000-00000F000000}" name="CHE"/>
    <tableColumn id="16" xr3:uid="{00000000-0010-0000-0000-000010000000}" name="CRY"/>
    <tableColumn id="17" xr3:uid="{00000000-0010-0000-0000-000011000000}" name="EVE"/>
    <tableColumn id="18" xr3:uid="{00000000-0010-0000-0000-000012000000}" name="FUL"/>
    <tableColumn id="19" xr3:uid="{00000000-0010-0000-0000-000013000000}" name="IPS"/>
    <tableColumn id="20" xr3:uid="{00000000-0010-0000-0000-000014000000}" name="LEI"/>
    <tableColumn id="21" xr3:uid="{00000000-0010-0000-0000-000015000000}" name="LIV"/>
    <tableColumn id="22" xr3:uid="{00000000-0010-0000-0000-000016000000}" name="MCI"/>
    <tableColumn id="23" xr3:uid="{00000000-0010-0000-0000-000017000000}" name="MUN"/>
    <tableColumn id="24" xr3:uid="{00000000-0010-0000-0000-000018000000}" name="NEW"/>
    <tableColumn id="25" xr3:uid="{00000000-0010-0000-0000-000019000000}" name="NFO"/>
    <tableColumn id="26" xr3:uid="{00000000-0010-0000-0000-00001A000000}" name="SOU"/>
    <tableColumn id="27" xr3:uid="{00000000-0010-0000-0000-00001B000000}" name="TOT"/>
    <tableColumn id="28" xr3:uid="{00000000-0010-0000-0000-00001C000000}" name="WHU"/>
    <tableColumn id="29" xr3:uid="{00000000-0010-0000-0000-00001D000000}" name="WOL"/>
    <tableColumn id="30" xr3:uid="{00000000-0010-0000-0000-00001E000000}" name="Cost"/>
    <tableColumn id="31" xr3:uid="{00000000-0010-0000-0000-00001F000000}" name="ID"/>
    <tableColumn id="32" xr3:uid="{00000000-0010-0000-0000-000020000000}" name="ARIMA"/>
    <tableColumn id="33" xr3:uid="{00000000-0010-0000-0000-000021000000}" name="LSTM"/>
    <tableColumn id="34" xr3:uid="{00000000-0010-0000-0000-000022000000}" name="FOREST"/>
    <tableColumn id="35" xr3:uid="{00000000-0010-0000-0000-000023000000}" name="PP"/>
    <tableColumn id="36" xr3:uid="{00000000-0010-0000-0000-000024000000}" name="NEXT"/>
    <tableColumn id="37" xr3:uid="{00000000-0010-0000-0000-000025000000}" name="Health"/>
    <tableColumn id="38" xr3:uid="{00000000-0010-0000-0000-000026000000}" name="PREV"/>
    <tableColumn id="39" xr3:uid="{00000000-0010-0000-0000-000027000000}" name="Select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27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5" max="8" width="0" hidden="1" customWidth="1"/>
    <col min="10" max="29" width="0" hidden="1" customWidth="1"/>
    <col min="31" max="34" width="0" hidden="1" customWidth="1"/>
  </cols>
  <sheetData>
    <row r="1" spans="1:43" x14ac:dyDescent="0.2">
      <c r="A1" t="s">
        <v>31</v>
      </c>
      <c r="B1" t="s">
        <v>32</v>
      </c>
      <c r="C1" t="s">
        <v>33</v>
      </c>
      <c r="D1" t="s">
        <v>34</v>
      </c>
      <c r="E1" t="s">
        <v>3</v>
      </c>
      <c r="F1" t="s">
        <v>4</v>
      </c>
      <c r="G1" t="s">
        <v>5</v>
      </c>
      <c r="H1" t="s">
        <v>6</v>
      </c>
      <c r="I1" t="s">
        <v>35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9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</row>
    <row r="2" spans="1:43" x14ac:dyDescent="0.2">
      <c r="A2" t="s">
        <v>45</v>
      </c>
      <c r="B2" t="s">
        <v>46</v>
      </c>
      <c r="C2" t="s">
        <v>45</v>
      </c>
      <c r="D2" t="s">
        <v>4</v>
      </c>
      <c r="E2">
        <v>0</v>
      </c>
      <c r="F2">
        <v>1</v>
      </c>
      <c r="G2">
        <v>0</v>
      </c>
      <c r="H2">
        <v>0</v>
      </c>
      <c r="I2" t="s">
        <v>11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6.1</v>
      </c>
      <c r="AE2">
        <v>2</v>
      </c>
      <c r="AF2">
        <v>20.657894736842099</v>
      </c>
      <c r="AG2">
        <v>18.9980710747515</v>
      </c>
      <c r="AH2">
        <v>51.856158987897537</v>
      </c>
      <c r="AI2">
        <f>29.9597888574963*1</f>
        <v>29.959788857496299</v>
      </c>
      <c r="AJ2">
        <f>5.81217696940139*1</f>
        <v>5.8121769694013903</v>
      </c>
      <c r="AK2">
        <v>1</v>
      </c>
      <c r="AL2">
        <v>0</v>
      </c>
      <c r="AM2">
        <v>1</v>
      </c>
      <c r="AO2" t="s">
        <v>0</v>
      </c>
      <c r="AP2">
        <f>SUMPRODUCT(Table1[Selected], Table1[PP])</f>
        <v>248.96800254704232</v>
      </c>
      <c r="AQ2" t="s">
        <v>1</v>
      </c>
    </row>
    <row r="3" spans="1:43" hidden="1" x14ac:dyDescent="0.2">
      <c r="A3" t="s">
        <v>47</v>
      </c>
      <c r="B3" t="s">
        <v>48</v>
      </c>
      <c r="C3" t="s">
        <v>48</v>
      </c>
      <c r="D3" t="s">
        <v>6</v>
      </c>
      <c r="E3">
        <v>0</v>
      </c>
      <c r="F3">
        <v>0</v>
      </c>
      <c r="G3">
        <v>0</v>
      </c>
      <c r="H3">
        <v>1</v>
      </c>
      <c r="I3" t="s">
        <v>11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8.1</v>
      </c>
      <c r="AE3">
        <v>3</v>
      </c>
      <c r="AF3">
        <v>21.61003263494575</v>
      </c>
      <c r="AG3">
        <v>13.317394872670469</v>
      </c>
      <c r="AH3">
        <v>10.37777777777778</v>
      </c>
      <c r="AI3">
        <f>7.82562290418718*1</f>
        <v>7.8256229041871803</v>
      </c>
      <c r="AJ3">
        <f>1.5697868524954*1</f>
        <v>1.5697868524954</v>
      </c>
      <c r="AK3">
        <v>1</v>
      </c>
      <c r="AL3">
        <v>0</v>
      </c>
      <c r="AM3">
        <v>0</v>
      </c>
    </row>
    <row r="4" spans="1:43" hidden="1" x14ac:dyDescent="0.2">
      <c r="A4" t="s">
        <v>45</v>
      </c>
      <c r="B4" t="s">
        <v>49</v>
      </c>
      <c r="C4" t="s">
        <v>50</v>
      </c>
      <c r="D4" t="s">
        <v>5</v>
      </c>
      <c r="E4">
        <v>0</v>
      </c>
      <c r="F4">
        <v>0</v>
      </c>
      <c r="G4">
        <v>1</v>
      </c>
      <c r="H4">
        <v>0</v>
      </c>
      <c r="I4" t="s">
        <v>11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6.9</v>
      </c>
      <c r="AE4">
        <v>8</v>
      </c>
      <c r="AF4">
        <v>15.084909608414851</v>
      </c>
      <c r="AG4">
        <v>28.481847321535671</v>
      </c>
      <c r="AH4">
        <v>17.8</v>
      </c>
      <c r="AI4">
        <f>9.83541193078331*1</f>
        <v>9.8354119307833106</v>
      </c>
      <c r="AJ4">
        <f>1.73544104433378*1</f>
        <v>1.73544104433378</v>
      </c>
      <c r="AK4">
        <v>1</v>
      </c>
      <c r="AL4">
        <v>0</v>
      </c>
      <c r="AM4">
        <v>0</v>
      </c>
      <c r="AO4" t="s">
        <v>2</v>
      </c>
      <c r="AP4">
        <f>SUMPRODUCT(Table1[Selected],Table1[Cost])</f>
        <v>98.4</v>
      </c>
      <c r="AQ4">
        <v>98.8</v>
      </c>
    </row>
    <row r="5" spans="1:43" hidden="1" x14ac:dyDescent="0.2">
      <c r="A5" t="s">
        <v>51</v>
      </c>
      <c r="B5" t="s">
        <v>52</v>
      </c>
      <c r="C5" t="s">
        <v>52</v>
      </c>
      <c r="D5" t="s">
        <v>5</v>
      </c>
      <c r="E5">
        <v>0</v>
      </c>
      <c r="F5">
        <v>0</v>
      </c>
      <c r="G5">
        <v>1</v>
      </c>
      <c r="H5">
        <v>0</v>
      </c>
      <c r="I5" t="s">
        <v>11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8.1999999999999993</v>
      </c>
      <c r="AE5">
        <v>10</v>
      </c>
      <c r="AF5">
        <v>23.432203389830509</v>
      </c>
      <c r="AG5">
        <v>23.53901684298085</v>
      </c>
      <c r="AH5">
        <v>24.006663751209349</v>
      </c>
      <c r="AI5">
        <f>7.96823912493457*1</f>
        <v>7.9682391249345699</v>
      </c>
      <c r="AJ5">
        <f>1.58764076227548*1</f>
        <v>1.58764076227548</v>
      </c>
      <c r="AK5">
        <v>1</v>
      </c>
      <c r="AL5">
        <v>0</v>
      </c>
      <c r="AM5">
        <v>0</v>
      </c>
    </row>
    <row r="6" spans="1:43" hidden="1" x14ac:dyDescent="0.2">
      <c r="A6" t="s">
        <v>53</v>
      </c>
      <c r="B6" t="s">
        <v>54</v>
      </c>
      <c r="C6" t="s">
        <v>55</v>
      </c>
      <c r="D6" t="s">
        <v>3</v>
      </c>
      <c r="E6">
        <v>1</v>
      </c>
      <c r="F6">
        <v>0</v>
      </c>
      <c r="G6">
        <v>0</v>
      </c>
      <c r="H6">
        <v>0</v>
      </c>
      <c r="I6" t="s">
        <v>11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5.6</v>
      </c>
      <c r="AE6">
        <v>11</v>
      </c>
      <c r="AF6">
        <v>21.366324635567491</v>
      </c>
      <c r="AG6">
        <v>18.87047177989103</v>
      </c>
      <c r="AH6">
        <v>30.038306998557001</v>
      </c>
      <c r="AI6">
        <f>18.5231457773067*1</f>
        <v>18.523145777306699</v>
      </c>
      <c r="AJ6">
        <f>3.75522240587607*1</f>
        <v>3.7552224058760699</v>
      </c>
      <c r="AK6">
        <v>1</v>
      </c>
      <c r="AL6">
        <v>0</v>
      </c>
      <c r="AM6">
        <v>0</v>
      </c>
      <c r="AO6" t="s">
        <v>3</v>
      </c>
      <c r="AP6">
        <f>SUMPRODUCT(Table1[Selected],Table1[GKP])</f>
        <v>2</v>
      </c>
      <c r="AQ6">
        <v>2</v>
      </c>
    </row>
    <row r="7" spans="1:43" x14ac:dyDescent="0.2">
      <c r="A7" t="s">
        <v>237</v>
      </c>
      <c r="B7" t="s">
        <v>238</v>
      </c>
      <c r="C7" t="s">
        <v>239</v>
      </c>
      <c r="D7" t="s">
        <v>4</v>
      </c>
      <c r="E7">
        <v>0</v>
      </c>
      <c r="F7">
        <v>1</v>
      </c>
      <c r="G7">
        <v>0</v>
      </c>
      <c r="H7">
        <v>0</v>
      </c>
      <c r="I7" t="s">
        <v>24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</v>
      </c>
      <c r="AE7">
        <v>432</v>
      </c>
      <c r="AF7">
        <v>17.96875</v>
      </c>
      <c r="AG7">
        <v>19.131763031043072</v>
      </c>
      <c r="AH7">
        <v>24.2575308996038</v>
      </c>
      <c r="AI7">
        <f>24.4469433705217*1</f>
        <v>24.446943370521701</v>
      </c>
      <c r="AJ7">
        <f>5.04079028477568*1</f>
        <v>5.0407902847756798</v>
      </c>
      <c r="AK7">
        <v>1</v>
      </c>
      <c r="AL7">
        <v>1</v>
      </c>
      <c r="AM7">
        <v>1</v>
      </c>
      <c r="AO7" t="s">
        <v>4</v>
      </c>
      <c r="AP7">
        <f>SUMPRODUCT(Table1[Selected],Table1[DEF])</f>
        <v>5</v>
      </c>
      <c r="AQ7">
        <v>5</v>
      </c>
    </row>
    <row r="8" spans="1:43" hidden="1" x14ac:dyDescent="0.2">
      <c r="A8" t="s">
        <v>58</v>
      </c>
      <c r="B8" t="s">
        <v>59</v>
      </c>
      <c r="C8" t="s">
        <v>59</v>
      </c>
      <c r="D8" t="s">
        <v>4</v>
      </c>
      <c r="E8">
        <v>0</v>
      </c>
      <c r="F8">
        <v>1</v>
      </c>
      <c r="G8">
        <v>0</v>
      </c>
      <c r="H8">
        <v>0</v>
      </c>
      <c r="I8" t="s">
        <v>11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</v>
      </c>
      <c r="AE8">
        <v>14</v>
      </c>
      <c r="AF8">
        <v>22.30888828634275</v>
      </c>
      <c r="AG8">
        <v>19.915847619101559</v>
      </c>
      <c r="AH8">
        <v>11.958854039663059</v>
      </c>
      <c r="AI8">
        <f>18.8455931012459*1</f>
        <v>18.8455931012459</v>
      </c>
      <c r="AJ8">
        <f>3.76046351958498*1</f>
        <v>3.76046351958498</v>
      </c>
      <c r="AK8">
        <v>1</v>
      </c>
      <c r="AL8">
        <v>0</v>
      </c>
      <c r="AM8">
        <v>0</v>
      </c>
      <c r="AO8" t="s">
        <v>5</v>
      </c>
      <c r="AP8">
        <f>SUMPRODUCT(Table1[Selected],Table1[MID])</f>
        <v>5</v>
      </c>
      <c r="AQ8">
        <v>5</v>
      </c>
    </row>
    <row r="9" spans="1:43" hidden="1" x14ac:dyDescent="0.2">
      <c r="A9" t="s">
        <v>60</v>
      </c>
      <c r="B9" t="s">
        <v>61</v>
      </c>
      <c r="C9" t="s">
        <v>61</v>
      </c>
      <c r="D9" t="s">
        <v>5</v>
      </c>
      <c r="E9">
        <v>0</v>
      </c>
      <c r="F9">
        <v>0</v>
      </c>
      <c r="G9">
        <v>1</v>
      </c>
      <c r="H9">
        <v>0</v>
      </c>
      <c r="I9" t="s">
        <v>11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6.9</v>
      </c>
      <c r="AE9">
        <v>18</v>
      </c>
      <c r="AF9">
        <v>18.419723579233661</v>
      </c>
      <c r="AG9">
        <v>21.718890338426029</v>
      </c>
      <c r="AH9">
        <v>8.7086985646146484</v>
      </c>
      <c r="AI9">
        <f>10.0992186269746*1</f>
        <v>10.099218626974601</v>
      </c>
      <c r="AJ9">
        <f>1.97881938147848*1</f>
        <v>1.97881938147848</v>
      </c>
      <c r="AK9">
        <v>1</v>
      </c>
      <c r="AL9">
        <v>0</v>
      </c>
      <c r="AM9">
        <v>0</v>
      </c>
      <c r="AO9" t="s">
        <v>6</v>
      </c>
      <c r="AP9">
        <f>SUMPRODUCT(Table1[Selected],Table1[FWD])</f>
        <v>3</v>
      </c>
      <c r="AQ9">
        <v>3</v>
      </c>
    </row>
    <row r="10" spans="1:43" hidden="1" x14ac:dyDescent="0.2">
      <c r="A10" t="s">
        <v>62</v>
      </c>
      <c r="B10" t="s">
        <v>63</v>
      </c>
      <c r="C10" t="s">
        <v>63</v>
      </c>
      <c r="D10" t="s">
        <v>4</v>
      </c>
      <c r="E10">
        <v>0</v>
      </c>
      <c r="F10">
        <v>1</v>
      </c>
      <c r="G10">
        <v>0</v>
      </c>
      <c r="H10">
        <v>0</v>
      </c>
      <c r="I10" t="s">
        <v>11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6.5</v>
      </c>
      <c r="AE10">
        <v>19</v>
      </c>
      <c r="AF10">
        <v>22.337662337662319</v>
      </c>
      <c r="AG10">
        <v>18.615025893282009</v>
      </c>
      <c r="AH10">
        <v>21.665237826168902</v>
      </c>
      <c r="AI10">
        <f>14.079328283225*1</f>
        <v>14.079328283224999</v>
      </c>
      <c r="AJ10">
        <f>2.76113326157674*1</f>
        <v>2.7611332615767399</v>
      </c>
      <c r="AK10">
        <v>1</v>
      </c>
      <c r="AL10">
        <v>0</v>
      </c>
      <c r="AM10">
        <v>0</v>
      </c>
    </row>
    <row r="11" spans="1:43" hidden="1" x14ac:dyDescent="0.2">
      <c r="A11" t="s">
        <v>64</v>
      </c>
      <c r="B11" t="s">
        <v>65</v>
      </c>
      <c r="C11" t="s">
        <v>65</v>
      </c>
      <c r="D11" t="s">
        <v>4</v>
      </c>
      <c r="E11">
        <v>0</v>
      </c>
      <c r="F11">
        <v>1</v>
      </c>
      <c r="G11">
        <v>0</v>
      </c>
      <c r="H11">
        <v>0</v>
      </c>
      <c r="I11" t="s">
        <v>11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4.8</v>
      </c>
      <c r="AE11">
        <v>20</v>
      </c>
      <c r="AF11">
        <v>17.008547008547001</v>
      </c>
      <c r="AG11">
        <v>16.316467058074039</v>
      </c>
      <c r="AH11">
        <v>18.12820520130855</v>
      </c>
      <c r="AI11">
        <f>10.6303483436672*1</f>
        <v>10.630348343667199</v>
      </c>
      <c r="AJ11">
        <f>2.13142825664202*1</f>
        <v>2.1314282566420202</v>
      </c>
      <c r="AK11">
        <v>1</v>
      </c>
      <c r="AL11">
        <v>0</v>
      </c>
      <c r="AM11">
        <v>0</v>
      </c>
      <c r="AO11" t="s">
        <v>7</v>
      </c>
      <c r="AP11">
        <f>SUMPRODUCT(Table1[Selected], -- (Table1[PREV] = 0))</f>
        <v>1</v>
      </c>
    </row>
    <row r="12" spans="1:43" hidden="1" x14ac:dyDescent="0.2">
      <c r="A12" t="s">
        <v>66</v>
      </c>
      <c r="B12" t="s">
        <v>67</v>
      </c>
      <c r="C12" t="s">
        <v>68</v>
      </c>
      <c r="D12" t="s">
        <v>3</v>
      </c>
      <c r="E12">
        <v>1</v>
      </c>
      <c r="F12">
        <v>0</v>
      </c>
      <c r="G12">
        <v>0</v>
      </c>
      <c r="H12">
        <v>0</v>
      </c>
      <c r="I12" t="s">
        <v>11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4.3</v>
      </c>
      <c r="AE12">
        <v>21</v>
      </c>
      <c r="AF12">
        <v>17.324115509868388</v>
      </c>
      <c r="AG12">
        <v>19.286042964044949</v>
      </c>
      <c r="AH12">
        <v>13.379551809536061</v>
      </c>
      <c r="AI12">
        <f>13.1025171008266*1</f>
        <v>13.102517100826599</v>
      </c>
      <c r="AJ12">
        <f>2.32134273150025*1</f>
        <v>2.3213427315002502</v>
      </c>
      <c r="AK12">
        <v>1</v>
      </c>
      <c r="AL12">
        <v>0</v>
      </c>
      <c r="AM12">
        <v>0</v>
      </c>
      <c r="AO12" t="s">
        <v>8</v>
      </c>
      <c r="AP12">
        <v>1</v>
      </c>
    </row>
    <row r="13" spans="1:43" hidden="1" x14ac:dyDescent="0.2">
      <c r="A13" t="s">
        <v>69</v>
      </c>
      <c r="B13" t="s">
        <v>70</v>
      </c>
      <c r="C13" t="s">
        <v>70</v>
      </c>
      <c r="D13" t="s">
        <v>5</v>
      </c>
      <c r="E13">
        <v>0</v>
      </c>
      <c r="F13">
        <v>0</v>
      </c>
      <c r="G13">
        <v>1</v>
      </c>
      <c r="H13">
        <v>0</v>
      </c>
      <c r="I13" t="s">
        <v>11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6.8</v>
      </c>
      <c r="AE13">
        <v>22</v>
      </c>
      <c r="AF13">
        <v>17.896795922469689</v>
      </c>
      <c r="AG13">
        <v>29.443245327955811</v>
      </c>
      <c r="AH13">
        <v>22.761689163288189</v>
      </c>
      <c r="AI13">
        <f>12.5684222710644*1</f>
        <v>12.568422271064399</v>
      </c>
      <c r="AJ13">
        <f>2.08332896902402*1</f>
        <v>2.08332896902402</v>
      </c>
      <c r="AK13">
        <v>1</v>
      </c>
      <c r="AL13">
        <v>0</v>
      </c>
      <c r="AM13">
        <v>0</v>
      </c>
    </row>
    <row r="14" spans="1:43" hidden="1" x14ac:dyDescent="0.2">
      <c r="A14" t="s">
        <v>71</v>
      </c>
      <c r="B14" t="s">
        <v>72</v>
      </c>
      <c r="C14" t="s">
        <v>72</v>
      </c>
      <c r="D14" t="s">
        <v>4</v>
      </c>
      <c r="E14">
        <v>0</v>
      </c>
      <c r="F14">
        <v>1</v>
      </c>
      <c r="G14">
        <v>0</v>
      </c>
      <c r="H14">
        <v>0</v>
      </c>
      <c r="I14" t="s">
        <v>12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4.5999999999999996</v>
      </c>
      <c r="AE14">
        <v>39</v>
      </c>
      <c r="AF14">
        <v>12.759446038977719</v>
      </c>
      <c r="AG14">
        <v>15.99933623643302</v>
      </c>
      <c r="AH14">
        <v>22.57503595932992</v>
      </c>
      <c r="AI14">
        <f>5.99399454291106*1</f>
        <v>5.9939945429110599</v>
      </c>
      <c r="AJ14">
        <f>1.12509183213568*1</f>
        <v>1.12509183213568</v>
      </c>
      <c r="AK14">
        <v>1</v>
      </c>
      <c r="AL14">
        <v>0</v>
      </c>
      <c r="AM14">
        <v>0</v>
      </c>
      <c r="AO14" t="s">
        <v>9</v>
      </c>
      <c r="AP14">
        <f>((AP11-AP12)+ABS((AP11-AP12)))/2*4</f>
        <v>0</v>
      </c>
    </row>
    <row r="15" spans="1:43" hidden="1" x14ac:dyDescent="0.2">
      <c r="A15" t="s">
        <v>73</v>
      </c>
      <c r="B15" t="s">
        <v>74</v>
      </c>
      <c r="C15" t="s">
        <v>75</v>
      </c>
      <c r="D15" t="s">
        <v>6</v>
      </c>
      <c r="E15">
        <v>0</v>
      </c>
      <c r="F15">
        <v>0</v>
      </c>
      <c r="G15">
        <v>0</v>
      </c>
      <c r="H15">
        <v>1</v>
      </c>
      <c r="I15" t="s">
        <v>12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6.1</v>
      </c>
      <c r="AE15">
        <v>41</v>
      </c>
      <c r="AF15">
        <v>24.927204329302121</v>
      </c>
      <c r="AG15">
        <v>7.8549617126143074</v>
      </c>
      <c r="AH15">
        <v>29.812999095534991</v>
      </c>
      <c r="AI15">
        <f>15.2050302291381*1</f>
        <v>15.205030229138099</v>
      </c>
      <c r="AJ15">
        <f>2.90490022066092*1</f>
        <v>2.9049002206609198</v>
      </c>
      <c r="AK15">
        <v>1</v>
      </c>
      <c r="AL15">
        <v>0</v>
      </c>
      <c r="AM15">
        <v>0</v>
      </c>
    </row>
    <row r="16" spans="1:43" hidden="1" x14ac:dyDescent="0.2">
      <c r="A16" t="s">
        <v>76</v>
      </c>
      <c r="B16" t="s">
        <v>77</v>
      </c>
      <c r="C16" t="s">
        <v>78</v>
      </c>
      <c r="D16" t="s">
        <v>4</v>
      </c>
      <c r="E16">
        <v>0</v>
      </c>
      <c r="F16">
        <v>1</v>
      </c>
      <c r="G16">
        <v>0</v>
      </c>
      <c r="H16">
        <v>0</v>
      </c>
      <c r="I16" t="s">
        <v>12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4.5</v>
      </c>
      <c r="AE16">
        <v>47</v>
      </c>
      <c r="AF16">
        <v>14.043209876543219</v>
      </c>
      <c r="AG16">
        <v>14.24245077575093</v>
      </c>
      <c r="AH16">
        <v>22.33465155545862</v>
      </c>
      <c r="AI16">
        <f>7.86978808875735*1</f>
        <v>7.8697880887573497</v>
      </c>
      <c r="AJ16">
        <f>1.57445512790611*1</f>
        <v>1.5744551279061101</v>
      </c>
      <c r="AK16">
        <v>1</v>
      </c>
      <c r="AL16">
        <v>0</v>
      </c>
      <c r="AM16">
        <v>0</v>
      </c>
      <c r="AO16" t="s">
        <v>10</v>
      </c>
      <c r="AP16">
        <f>AP2-AP14*5</f>
        <v>248.96800254704232</v>
      </c>
    </row>
    <row r="17" spans="1:43" hidden="1" x14ac:dyDescent="0.2">
      <c r="A17" t="s">
        <v>79</v>
      </c>
      <c r="B17" t="s">
        <v>80</v>
      </c>
      <c r="C17" t="s">
        <v>80</v>
      </c>
      <c r="D17" t="s">
        <v>5</v>
      </c>
      <c r="E17">
        <v>0</v>
      </c>
      <c r="F17">
        <v>0</v>
      </c>
      <c r="G17">
        <v>1</v>
      </c>
      <c r="H17">
        <v>0</v>
      </c>
      <c r="I17" t="s">
        <v>12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5.5</v>
      </c>
      <c r="AE17">
        <v>60</v>
      </c>
      <c r="AF17">
        <v>14.3357304023649</v>
      </c>
      <c r="AG17">
        <v>17.10589686423155</v>
      </c>
      <c r="AH17">
        <v>12.468649237344961</v>
      </c>
      <c r="AI17">
        <f>19.2839508823565*1</f>
        <v>19.2839508823565</v>
      </c>
      <c r="AJ17">
        <f>3.662776619419*1</f>
        <v>3.6627766194190001</v>
      </c>
      <c r="AK17">
        <v>1</v>
      </c>
      <c r="AL17">
        <v>0</v>
      </c>
      <c r="AM17">
        <v>0</v>
      </c>
    </row>
    <row r="18" spans="1:43" hidden="1" x14ac:dyDescent="0.2">
      <c r="A18" t="s">
        <v>81</v>
      </c>
      <c r="B18" t="s">
        <v>82</v>
      </c>
      <c r="C18" t="s">
        <v>82</v>
      </c>
      <c r="D18" t="s">
        <v>6</v>
      </c>
      <c r="E18">
        <v>0</v>
      </c>
      <c r="F18">
        <v>0</v>
      </c>
      <c r="G18">
        <v>0</v>
      </c>
      <c r="H18">
        <v>1</v>
      </c>
      <c r="I18" t="s">
        <v>12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9</v>
      </c>
      <c r="AE18">
        <v>61</v>
      </c>
      <c r="AF18">
        <v>28.158303133935139</v>
      </c>
      <c r="AG18">
        <v>22.849251426876691</v>
      </c>
      <c r="AH18">
        <v>27.471935135367509</v>
      </c>
      <c r="AI18">
        <f>16.0657235126656*1</f>
        <v>16.065723512665599</v>
      </c>
      <c r="AJ18">
        <f>3.14057905883828*1</f>
        <v>3.1405790588382798</v>
      </c>
      <c r="AK18">
        <v>1</v>
      </c>
      <c r="AL18">
        <v>0</v>
      </c>
      <c r="AM18">
        <v>0</v>
      </c>
      <c r="AO18" t="s">
        <v>11</v>
      </c>
      <c r="AP18">
        <f>SUMPRODUCT(Table1[Selected],Table1[ARS])</f>
        <v>2</v>
      </c>
      <c r="AQ18">
        <v>3</v>
      </c>
    </row>
    <row r="19" spans="1:43" hidden="1" x14ac:dyDescent="0.2">
      <c r="A19" t="s">
        <v>83</v>
      </c>
      <c r="B19" t="s">
        <v>84</v>
      </c>
      <c r="C19" t="s">
        <v>84</v>
      </c>
      <c r="D19" t="s">
        <v>5</v>
      </c>
      <c r="E19">
        <v>0</v>
      </c>
      <c r="F19">
        <v>0</v>
      </c>
      <c r="G19">
        <v>1</v>
      </c>
      <c r="H19">
        <v>0</v>
      </c>
      <c r="I19" t="s">
        <v>12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5.2</v>
      </c>
      <c r="AE19">
        <v>62</v>
      </c>
      <c r="AF19">
        <v>12.3922662847043</v>
      </c>
      <c r="AG19">
        <v>12.605289036402221</v>
      </c>
      <c r="AH19">
        <v>13.419884336764181</v>
      </c>
      <c r="AI19">
        <f>15.3596370927003*1</f>
        <v>15.3596370927003</v>
      </c>
      <c r="AJ19">
        <f>4.09430993497246*1</f>
        <v>4.0943099349724603</v>
      </c>
      <c r="AK19">
        <v>1</v>
      </c>
      <c r="AL19">
        <v>0</v>
      </c>
      <c r="AM19">
        <v>0</v>
      </c>
      <c r="AO19" t="s">
        <v>12</v>
      </c>
      <c r="AP19">
        <f>SUMPRODUCT(Table1[Selected],Table1[AVL])</f>
        <v>0</v>
      </c>
      <c r="AQ19">
        <v>3</v>
      </c>
    </row>
    <row r="20" spans="1:43" hidden="1" x14ac:dyDescent="0.2">
      <c r="A20" t="s">
        <v>85</v>
      </c>
      <c r="B20" t="s">
        <v>86</v>
      </c>
      <c r="C20" t="s">
        <v>86</v>
      </c>
      <c r="D20" t="s">
        <v>5</v>
      </c>
      <c r="E20">
        <v>0</v>
      </c>
      <c r="F20">
        <v>0</v>
      </c>
      <c r="G20">
        <v>1</v>
      </c>
      <c r="H20">
        <v>0</v>
      </c>
      <c r="I20" t="s">
        <v>13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</v>
      </c>
      <c r="AE20">
        <v>73</v>
      </c>
      <c r="AF20">
        <v>9.5192307692307701</v>
      </c>
      <c r="AG20">
        <v>8.1427743310506759</v>
      </c>
      <c r="AH20">
        <v>17.102934299422611</v>
      </c>
      <c r="AI20">
        <f>10.1351495796216*1</f>
        <v>10.135149579621601</v>
      </c>
      <c r="AJ20">
        <f>1.8536616374992*1</f>
        <v>1.8536616374992001</v>
      </c>
      <c r="AK20">
        <v>1</v>
      </c>
      <c r="AL20">
        <v>0</v>
      </c>
      <c r="AM20">
        <v>0</v>
      </c>
      <c r="AO20" t="s">
        <v>13</v>
      </c>
      <c r="AP20">
        <f>SUMPRODUCT(Table1[Selected],Table1[BOU])</f>
        <v>0</v>
      </c>
      <c r="AQ20">
        <v>3</v>
      </c>
    </row>
    <row r="21" spans="1:43" hidden="1" x14ac:dyDescent="0.2">
      <c r="A21" t="s">
        <v>87</v>
      </c>
      <c r="B21" t="s">
        <v>88</v>
      </c>
      <c r="C21" t="s">
        <v>88</v>
      </c>
      <c r="D21" t="s">
        <v>5</v>
      </c>
      <c r="E21">
        <v>0</v>
      </c>
      <c r="F21">
        <v>0</v>
      </c>
      <c r="G21">
        <v>1</v>
      </c>
      <c r="H21">
        <v>0</v>
      </c>
      <c r="I21" t="s">
        <v>13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5.4</v>
      </c>
      <c r="AE21">
        <v>80</v>
      </c>
      <c r="AF21">
        <v>15</v>
      </c>
      <c r="AG21">
        <v>24.359053685663699</v>
      </c>
      <c r="AH21">
        <v>18.175000000000001</v>
      </c>
      <c r="AI21">
        <f>5.89613577902479*1</f>
        <v>5.8961357790247897</v>
      </c>
      <c r="AJ21">
        <f>1.18850940170803*1</f>
        <v>1.18850940170803</v>
      </c>
      <c r="AK21">
        <v>1</v>
      </c>
      <c r="AL21">
        <v>0</v>
      </c>
      <c r="AM21">
        <v>0</v>
      </c>
      <c r="AO21" t="s">
        <v>14</v>
      </c>
      <c r="AP21">
        <f>SUMPRODUCT(Table1[Selected],Table1[BRE])</f>
        <v>0</v>
      </c>
      <c r="AQ21">
        <v>3</v>
      </c>
    </row>
    <row r="22" spans="1:43" hidden="1" x14ac:dyDescent="0.2">
      <c r="A22" t="s">
        <v>89</v>
      </c>
      <c r="B22" t="s">
        <v>90</v>
      </c>
      <c r="C22" t="s">
        <v>90</v>
      </c>
      <c r="D22" t="s">
        <v>5</v>
      </c>
      <c r="E22">
        <v>0</v>
      </c>
      <c r="F22">
        <v>0</v>
      </c>
      <c r="G22">
        <v>1</v>
      </c>
      <c r="H22">
        <v>0</v>
      </c>
      <c r="I22" t="s">
        <v>13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5.6</v>
      </c>
      <c r="AE22">
        <v>86</v>
      </c>
      <c r="AF22">
        <v>15.543478260869559</v>
      </c>
      <c r="AG22">
        <v>18.884758867992169</v>
      </c>
      <c r="AH22">
        <v>21.61845910262381</v>
      </c>
      <c r="AI22">
        <f>6.59246326676325*1</f>
        <v>6.5924632667632501</v>
      </c>
      <c r="AJ22">
        <f>1.22896498466884*1</f>
        <v>1.22896498466884</v>
      </c>
      <c r="AK22">
        <v>1</v>
      </c>
      <c r="AL22">
        <v>0</v>
      </c>
      <c r="AM22">
        <v>0</v>
      </c>
      <c r="AO22" t="s">
        <v>15</v>
      </c>
      <c r="AP22">
        <f>SUMPRODUCT(Table1[Selected],Table1[BHA])</f>
        <v>0</v>
      </c>
      <c r="AQ22">
        <v>3</v>
      </c>
    </row>
    <row r="23" spans="1:43" hidden="1" x14ac:dyDescent="0.2">
      <c r="A23" t="s">
        <v>91</v>
      </c>
      <c r="B23" t="s">
        <v>92</v>
      </c>
      <c r="C23" t="s">
        <v>92</v>
      </c>
      <c r="D23" t="s">
        <v>4</v>
      </c>
      <c r="E23">
        <v>0</v>
      </c>
      <c r="F23">
        <v>1</v>
      </c>
      <c r="G23">
        <v>0</v>
      </c>
      <c r="H23">
        <v>0</v>
      </c>
      <c r="I23" t="s">
        <v>13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4.5</v>
      </c>
      <c r="AE23">
        <v>89</v>
      </c>
      <c r="AF23">
        <v>12.11206896551724</v>
      </c>
      <c r="AG23">
        <v>11.326811493860379</v>
      </c>
      <c r="AH23">
        <v>23.25</v>
      </c>
      <c r="AI23">
        <f>14.7747461297912*1</f>
        <v>14.7747461297912</v>
      </c>
      <c r="AJ23">
        <f>2.98230325934602*1</f>
        <v>2.9823032593460201</v>
      </c>
      <c r="AK23">
        <v>1</v>
      </c>
      <c r="AL23">
        <v>0</v>
      </c>
      <c r="AM23">
        <v>0</v>
      </c>
      <c r="AO23" t="s">
        <v>16</v>
      </c>
      <c r="AP23">
        <f>SUMPRODUCT(Table1[Selected],Table1[CHE])</f>
        <v>2</v>
      </c>
      <c r="AQ23">
        <v>3</v>
      </c>
    </row>
    <row r="24" spans="1:43" hidden="1" x14ac:dyDescent="0.2">
      <c r="A24" t="s">
        <v>93</v>
      </c>
      <c r="B24" t="s">
        <v>94</v>
      </c>
      <c r="C24" t="s">
        <v>94</v>
      </c>
      <c r="D24" t="s">
        <v>5</v>
      </c>
      <c r="E24">
        <v>0</v>
      </c>
      <c r="F24">
        <v>0</v>
      </c>
      <c r="G24">
        <v>1</v>
      </c>
      <c r="H24">
        <v>0</v>
      </c>
      <c r="I24" t="s">
        <v>13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5.5</v>
      </c>
      <c r="AE24">
        <v>90</v>
      </c>
      <c r="AF24">
        <v>17.142857142857149</v>
      </c>
      <c r="AG24">
        <v>21.904724808311499</v>
      </c>
      <c r="AH24">
        <v>12.67339382436932</v>
      </c>
      <c r="AI24">
        <f>12.7107462487171*1</f>
        <v>12.710746248717101</v>
      </c>
      <c r="AJ24">
        <f>2.12809639618669*1</f>
        <v>2.1280963961866899</v>
      </c>
      <c r="AK24">
        <v>1</v>
      </c>
      <c r="AL24">
        <v>0</v>
      </c>
      <c r="AM24">
        <v>0</v>
      </c>
      <c r="AO24" t="s">
        <v>17</v>
      </c>
      <c r="AP24">
        <f>SUMPRODUCT(Table1[Selected],Table1[CRY])</f>
        <v>1</v>
      </c>
      <c r="AQ24">
        <v>3</v>
      </c>
    </row>
    <row r="25" spans="1:43" hidden="1" x14ac:dyDescent="0.2">
      <c r="A25" t="s">
        <v>95</v>
      </c>
      <c r="B25" t="s">
        <v>96</v>
      </c>
      <c r="C25" t="s">
        <v>96</v>
      </c>
      <c r="D25" t="s">
        <v>4</v>
      </c>
      <c r="E25">
        <v>0</v>
      </c>
      <c r="F25">
        <v>1</v>
      </c>
      <c r="G25">
        <v>0</v>
      </c>
      <c r="H25">
        <v>0</v>
      </c>
      <c r="I25" t="s">
        <v>14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4.5</v>
      </c>
      <c r="AE25">
        <v>100</v>
      </c>
      <c r="AF25">
        <v>12.312499999999989</v>
      </c>
      <c r="AG25">
        <v>11.600030488210029</v>
      </c>
      <c r="AH25">
        <v>5.9931129234815188</v>
      </c>
      <c r="AI25">
        <f>9.46662875077362*1</f>
        <v>9.4666287507736193</v>
      </c>
      <c r="AJ25">
        <f>1.9236687802671*1</f>
        <v>1.9236687802671</v>
      </c>
      <c r="AK25">
        <v>1</v>
      </c>
      <c r="AL25">
        <v>0</v>
      </c>
      <c r="AM25">
        <v>0</v>
      </c>
      <c r="AO25" t="s">
        <v>18</v>
      </c>
      <c r="AP25">
        <f>SUMPRODUCT(Table1[Selected],Table1[EVE])</f>
        <v>2</v>
      </c>
      <c r="AQ25">
        <v>3</v>
      </c>
    </row>
    <row r="26" spans="1:43" hidden="1" x14ac:dyDescent="0.2">
      <c r="A26" t="s">
        <v>97</v>
      </c>
      <c r="B26" t="s">
        <v>98</v>
      </c>
      <c r="C26" t="s">
        <v>98</v>
      </c>
      <c r="D26" t="s">
        <v>3</v>
      </c>
      <c r="E26">
        <v>1</v>
      </c>
      <c r="F26">
        <v>0</v>
      </c>
      <c r="G26">
        <v>0</v>
      </c>
      <c r="H26">
        <v>0</v>
      </c>
      <c r="I26" t="s">
        <v>14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4.5</v>
      </c>
      <c r="AE26">
        <v>103</v>
      </c>
      <c r="AF26">
        <v>16.219512195121951</v>
      </c>
      <c r="AG26">
        <v>18.487935070936501</v>
      </c>
      <c r="AH26">
        <v>13.16</v>
      </c>
      <c r="AI26">
        <f>7.82007057907716*1</f>
        <v>7.8200705790771599</v>
      </c>
      <c r="AJ26">
        <f>1.36317970270198*1</f>
        <v>1.3631797027019801</v>
      </c>
      <c r="AK26">
        <v>1</v>
      </c>
      <c r="AL26">
        <v>0</v>
      </c>
      <c r="AM26">
        <v>0</v>
      </c>
      <c r="AO26" t="s">
        <v>19</v>
      </c>
      <c r="AP26">
        <f>SUMPRODUCT(Table1[Selected],Table1[FUL])</f>
        <v>1</v>
      </c>
      <c r="AQ26">
        <v>3</v>
      </c>
    </row>
    <row r="27" spans="1:43" hidden="1" x14ac:dyDescent="0.2">
      <c r="A27" t="s">
        <v>99</v>
      </c>
      <c r="B27" t="s">
        <v>100</v>
      </c>
      <c r="C27" t="s">
        <v>100</v>
      </c>
      <c r="D27" t="s">
        <v>5</v>
      </c>
      <c r="E27">
        <v>0</v>
      </c>
      <c r="F27">
        <v>0</v>
      </c>
      <c r="G27">
        <v>1</v>
      </c>
      <c r="H27">
        <v>0</v>
      </c>
      <c r="I27" t="s">
        <v>14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4.9000000000000004</v>
      </c>
      <c r="AE27">
        <v>106</v>
      </c>
      <c r="AF27">
        <v>12.952380952380951</v>
      </c>
      <c r="AG27">
        <v>12.83137787864379</v>
      </c>
      <c r="AH27">
        <v>10.41063576930102</v>
      </c>
      <c r="AI27">
        <f>12.6722507600538*1</f>
        <v>12.672250760053799</v>
      </c>
      <c r="AJ27">
        <f>2.48705031023259*1</f>
        <v>2.4870503102325898</v>
      </c>
      <c r="AK27">
        <v>1</v>
      </c>
      <c r="AL27">
        <v>0</v>
      </c>
      <c r="AM27">
        <v>0</v>
      </c>
      <c r="AO27" t="s">
        <v>20</v>
      </c>
      <c r="AP27">
        <f>SUMPRODUCT(Table1[Selected],Table1[IPS])</f>
        <v>0</v>
      </c>
      <c r="AQ27">
        <v>3</v>
      </c>
    </row>
    <row r="28" spans="1:43" hidden="1" x14ac:dyDescent="0.2">
      <c r="A28" t="s">
        <v>101</v>
      </c>
      <c r="B28" t="s">
        <v>102</v>
      </c>
      <c r="C28" t="s">
        <v>102</v>
      </c>
      <c r="D28" t="s">
        <v>5</v>
      </c>
      <c r="E28">
        <v>0</v>
      </c>
      <c r="F28">
        <v>0</v>
      </c>
      <c r="G28">
        <v>1</v>
      </c>
      <c r="H28">
        <v>0</v>
      </c>
      <c r="I28" t="s">
        <v>14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5.4</v>
      </c>
      <c r="AE28">
        <v>107</v>
      </c>
      <c r="AF28">
        <v>14.994314332958689</v>
      </c>
      <c r="AG28">
        <v>16.455357906862009</v>
      </c>
      <c r="AH28">
        <v>15.070206148110341</v>
      </c>
      <c r="AI28">
        <f>9.75228865176411*1</f>
        <v>9.7522886517641094</v>
      </c>
      <c r="AJ28">
        <f>1.66051788402464*1</f>
        <v>1.66051788402464</v>
      </c>
      <c r="AK28">
        <v>1</v>
      </c>
      <c r="AL28">
        <v>0</v>
      </c>
      <c r="AM28">
        <v>0</v>
      </c>
      <c r="AO28" t="s">
        <v>21</v>
      </c>
      <c r="AP28">
        <f>SUMPRODUCT(Table1[Selected],Table1[LEI])</f>
        <v>0</v>
      </c>
      <c r="AQ28">
        <v>3</v>
      </c>
    </row>
    <row r="29" spans="1:43" hidden="1" x14ac:dyDescent="0.2">
      <c r="A29" t="s">
        <v>103</v>
      </c>
      <c r="B29" t="s">
        <v>104</v>
      </c>
      <c r="C29" t="s">
        <v>104</v>
      </c>
      <c r="D29" t="s">
        <v>5</v>
      </c>
      <c r="E29">
        <v>0</v>
      </c>
      <c r="F29">
        <v>0</v>
      </c>
      <c r="G29">
        <v>1</v>
      </c>
      <c r="H29">
        <v>0</v>
      </c>
      <c r="I29" t="s">
        <v>14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</v>
      </c>
      <c r="AE29">
        <v>110</v>
      </c>
      <c r="AF29">
        <v>11.02272727272727</v>
      </c>
      <c r="AG29">
        <v>6.7057091212659072</v>
      </c>
      <c r="AH29">
        <v>22.24</v>
      </c>
      <c r="AI29">
        <f>11.5880809774838*1</f>
        <v>11.5880809774838</v>
      </c>
      <c r="AJ29">
        <f>2.13471519708284*1</f>
        <v>2.1347151970828402</v>
      </c>
      <c r="AK29">
        <v>1</v>
      </c>
      <c r="AL29">
        <v>0</v>
      </c>
      <c r="AM29">
        <v>0</v>
      </c>
      <c r="AO29" t="s">
        <v>22</v>
      </c>
      <c r="AP29">
        <f>SUMPRODUCT(Table1[Selected],Table1[LIV])</f>
        <v>0</v>
      </c>
      <c r="AQ29">
        <v>3</v>
      </c>
    </row>
    <row r="30" spans="1:43" hidden="1" x14ac:dyDescent="0.2">
      <c r="A30" t="s">
        <v>105</v>
      </c>
      <c r="B30" t="s">
        <v>106</v>
      </c>
      <c r="C30" t="s">
        <v>106</v>
      </c>
      <c r="D30" t="s">
        <v>5</v>
      </c>
      <c r="E30">
        <v>0</v>
      </c>
      <c r="F30">
        <v>0</v>
      </c>
      <c r="G30">
        <v>1</v>
      </c>
      <c r="H30">
        <v>0</v>
      </c>
      <c r="I30" t="s">
        <v>14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7.2</v>
      </c>
      <c r="AE30">
        <v>111</v>
      </c>
      <c r="AF30">
        <v>25.474278070339739</v>
      </c>
      <c r="AG30">
        <v>23.151118875765789</v>
      </c>
      <c r="AH30">
        <v>30.909337663004951</v>
      </c>
      <c r="AI30">
        <f>21.821113926087*1</f>
        <v>21.821113926087001</v>
      </c>
      <c r="AJ30">
        <f>4.58568347374182*1</f>
        <v>4.5856834737418204</v>
      </c>
      <c r="AK30">
        <v>1</v>
      </c>
      <c r="AL30">
        <v>0</v>
      </c>
      <c r="AM30">
        <v>0</v>
      </c>
      <c r="AO30" t="s">
        <v>23</v>
      </c>
      <c r="AP30">
        <f>SUMPRODUCT(Table1[Selected],Table1[MCI])</f>
        <v>0</v>
      </c>
      <c r="AQ30">
        <v>3</v>
      </c>
    </row>
    <row r="31" spans="1:43" hidden="1" x14ac:dyDescent="0.2">
      <c r="A31" t="s">
        <v>107</v>
      </c>
      <c r="B31" t="s">
        <v>108</v>
      </c>
      <c r="C31" t="s">
        <v>108</v>
      </c>
      <c r="D31" t="s">
        <v>6</v>
      </c>
      <c r="E31">
        <v>0</v>
      </c>
      <c r="F31">
        <v>0</v>
      </c>
      <c r="G31">
        <v>0</v>
      </c>
      <c r="H31">
        <v>1</v>
      </c>
      <c r="I31" t="s">
        <v>14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6</v>
      </c>
      <c r="AE31">
        <v>122</v>
      </c>
      <c r="AF31">
        <v>21.7161471625746</v>
      </c>
      <c r="AG31">
        <v>11.70408189923025</v>
      </c>
      <c r="AH31">
        <v>36.07615234001387</v>
      </c>
      <c r="AI31">
        <f>0*0</f>
        <v>0</v>
      </c>
      <c r="AJ31">
        <f>5.03450372553021*0</f>
        <v>0</v>
      </c>
      <c r="AK31">
        <v>0</v>
      </c>
      <c r="AL31">
        <v>0</v>
      </c>
      <c r="AM31">
        <v>0</v>
      </c>
      <c r="AO31" t="s">
        <v>24</v>
      </c>
      <c r="AP31">
        <f>SUMPRODUCT(Table1[Selected],Table1[MUN])</f>
        <v>2</v>
      </c>
      <c r="AQ31">
        <v>3</v>
      </c>
    </row>
    <row r="32" spans="1:43" hidden="1" x14ac:dyDescent="0.2">
      <c r="A32" t="s">
        <v>109</v>
      </c>
      <c r="B32" t="s">
        <v>110</v>
      </c>
      <c r="C32" t="s">
        <v>110</v>
      </c>
      <c r="D32" t="s">
        <v>5</v>
      </c>
      <c r="E32">
        <v>0</v>
      </c>
      <c r="F32">
        <v>0</v>
      </c>
      <c r="G32">
        <v>1</v>
      </c>
      <c r="H32">
        <v>0</v>
      </c>
      <c r="I32" t="s">
        <v>15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5.5</v>
      </c>
      <c r="AE32">
        <v>131</v>
      </c>
      <c r="AF32">
        <v>16.118220032018851</v>
      </c>
      <c r="AG32">
        <v>19.231028881085969</v>
      </c>
      <c r="AH32">
        <v>11.9571276090669</v>
      </c>
      <c r="AI32">
        <f>10.1343901104567*1</f>
        <v>10.1343901104567</v>
      </c>
      <c r="AJ32">
        <f>2.10597132109355*1</f>
        <v>2.1059713210935498</v>
      </c>
      <c r="AK32">
        <v>1</v>
      </c>
      <c r="AL32">
        <v>0</v>
      </c>
      <c r="AM32">
        <v>0</v>
      </c>
      <c r="AO32" t="s">
        <v>25</v>
      </c>
      <c r="AP32">
        <f>SUMPRODUCT(Table1[Selected],Table1[NEW])</f>
        <v>3</v>
      </c>
      <c r="AQ32">
        <v>3</v>
      </c>
    </row>
    <row r="33" spans="1:43" hidden="1" x14ac:dyDescent="0.2">
      <c r="A33" t="s">
        <v>85</v>
      </c>
      <c r="B33" t="s">
        <v>111</v>
      </c>
      <c r="C33" t="s">
        <v>111</v>
      </c>
      <c r="D33" t="s">
        <v>4</v>
      </c>
      <c r="E33">
        <v>0</v>
      </c>
      <c r="F33">
        <v>1</v>
      </c>
      <c r="G33">
        <v>0</v>
      </c>
      <c r="H33">
        <v>0</v>
      </c>
      <c r="I33" t="s">
        <v>15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4.5999999999999996</v>
      </c>
      <c r="AE33">
        <v>137</v>
      </c>
      <c r="AF33">
        <v>15.81218274111675</v>
      </c>
      <c r="AG33">
        <v>17.192815104656361</v>
      </c>
      <c r="AH33">
        <v>8.4320866900715412</v>
      </c>
      <c r="AI33">
        <f>10.8449590602995*1</f>
        <v>10.8449590602995</v>
      </c>
      <c r="AJ33">
        <f>2.01851619142302*1</f>
        <v>2.0185161914230201</v>
      </c>
      <c r="AK33">
        <v>1</v>
      </c>
      <c r="AL33">
        <v>0</v>
      </c>
      <c r="AM33">
        <v>0</v>
      </c>
      <c r="AO33" t="s">
        <v>26</v>
      </c>
      <c r="AP33">
        <f>SUMPRODUCT(Table1[Selected],Table1[NFO])</f>
        <v>1</v>
      </c>
      <c r="AQ33">
        <v>3</v>
      </c>
    </row>
    <row r="34" spans="1:43" hidden="1" x14ac:dyDescent="0.2">
      <c r="A34" t="s">
        <v>112</v>
      </c>
      <c r="B34" t="s">
        <v>113</v>
      </c>
      <c r="C34" t="s">
        <v>114</v>
      </c>
      <c r="D34" t="s">
        <v>5</v>
      </c>
      <c r="E34">
        <v>0</v>
      </c>
      <c r="F34">
        <v>0</v>
      </c>
      <c r="G34">
        <v>1</v>
      </c>
      <c r="H34">
        <v>0</v>
      </c>
      <c r="I34" t="s">
        <v>15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6.5</v>
      </c>
      <c r="AE34">
        <v>142</v>
      </c>
      <c r="AF34">
        <v>17.8611111111111</v>
      </c>
      <c r="AG34">
        <v>16.259292275583821</v>
      </c>
      <c r="AH34">
        <v>12.863884099624469</v>
      </c>
      <c r="AI34">
        <f>5.2321382571326*1</f>
        <v>5.2321382571325996</v>
      </c>
      <c r="AJ34">
        <f>0.999537197139535*1</f>
        <v>0.99953719713953504</v>
      </c>
      <c r="AK34">
        <v>1</v>
      </c>
      <c r="AL34">
        <v>0</v>
      </c>
      <c r="AM34">
        <v>0</v>
      </c>
      <c r="AO34" t="s">
        <v>27</v>
      </c>
      <c r="AP34">
        <f>SUMPRODUCT(Table1[Selected],Table1[SOU])</f>
        <v>0</v>
      </c>
      <c r="AQ34">
        <v>3</v>
      </c>
    </row>
    <row r="35" spans="1:43" hidden="1" x14ac:dyDescent="0.2">
      <c r="A35" t="s">
        <v>115</v>
      </c>
      <c r="B35" t="s">
        <v>116</v>
      </c>
      <c r="C35" t="s">
        <v>115</v>
      </c>
      <c r="D35" t="s">
        <v>6</v>
      </c>
      <c r="E35">
        <v>0</v>
      </c>
      <c r="F35">
        <v>0</v>
      </c>
      <c r="G35">
        <v>0</v>
      </c>
      <c r="H35">
        <v>1</v>
      </c>
      <c r="I35" t="s">
        <v>15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5.6</v>
      </c>
      <c r="AE35">
        <v>146</v>
      </c>
      <c r="AF35">
        <v>17.74234071341338</v>
      </c>
      <c r="AG35">
        <v>13.640261611972621</v>
      </c>
      <c r="AH35">
        <v>50.656666666666673</v>
      </c>
      <c r="AI35">
        <f>21.2670131675634*1</f>
        <v>21.267013167563402</v>
      </c>
      <c r="AJ35">
        <f>3.05411497594271*1</f>
        <v>3.05411497594271</v>
      </c>
      <c r="AK35">
        <v>1</v>
      </c>
      <c r="AL35">
        <v>0</v>
      </c>
      <c r="AM35">
        <v>0</v>
      </c>
      <c r="AO35" t="s">
        <v>28</v>
      </c>
      <c r="AP35">
        <f>SUMPRODUCT(Table1[Selected],Table1[TOT])</f>
        <v>1</v>
      </c>
      <c r="AQ35">
        <v>3</v>
      </c>
    </row>
    <row r="36" spans="1:43" hidden="1" x14ac:dyDescent="0.2">
      <c r="A36" t="s">
        <v>117</v>
      </c>
      <c r="B36" t="s">
        <v>118</v>
      </c>
      <c r="C36" t="s">
        <v>119</v>
      </c>
      <c r="D36" t="s">
        <v>4</v>
      </c>
      <c r="E36">
        <v>0</v>
      </c>
      <c r="F36">
        <v>1</v>
      </c>
      <c r="G36">
        <v>0</v>
      </c>
      <c r="H36">
        <v>0</v>
      </c>
      <c r="I36" t="s">
        <v>15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4.5</v>
      </c>
      <c r="AE36">
        <v>161</v>
      </c>
      <c r="AF36">
        <v>14.714646278047301</v>
      </c>
      <c r="AG36">
        <v>8.9142068283372584</v>
      </c>
      <c r="AH36">
        <v>28.2711111111111</v>
      </c>
      <c r="AI36">
        <f>6.94166761244226*1</f>
        <v>6.9416676124422603</v>
      </c>
      <c r="AJ36">
        <f>1.3887155962819*1</f>
        <v>1.3887155962819</v>
      </c>
      <c r="AK36">
        <v>1</v>
      </c>
      <c r="AL36">
        <v>0</v>
      </c>
      <c r="AM36">
        <v>0</v>
      </c>
      <c r="AO36" t="s">
        <v>29</v>
      </c>
      <c r="AP36">
        <f>SUMPRODUCT(Table1[Selected],Table1[WHU])</f>
        <v>0</v>
      </c>
      <c r="AQ36">
        <v>3</v>
      </c>
    </row>
    <row r="37" spans="1:43" hidden="1" x14ac:dyDescent="0.2">
      <c r="A37" t="s">
        <v>120</v>
      </c>
      <c r="B37" t="s">
        <v>121</v>
      </c>
      <c r="C37" t="s">
        <v>121</v>
      </c>
      <c r="D37" t="s">
        <v>4</v>
      </c>
      <c r="E37">
        <v>0</v>
      </c>
      <c r="F37">
        <v>1</v>
      </c>
      <c r="G37">
        <v>0</v>
      </c>
      <c r="H37">
        <v>0</v>
      </c>
      <c r="I37" t="s">
        <v>15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4.5</v>
      </c>
      <c r="AE37">
        <v>162</v>
      </c>
      <c r="AF37">
        <v>13.836748771010839</v>
      </c>
      <c r="AG37">
        <v>14.95274067004349</v>
      </c>
      <c r="AH37">
        <v>15.339573524501059</v>
      </c>
      <c r="AI37">
        <f>12.4362466694291*1</f>
        <v>12.436246669429099</v>
      </c>
      <c r="AJ37">
        <f>1.94488580653768*1</f>
        <v>1.94488580653768</v>
      </c>
      <c r="AK37">
        <v>1</v>
      </c>
      <c r="AL37">
        <v>0</v>
      </c>
      <c r="AM37">
        <v>0</v>
      </c>
      <c r="AO37" t="s">
        <v>30</v>
      </c>
      <c r="AP37">
        <f>SUMPRODUCT(Table1[Selected],Table1[WOL])</f>
        <v>0</v>
      </c>
      <c r="AQ37">
        <v>3</v>
      </c>
    </row>
    <row r="38" spans="1:43" hidden="1" x14ac:dyDescent="0.2">
      <c r="A38" t="s">
        <v>122</v>
      </c>
      <c r="B38" t="s">
        <v>123</v>
      </c>
      <c r="C38" t="s">
        <v>123</v>
      </c>
      <c r="D38" t="s">
        <v>6</v>
      </c>
      <c r="E38">
        <v>0</v>
      </c>
      <c r="F38">
        <v>0</v>
      </c>
      <c r="G38">
        <v>0</v>
      </c>
      <c r="H38">
        <v>1</v>
      </c>
      <c r="I38" t="s">
        <v>15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5.8</v>
      </c>
      <c r="AE38">
        <v>165</v>
      </c>
      <c r="AF38">
        <v>16.106977271344402</v>
      </c>
      <c r="AG38">
        <v>15.18192593756133</v>
      </c>
      <c r="AH38">
        <v>15.767010681678149</v>
      </c>
      <c r="AI38">
        <f>18.36523237747*1</f>
        <v>18.365232377470001</v>
      </c>
      <c r="AJ38">
        <f>3.50843885198715*1</f>
        <v>3.5084388519871501</v>
      </c>
      <c r="AK38">
        <v>1</v>
      </c>
      <c r="AL38">
        <v>0</v>
      </c>
      <c r="AM38">
        <v>0</v>
      </c>
    </row>
    <row r="39" spans="1:43" hidden="1" x14ac:dyDescent="0.2">
      <c r="A39" t="s">
        <v>124</v>
      </c>
      <c r="B39" t="s">
        <v>125</v>
      </c>
      <c r="C39" t="s">
        <v>126</v>
      </c>
      <c r="D39" t="s">
        <v>5</v>
      </c>
      <c r="E39">
        <v>0</v>
      </c>
      <c r="F39">
        <v>0</v>
      </c>
      <c r="G39">
        <v>1</v>
      </c>
      <c r="H39">
        <v>0</v>
      </c>
      <c r="I39" t="s">
        <v>16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4.9000000000000004</v>
      </c>
      <c r="AE39">
        <v>179</v>
      </c>
      <c r="AF39">
        <v>11.357142857142851</v>
      </c>
      <c r="AG39">
        <v>8.3321537284975449</v>
      </c>
      <c r="AH39">
        <v>12.727816036300609</v>
      </c>
      <c r="AI39">
        <f>13.912338152598*1</f>
        <v>13.912338152598</v>
      </c>
      <c r="AJ39">
        <f>2.73923249247395*1</f>
        <v>2.73923249247395</v>
      </c>
      <c r="AK39">
        <v>1</v>
      </c>
      <c r="AL39">
        <v>0</v>
      </c>
      <c r="AM39">
        <v>0</v>
      </c>
    </row>
    <row r="40" spans="1:43" hidden="1" x14ac:dyDescent="0.2">
      <c r="A40" t="s">
        <v>127</v>
      </c>
      <c r="B40" t="s">
        <v>128</v>
      </c>
      <c r="C40" t="s">
        <v>128</v>
      </c>
      <c r="D40" t="s">
        <v>4</v>
      </c>
      <c r="E40">
        <v>0</v>
      </c>
      <c r="F40">
        <v>1</v>
      </c>
      <c r="G40">
        <v>0</v>
      </c>
      <c r="H40">
        <v>0</v>
      </c>
      <c r="I40" t="s">
        <v>16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4.5</v>
      </c>
      <c r="AE40">
        <v>183</v>
      </c>
      <c r="AF40">
        <v>13.75</v>
      </c>
      <c r="AG40">
        <v>13.005112852988059</v>
      </c>
      <c r="AH40">
        <v>16.420000000000002</v>
      </c>
      <c r="AI40">
        <f>11.3414218207494*1</f>
        <v>11.3414218207494</v>
      </c>
      <c r="AJ40">
        <f>2.10156355976956*1</f>
        <v>2.1015635597695601</v>
      </c>
      <c r="AK40">
        <v>1</v>
      </c>
      <c r="AL40">
        <v>0</v>
      </c>
      <c r="AM40">
        <v>0</v>
      </c>
    </row>
    <row r="41" spans="1:43" hidden="1" x14ac:dyDescent="0.2">
      <c r="A41" t="s">
        <v>129</v>
      </c>
      <c r="B41" t="s">
        <v>130</v>
      </c>
      <c r="C41" t="s">
        <v>129</v>
      </c>
      <c r="D41" t="s">
        <v>5</v>
      </c>
      <c r="E41">
        <v>0</v>
      </c>
      <c r="F41">
        <v>0</v>
      </c>
      <c r="G41">
        <v>1</v>
      </c>
      <c r="H41">
        <v>0</v>
      </c>
      <c r="I41" t="s">
        <v>16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</v>
      </c>
      <c r="AE41">
        <v>189</v>
      </c>
      <c r="AF41">
        <v>13.125000000000011</v>
      </c>
      <c r="AG41">
        <v>10.1235615699118</v>
      </c>
      <c r="AH41">
        <v>11.69567773892774</v>
      </c>
      <c r="AI41">
        <f>8.67584807681681*1</f>
        <v>8.6758480768168091</v>
      </c>
      <c r="AJ41">
        <f>1.85596081097421*1</f>
        <v>1.8559608109742101</v>
      </c>
      <c r="AK41">
        <v>1</v>
      </c>
      <c r="AL41">
        <v>0</v>
      </c>
      <c r="AM41">
        <v>0</v>
      </c>
    </row>
    <row r="42" spans="1:43" hidden="1" x14ac:dyDescent="0.2">
      <c r="A42" t="s">
        <v>131</v>
      </c>
      <c r="B42" t="s">
        <v>132</v>
      </c>
      <c r="C42" t="s">
        <v>132</v>
      </c>
      <c r="D42" t="s">
        <v>5</v>
      </c>
      <c r="E42">
        <v>0</v>
      </c>
      <c r="F42">
        <v>0</v>
      </c>
      <c r="G42">
        <v>1</v>
      </c>
      <c r="H42">
        <v>0</v>
      </c>
      <c r="I42" t="s">
        <v>16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5.9</v>
      </c>
      <c r="AE42">
        <v>190</v>
      </c>
      <c r="AF42">
        <v>15.14988984423073</v>
      </c>
      <c r="AG42">
        <v>13.67806071376128</v>
      </c>
      <c r="AH42">
        <v>13.954049125992411</v>
      </c>
      <c r="AI42">
        <f>19.1647665546665*1</f>
        <v>19.1647665546665</v>
      </c>
      <c r="AJ42">
        <f>4.24977539268289*1</f>
        <v>4.2497753926828903</v>
      </c>
      <c r="AK42">
        <v>1</v>
      </c>
      <c r="AL42">
        <v>0</v>
      </c>
      <c r="AM42">
        <v>0</v>
      </c>
    </row>
    <row r="43" spans="1:43" hidden="1" x14ac:dyDescent="0.2">
      <c r="A43" t="s">
        <v>133</v>
      </c>
      <c r="B43" t="s">
        <v>134</v>
      </c>
      <c r="C43" t="s">
        <v>134</v>
      </c>
      <c r="D43" t="s">
        <v>4</v>
      </c>
      <c r="E43">
        <v>0</v>
      </c>
      <c r="F43">
        <v>1</v>
      </c>
      <c r="G43">
        <v>0</v>
      </c>
      <c r="H43">
        <v>0</v>
      </c>
      <c r="I43" t="s">
        <v>16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4.9000000000000004</v>
      </c>
      <c r="AE43">
        <v>192</v>
      </c>
      <c r="AF43">
        <v>13.103448275862069</v>
      </c>
      <c r="AG43">
        <v>13.3201783337866</v>
      </c>
      <c r="AH43">
        <v>8.2047887418539602</v>
      </c>
      <c r="AI43">
        <f>10.7720935710731*1</f>
        <v>10.7720935710731</v>
      </c>
      <c r="AJ43">
        <f>2.37091265570556*1</f>
        <v>2.3709126557055602</v>
      </c>
      <c r="AK43">
        <v>1</v>
      </c>
      <c r="AL43">
        <v>0</v>
      </c>
      <c r="AM43">
        <v>0</v>
      </c>
    </row>
    <row r="44" spans="1:43" x14ac:dyDescent="0.2">
      <c r="A44" t="s">
        <v>138</v>
      </c>
      <c r="B44" t="s">
        <v>139</v>
      </c>
      <c r="C44" t="s">
        <v>139</v>
      </c>
      <c r="D44" t="s">
        <v>5</v>
      </c>
      <c r="E44">
        <v>0</v>
      </c>
      <c r="F44">
        <v>0</v>
      </c>
      <c r="G44">
        <v>1</v>
      </c>
      <c r="H44">
        <v>0</v>
      </c>
      <c r="I44" t="s">
        <v>16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10.6</v>
      </c>
      <c r="AE44">
        <v>203</v>
      </c>
      <c r="AF44">
        <v>36.880983149722383</v>
      </c>
      <c r="AG44">
        <v>30.926213047921511</v>
      </c>
      <c r="AH44">
        <v>37.345454545454537</v>
      </c>
      <c r="AI44">
        <f>23.7252067671307*1</f>
        <v>23.7252067671307</v>
      </c>
      <c r="AJ44">
        <f>4.67341826838877*1</f>
        <v>4.6734182683887697</v>
      </c>
      <c r="AK44">
        <v>1</v>
      </c>
      <c r="AL44">
        <v>1</v>
      </c>
      <c r="AM44">
        <v>1</v>
      </c>
    </row>
    <row r="45" spans="1:43" x14ac:dyDescent="0.2">
      <c r="A45" t="s">
        <v>56</v>
      </c>
      <c r="B45" t="s">
        <v>57</v>
      </c>
      <c r="C45" t="s">
        <v>57</v>
      </c>
      <c r="D45" t="s">
        <v>5</v>
      </c>
      <c r="E45">
        <v>0</v>
      </c>
      <c r="F45">
        <v>0</v>
      </c>
      <c r="G45">
        <v>1</v>
      </c>
      <c r="H45">
        <v>0</v>
      </c>
      <c r="I45" t="s">
        <v>11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10</v>
      </c>
      <c r="AE45">
        <v>13</v>
      </c>
      <c r="AF45">
        <v>32.670831114266143</v>
      </c>
      <c r="AG45">
        <v>21.937602479147991</v>
      </c>
      <c r="AH45">
        <v>29.21080865154158</v>
      </c>
      <c r="AI45">
        <f>21.2441432842881*1</f>
        <v>21.2441432842881</v>
      </c>
      <c r="AJ45">
        <f>4.29645901823241*1</f>
        <v>4.2964590182324098</v>
      </c>
      <c r="AK45">
        <v>1</v>
      </c>
      <c r="AL45">
        <v>1</v>
      </c>
      <c r="AM45">
        <v>1</v>
      </c>
    </row>
    <row r="46" spans="1:43" hidden="1" x14ac:dyDescent="0.2">
      <c r="A46" t="s">
        <v>140</v>
      </c>
      <c r="B46" t="s">
        <v>141</v>
      </c>
      <c r="C46" t="s">
        <v>142</v>
      </c>
      <c r="D46" t="s">
        <v>4</v>
      </c>
      <c r="E46">
        <v>0</v>
      </c>
      <c r="F46">
        <v>1</v>
      </c>
      <c r="G46">
        <v>0</v>
      </c>
      <c r="H46">
        <v>0</v>
      </c>
      <c r="I46" t="s">
        <v>17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4.5</v>
      </c>
      <c r="AE46">
        <v>218</v>
      </c>
      <c r="AF46">
        <v>14.89866202641522</v>
      </c>
      <c r="AG46">
        <v>9.2228375144797923</v>
      </c>
      <c r="AH46">
        <v>16.91338525543647</v>
      </c>
      <c r="AI46">
        <f>4.01124142720895*1</f>
        <v>4.01124142720895</v>
      </c>
      <c r="AJ46">
        <f>0.718540516337805*1</f>
        <v>0.71854051633780502</v>
      </c>
      <c r="AK46">
        <v>1</v>
      </c>
      <c r="AL46">
        <v>0</v>
      </c>
      <c r="AM46">
        <v>0</v>
      </c>
    </row>
    <row r="47" spans="1:43" hidden="1" x14ac:dyDescent="0.2">
      <c r="A47" t="s">
        <v>143</v>
      </c>
      <c r="B47" t="s">
        <v>144</v>
      </c>
      <c r="C47" t="s">
        <v>144</v>
      </c>
      <c r="D47" t="s">
        <v>5</v>
      </c>
      <c r="E47">
        <v>0</v>
      </c>
      <c r="F47">
        <v>0</v>
      </c>
      <c r="G47">
        <v>1</v>
      </c>
      <c r="H47">
        <v>0</v>
      </c>
      <c r="I47" t="s">
        <v>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6.9</v>
      </c>
      <c r="AE47">
        <v>222</v>
      </c>
      <c r="AF47">
        <v>23.281656954932519</v>
      </c>
      <c r="AG47">
        <v>16.75657697710125</v>
      </c>
      <c r="AH47">
        <v>32.072220135849903</v>
      </c>
      <c r="AI47">
        <f>22.7633337442445*1</f>
        <v>22.763333744244498</v>
      </c>
      <c r="AJ47">
        <f>4.70168095884324*1</f>
        <v>4.70168095884324</v>
      </c>
      <c r="AK47">
        <v>1</v>
      </c>
      <c r="AL47">
        <v>0</v>
      </c>
      <c r="AM47">
        <v>0</v>
      </c>
    </row>
    <row r="48" spans="1:43" x14ac:dyDescent="0.2">
      <c r="A48" t="s">
        <v>145</v>
      </c>
      <c r="B48" t="s">
        <v>146</v>
      </c>
      <c r="C48" t="s">
        <v>146</v>
      </c>
      <c r="D48" t="s">
        <v>6</v>
      </c>
      <c r="E48">
        <v>0</v>
      </c>
      <c r="F48">
        <v>0</v>
      </c>
      <c r="G48">
        <v>0</v>
      </c>
      <c r="H48">
        <v>1</v>
      </c>
      <c r="I48" t="s">
        <v>17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7.4</v>
      </c>
      <c r="AE48">
        <v>229</v>
      </c>
      <c r="AF48">
        <v>31.049727542559079</v>
      </c>
      <c r="AG48">
        <v>10.06711759200773</v>
      </c>
      <c r="AH48">
        <v>39.550006523977117</v>
      </c>
      <c r="AI48">
        <f>19.0154610234864*1</f>
        <v>19.015461023486399</v>
      </c>
      <c r="AJ48">
        <f>4.17521160701849*1</f>
        <v>4.1752116070184897</v>
      </c>
      <c r="AK48">
        <v>1</v>
      </c>
      <c r="AL48">
        <v>1</v>
      </c>
      <c r="AM48">
        <v>1</v>
      </c>
    </row>
    <row r="49" spans="1:39" hidden="1" x14ac:dyDescent="0.2">
      <c r="A49" t="s">
        <v>147</v>
      </c>
      <c r="B49" t="s">
        <v>148</v>
      </c>
      <c r="C49" t="s">
        <v>148</v>
      </c>
      <c r="D49" t="s">
        <v>4</v>
      </c>
      <c r="E49">
        <v>0</v>
      </c>
      <c r="F49">
        <v>1</v>
      </c>
      <c r="G49">
        <v>0</v>
      </c>
      <c r="H49">
        <v>0</v>
      </c>
      <c r="I49" t="s">
        <v>17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4.9000000000000004</v>
      </c>
      <c r="AE49">
        <v>232</v>
      </c>
      <c r="AF49">
        <v>13.92433309441858</v>
      </c>
      <c r="AG49">
        <v>14.31285845498919</v>
      </c>
      <c r="AH49">
        <v>12.23198464442825</v>
      </c>
      <c r="AI49">
        <f>9.36535408751528*1</f>
        <v>9.3653540875152803</v>
      </c>
      <c r="AJ49">
        <f>1.83795310470485*1</f>
        <v>1.8379531047048501</v>
      </c>
      <c r="AK49">
        <v>1</v>
      </c>
      <c r="AL49">
        <v>0</v>
      </c>
      <c r="AM49">
        <v>0</v>
      </c>
    </row>
    <row r="50" spans="1:39" hidden="1" x14ac:dyDescent="0.2">
      <c r="A50" t="s">
        <v>149</v>
      </c>
      <c r="B50" t="s">
        <v>150</v>
      </c>
      <c r="C50" t="s">
        <v>150</v>
      </c>
      <c r="D50" t="s">
        <v>4</v>
      </c>
      <c r="E50">
        <v>0</v>
      </c>
      <c r="F50">
        <v>1</v>
      </c>
      <c r="G50">
        <v>0</v>
      </c>
      <c r="H50">
        <v>0</v>
      </c>
      <c r="I50" t="s">
        <v>18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4.8</v>
      </c>
      <c r="AE50">
        <v>249</v>
      </c>
      <c r="AF50">
        <v>15.56818181818182</v>
      </c>
      <c r="AG50">
        <v>12.388394920994941</v>
      </c>
      <c r="AH50">
        <v>26.645881607833228</v>
      </c>
      <c r="AI50">
        <f>21.1813563067753*1</f>
        <v>21.181356306775299</v>
      </c>
      <c r="AJ50">
        <f>3.94433076537631*1</f>
        <v>3.9443307653763102</v>
      </c>
      <c r="AK50">
        <v>1</v>
      </c>
      <c r="AL50">
        <v>0</v>
      </c>
      <c r="AM50">
        <v>0</v>
      </c>
    </row>
    <row r="51" spans="1:39" hidden="1" x14ac:dyDescent="0.2">
      <c r="A51" t="s">
        <v>151</v>
      </c>
      <c r="B51" t="s">
        <v>152</v>
      </c>
      <c r="C51" t="s">
        <v>152</v>
      </c>
      <c r="D51" t="s">
        <v>6</v>
      </c>
      <c r="E51">
        <v>0</v>
      </c>
      <c r="F51">
        <v>0</v>
      </c>
      <c r="G51">
        <v>0</v>
      </c>
      <c r="H51">
        <v>1</v>
      </c>
      <c r="I51" t="s">
        <v>18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6</v>
      </c>
      <c r="AE51">
        <v>250</v>
      </c>
      <c r="AF51">
        <v>17.07304278976374</v>
      </c>
      <c r="AG51">
        <v>15.37253393328665</v>
      </c>
      <c r="AH51">
        <v>21.894788964378961</v>
      </c>
      <c r="AI51">
        <f>19.5075196024223*1</f>
        <v>19.507519602422299</v>
      </c>
      <c r="AJ51">
        <f>3.68348719099303*1</f>
        <v>3.6834871909930298</v>
      </c>
      <c r="AK51">
        <v>1</v>
      </c>
      <c r="AL51">
        <v>0</v>
      </c>
      <c r="AM51">
        <v>0</v>
      </c>
    </row>
    <row r="52" spans="1:39" hidden="1" x14ac:dyDescent="0.2">
      <c r="A52" t="s">
        <v>153</v>
      </c>
      <c r="B52" t="s">
        <v>154</v>
      </c>
      <c r="C52" t="s">
        <v>155</v>
      </c>
      <c r="D52" t="s">
        <v>5</v>
      </c>
      <c r="E52">
        <v>0</v>
      </c>
      <c r="F52">
        <v>0</v>
      </c>
      <c r="G52">
        <v>1</v>
      </c>
      <c r="H52">
        <v>0</v>
      </c>
      <c r="I52" t="s">
        <v>18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4.9000000000000004</v>
      </c>
      <c r="AE52">
        <v>252</v>
      </c>
      <c r="AF52">
        <v>11.20962914250963</v>
      </c>
      <c r="AG52">
        <v>7.9746114028830064</v>
      </c>
      <c r="AH52">
        <v>9.9491839980139183</v>
      </c>
      <c r="AI52">
        <f>11.7003286357518*1</f>
        <v>11.7003286357518</v>
      </c>
      <c r="AJ52">
        <f>2.26590923165537*1</f>
        <v>2.2659092316553702</v>
      </c>
      <c r="AK52">
        <v>1</v>
      </c>
      <c r="AL52">
        <v>0</v>
      </c>
      <c r="AM52">
        <v>0</v>
      </c>
    </row>
    <row r="53" spans="1:39" hidden="1" x14ac:dyDescent="0.2">
      <c r="A53" t="s">
        <v>156</v>
      </c>
      <c r="B53" t="s">
        <v>157</v>
      </c>
      <c r="C53" t="s">
        <v>157</v>
      </c>
      <c r="D53" t="s">
        <v>5</v>
      </c>
      <c r="E53">
        <v>0</v>
      </c>
      <c r="F53">
        <v>0</v>
      </c>
      <c r="G53">
        <v>1</v>
      </c>
      <c r="H53">
        <v>0</v>
      </c>
      <c r="I53" t="s">
        <v>18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5.4</v>
      </c>
      <c r="AE53">
        <v>260</v>
      </c>
      <c r="AF53">
        <v>16.035353535353529</v>
      </c>
      <c r="AG53">
        <v>15.604614000131001</v>
      </c>
      <c r="AH53">
        <v>34.658224481212073</v>
      </c>
      <c r="AI53">
        <f>18.6084574174555*1</f>
        <v>18.608457417455501</v>
      </c>
      <c r="AJ53">
        <f>3.90002800690261*1</f>
        <v>3.9000280069026099</v>
      </c>
      <c r="AK53">
        <v>1</v>
      </c>
      <c r="AL53">
        <v>0</v>
      </c>
      <c r="AM53">
        <v>0</v>
      </c>
    </row>
    <row r="54" spans="1:39" x14ac:dyDescent="0.2">
      <c r="A54" t="s">
        <v>260</v>
      </c>
      <c r="B54" t="s">
        <v>261</v>
      </c>
      <c r="C54" t="s">
        <v>261</v>
      </c>
      <c r="D54" t="s">
        <v>5</v>
      </c>
      <c r="E54">
        <v>0</v>
      </c>
      <c r="F54">
        <v>0</v>
      </c>
      <c r="G54">
        <v>1</v>
      </c>
      <c r="H54">
        <v>0</v>
      </c>
      <c r="I54" t="s">
        <v>26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5.4</v>
      </c>
      <c r="AE54">
        <v>503</v>
      </c>
      <c r="AF54">
        <v>17.98085117161791</v>
      </c>
      <c r="AG54">
        <v>10.67997796876676</v>
      </c>
      <c r="AH54">
        <v>33.861528946395261</v>
      </c>
      <c r="AI54">
        <f>23.4592930267384*1</f>
        <v>23.459293026738401</v>
      </c>
      <c r="AJ54">
        <f>4.01434567293264*1</f>
        <v>4.0143456729326399</v>
      </c>
      <c r="AK54">
        <v>1</v>
      </c>
      <c r="AL54">
        <v>1</v>
      </c>
      <c r="AM54">
        <v>1</v>
      </c>
    </row>
    <row r="55" spans="1:39" x14ac:dyDescent="0.2">
      <c r="A55" t="s">
        <v>247</v>
      </c>
      <c r="B55" t="s">
        <v>84</v>
      </c>
      <c r="C55" t="s">
        <v>84</v>
      </c>
      <c r="D55" t="s">
        <v>3</v>
      </c>
      <c r="E55">
        <v>1</v>
      </c>
      <c r="F55">
        <v>0</v>
      </c>
      <c r="G55">
        <v>0</v>
      </c>
      <c r="H55">
        <v>0</v>
      </c>
      <c r="I55" t="s">
        <v>24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</v>
      </c>
      <c r="AE55">
        <v>446</v>
      </c>
      <c r="AF55">
        <v>19.04761904761904</v>
      </c>
      <c r="AG55">
        <v>13.815742229212789</v>
      </c>
      <c r="AH55">
        <v>29.329120559955339</v>
      </c>
      <c r="AI55">
        <f>19.4691981931058*1</f>
        <v>19.4691981931058</v>
      </c>
      <c r="AJ55">
        <f>3.8176253728295*1</f>
        <v>3.8176253728295002</v>
      </c>
      <c r="AK55">
        <v>1</v>
      </c>
      <c r="AL55">
        <v>1</v>
      </c>
      <c r="AM55">
        <v>1</v>
      </c>
    </row>
    <row r="56" spans="1:39" hidden="1" x14ac:dyDescent="0.2">
      <c r="A56" t="s">
        <v>162</v>
      </c>
      <c r="B56" t="s">
        <v>163</v>
      </c>
      <c r="C56" t="s">
        <v>163</v>
      </c>
      <c r="D56" t="s">
        <v>4</v>
      </c>
      <c r="E56">
        <v>0</v>
      </c>
      <c r="F56">
        <v>1</v>
      </c>
      <c r="G56">
        <v>0</v>
      </c>
      <c r="H56">
        <v>0</v>
      </c>
      <c r="I56" t="s">
        <v>18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4.5</v>
      </c>
      <c r="AE56">
        <v>267</v>
      </c>
      <c r="AF56">
        <v>11.85483870967742</v>
      </c>
      <c r="AG56">
        <v>11.4616844732818</v>
      </c>
      <c r="AH56">
        <v>8.9919138487824206</v>
      </c>
      <c r="AI56">
        <f>7.55993816767268*1</f>
        <v>7.55993816767268</v>
      </c>
      <c r="AJ56">
        <f>1.35716955447383*1</f>
        <v>1.35716955447383</v>
      </c>
      <c r="AK56">
        <v>1</v>
      </c>
      <c r="AL56">
        <v>0</v>
      </c>
      <c r="AM56">
        <v>0</v>
      </c>
    </row>
    <row r="57" spans="1:39" x14ac:dyDescent="0.2">
      <c r="A57" t="s">
        <v>231</v>
      </c>
      <c r="B57" t="s">
        <v>249</v>
      </c>
      <c r="C57" t="s">
        <v>250</v>
      </c>
      <c r="D57" t="s">
        <v>5</v>
      </c>
      <c r="E57">
        <v>0</v>
      </c>
      <c r="F57">
        <v>0</v>
      </c>
      <c r="G57">
        <v>1</v>
      </c>
      <c r="H57">
        <v>0</v>
      </c>
      <c r="I57" t="s">
        <v>25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6.4</v>
      </c>
      <c r="AE57">
        <v>461</v>
      </c>
      <c r="AF57">
        <v>18.823529411764699</v>
      </c>
      <c r="AG57">
        <v>15.1334974835769</v>
      </c>
      <c r="AH57">
        <v>21.408372831240651</v>
      </c>
      <c r="AI57">
        <f>13.7612865001249*1</f>
        <v>13.7612865001249</v>
      </c>
      <c r="AJ57">
        <f>2.9532759403736*1</f>
        <v>2.9532759403736</v>
      </c>
      <c r="AK57">
        <v>1</v>
      </c>
      <c r="AL57">
        <v>1</v>
      </c>
      <c r="AM57">
        <v>1</v>
      </c>
    </row>
    <row r="58" spans="1:39" hidden="1" x14ac:dyDescent="0.2">
      <c r="A58" t="s">
        <v>166</v>
      </c>
      <c r="B58" t="s">
        <v>167</v>
      </c>
      <c r="C58" t="s">
        <v>167</v>
      </c>
      <c r="D58" t="s">
        <v>4</v>
      </c>
      <c r="E58">
        <v>0</v>
      </c>
      <c r="F58">
        <v>1</v>
      </c>
      <c r="G58">
        <v>0</v>
      </c>
      <c r="H58">
        <v>0</v>
      </c>
      <c r="I58" t="s">
        <v>19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4.3</v>
      </c>
      <c r="AE58">
        <v>283</v>
      </c>
      <c r="AF58">
        <v>15.41263805126057</v>
      </c>
      <c r="AG58">
        <v>12.634829084994539</v>
      </c>
      <c r="AH58">
        <v>11.004367201440051</v>
      </c>
      <c r="AI58">
        <f>10.8993192236918*1</f>
        <v>10.8993192236918</v>
      </c>
      <c r="AJ58">
        <f>2.01714604970874*1</f>
        <v>2.0171460497087401</v>
      </c>
      <c r="AK58">
        <v>1</v>
      </c>
      <c r="AL58">
        <v>0</v>
      </c>
      <c r="AM58">
        <v>0</v>
      </c>
    </row>
    <row r="59" spans="1:39" hidden="1" x14ac:dyDescent="0.2">
      <c r="A59" t="s">
        <v>168</v>
      </c>
      <c r="B59" t="s">
        <v>169</v>
      </c>
      <c r="C59" t="s">
        <v>169</v>
      </c>
      <c r="D59" t="s">
        <v>5</v>
      </c>
      <c r="E59">
        <v>0</v>
      </c>
      <c r="F59">
        <v>0</v>
      </c>
      <c r="G59">
        <v>1</v>
      </c>
      <c r="H59">
        <v>0</v>
      </c>
      <c r="I59" t="s">
        <v>19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5.5</v>
      </c>
      <c r="AE59">
        <v>286</v>
      </c>
      <c r="AF59">
        <v>14.19786096256686</v>
      </c>
      <c r="AG59">
        <v>13.21863740721721</v>
      </c>
      <c r="AH59">
        <v>21.36082488408784</v>
      </c>
      <c r="AI59">
        <f>11.0969257247691*1</f>
        <v>11.0969257247691</v>
      </c>
      <c r="AJ59">
        <f>2.20987086980307*1</f>
        <v>2.20987086980307</v>
      </c>
      <c r="AK59">
        <v>1</v>
      </c>
      <c r="AL59">
        <v>0</v>
      </c>
      <c r="AM59">
        <v>0</v>
      </c>
    </row>
    <row r="60" spans="1:39" hidden="1" x14ac:dyDescent="0.2">
      <c r="A60" t="s">
        <v>170</v>
      </c>
      <c r="B60" t="s">
        <v>171</v>
      </c>
      <c r="C60" t="s">
        <v>171</v>
      </c>
      <c r="D60" t="s">
        <v>3</v>
      </c>
      <c r="E60">
        <v>1</v>
      </c>
      <c r="F60">
        <v>0</v>
      </c>
      <c r="G60">
        <v>0</v>
      </c>
      <c r="H60">
        <v>0</v>
      </c>
      <c r="I60" t="s">
        <v>19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</v>
      </c>
      <c r="AE60">
        <v>287</v>
      </c>
      <c r="AF60">
        <v>18.110900334455529</v>
      </c>
      <c r="AG60">
        <v>18.694622913051461</v>
      </c>
      <c r="AH60">
        <v>11.14245990965339</v>
      </c>
      <c r="AI60">
        <f>8.7923204609412*1</f>
        <v>8.7923204609412</v>
      </c>
      <c r="AJ60">
        <f>1.68120513204901*1</f>
        <v>1.68120513204901</v>
      </c>
      <c r="AK60">
        <v>1</v>
      </c>
      <c r="AL60">
        <v>0</v>
      </c>
      <c r="AM60">
        <v>0</v>
      </c>
    </row>
    <row r="61" spans="1:39" hidden="1" x14ac:dyDescent="0.2">
      <c r="A61" t="s">
        <v>172</v>
      </c>
      <c r="B61" t="s">
        <v>173</v>
      </c>
      <c r="C61" t="s">
        <v>174</v>
      </c>
      <c r="D61" t="s">
        <v>6</v>
      </c>
      <c r="E61">
        <v>0</v>
      </c>
      <c r="F61">
        <v>0</v>
      </c>
      <c r="G61">
        <v>0</v>
      </c>
      <c r="H61">
        <v>1</v>
      </c>
      <c r="I61" t="s">
        <v>19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6</v>
      </c>
      <c r="AE61">
        <v>290</v>
      </c>
      <c r="AF61">
        <v>17.517747200587731</v>
      </c>
      <c r="AG61">
        <v>20.82817878345158</v>
      </c>
      <c r="AH61">
        <v>10.33333333333333</v>
      </c>
      <c r="AI61">
        <f>9.26005486447561*1</f>
        <v>9.2600548644756095</v>
      </c>
      <c r="AJ61">
        <f>1.56657298585543*1</f>
        <v>1.56657298585543</v>
      </c>
      <c r="AK61">
        <v>1</v>
      </c>
      <c r="AL61">
        <v>0</v>
      </c>
      <c r="AM61">
        <v>0</v>
      </c>
    </row>
    <row r="62" spans="1:39" hidden="1" x14ac:dyDescent="0.2">
      <c r="A62" t="s">
        <v>175</v>
      </c>
      <c r="B62" t="s">
        <v>176</v>
      </c>
      <c r="C62" t="s">
        <v>175</v>
      </c>
      <c r="D62" t="s">
        <v>6</v>
      </c>
      <c r="E62">
        <v>0</v>
      </c>
      <c r="F62">
        <v>0</v>
      </c>
      <c r="G62">
        <v>0</v>
      </c>
      <c r="H62">
        <v>1</v>
      </c>
      <c r="I62" t="s">
        <v>19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5.4</v>
      </c>
      <c r="AE62">
        <v>291</v>
      </c>
      <c r="AF62">
        <v>15.291622473852801</v>
      </c>
      <c r="AG62">
        <v>20.780282619464892</v>
      </c>
      <c r="AH62">
        <v>19.866398305933188</v>
      </c>
      <c r="AI62">
        <f>17.8161735784405*1</f>
        <v>17.816173578440502</v>
      </c>
      <c r="AJ62">
        <f>3.18835378504542*1</f>
        <v>3.18835378504542</v>
      </c>
      <c r="AK62">
        <v>1</v>
      </c>
      <c r="AL62">
        <v>0</v>
      </c>
      <c r="AM62">
        <v>0</v>
      </c>
    </row>
    <row r="63" spans="1:39" hidden="1" x14ac:dyDescent="0.2">
      <c r="A63" t="s">
        <v>177</v>
      </c>
      <c r="B63" t="s">
        <v>178</v>
      </c>
      <c r="C63" t="s">
        <v>178</v>
      </c>
      <c r="D63" t="s">
        <v>4</v>
      </c>
      <c r="E63">
        <v>0</v>
      </c>
      <c r="F63">
        <v>1</v>
      </c>
      <c r="G63">
        <v>0</v>
      </c>
      <c r="H63">
        <v>0</v>
      </c>
      <c r="I63" t="s">
        <v>19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4.7</v>
      </c>
      <c r="AE63">
        <v>294</v>
      </c>
      <c r="AF63">
        <v>12.8921568627451</v>
      </c>
      <c r="AG63">
        <v>10.177675062642381</v>
      </c>
      <c r="AH63">
        <v>24.40176604033222</v>
      </c>
      <c r="AI63">
        <f>5.99453091019103*1</f>
        <v>5.9945309101910302</v>
      </c>
      <c r="AJ63">
        <f>1.23563457092348*1</f>
        <v>1.2356345709234799</v>
      </c>
      <c r="AK63">
        <v>1</v>
      </c>
      <c r="AL63">
        <v>0</v>
      </c>
      <c r="AM63">
        <v>0</v>
      </c>
    </row>
    <row r="64" spans="1:39" hidden="1" x14ac:dyDescent="0.2">
      <c r="A64" t="s">
        <v>179</v>
      </c>
      <c r="B64" t="s">
        <v>180</v>
      </c>
      <c r="C64" t="s">
        <v>180</v>
      </c>
      <c r="D64" t="s">
        <v>5</v>
      </c>
      <c r="E64">
        <v>0</v>
      </c>
      <c r="F64">
        <v>0</v>
      </c>
      <c r="G64">
        <v>1</v>
      </c>
      <c r="H64">
        <v>0</v>
      </c>
      <c r="I64" t="s">
        <v>19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5.3</v>
      </c>
      <c r="AE64">
        <v>298</v>
      </c>
      <c r="AF64">
        <v>12.96875</v>
      </c>
      <c r="AG64">
        <v>13.97887638774918</v>
      </c>
      <c r="AH64">
        <v>4.2334752917647656</v>
      </c>
      <c r="AI64">
        <f>9.91283835325691*1</f>
        <v>9.9128383532569107</v>
      </c>
      <c r="AJ64">
        <f>1.88929700096706*1</f>
        <v>1.88929700096706</v>
      </c>
      <c r="AK64">
        <v>1</v>
      </c>
      <c r="AL64">
        <v>0</v>
      </c>
      <c r="AM64">
        <v>0</v>
      </c>
    </row>
    <row r="65" spans="1:39" hidden="1" x14ac:dyDescent="0.2">
      <c r="A65" t="s">
        <v>181</v>
      </c>
      <c r="B65" t="s">
        <v>182</v>
      </c>
      <c r="C65" t="s">
        <v>182</v>
      </c>
      <c r="D65" t="s">
        <v>4</v>
      </c>
      <c r="E65">
        <v>0</v>
      </c>
      <c r="F65">
        <v>1</v>
      </c>
      <c r="G65">
        <v>0</v>
      </c>
      <c r="H65">
        <v>0</v>
      </c>
      <c r="I65" t="s">
        <v>20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</v>
      </c>
      <c r="AE65">
        <v>334</v>
      </c>
      <c r="AF65">
        <v>11.919451491655501</v>
      </c>
      <c r="AG65">
        <v>6.2225690584051998</v>
      </c>
      <c r="AH65">
        <v>19.845689643579309</v>
      </c>
      <c r="AI65">
        <f>10.1699257160131*1</f>
        <v>10.1699257160131</v>
      </c>
      <c r="AJ65">
        <f>2.09693694597413*1</f>
        <v>2.0969369459741301</v>
      </c>
      <c r="AK65">
        <v>1</v>
      </c>
      <c r="AL65">
        <v>0</v>
      </c>
      <c r="AM65">
        <v>0</v>
      </c>
    </row>
    <row r="66" spans="1:39" hidden="1" x14ac:dyDescent="0.2">
      <c r="A66" t="s">
        <v>183</v>
      </c>
      <c r="B66" t="s">
        <v>184</v>
      </c>
      <c r="C66" t="s">
        <v>184</v>
      </c>
      <c r="D66" t="s">
        <v>5</v>
      </c>
      <c r="E66">
        <v>0</v>
      </c>
      <c r="F66">
        <v>0</v>
      </c>
      <c r="G66">
        <v>1</v>
      </c>
      <c r="H66">
        <v>0</v>
      </c>
      <c r="I66" t="s">
        <v>20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</v>
      </c>
      <c r="AE66">
        <v>336</v>
      </c>
      <c r="AF66">
        <v>13.965517241379301</v>
      </c>
      <c r="AG66">
        <v>19.771477428012901</v>
      </c>
      <c r="AH66">
        <v>9.6</v>
      </c>
      <c r="AI66">
        <f>6.4815140163029*1</f>
        <v>6.4815140163029001</v>
      </c>
      <c r="AJ66">
        <f>1.65257644126508*1</f>
        <v>1.6525764412650801</v>
      </c>
      <c r="AK66">
        <v>1</v>
      </c>
      <c r="AL66">
        <v>0</v>
      </c>
      <c r="AM66">
        <v>0</v>
      </c>
    </row>
    <row r="67" spans="1:39" hidden="1" x14ac:dyDescent="0.2">
      <c r="A67" t="s">
        <v>185</v>
      </c>
      <c r="B67" t="s">
        <v>186</v>
      </c>
      <c r="C67" t="s">
        <v>186</v>
      </c>
      <c r="D67" t="s">
        <v>5</v>
      </c>
      <c r="E67">
        <v>0</v>
      </c>
      <c r="F67">
        <v>0</v>
      </c>
      <c r="G67">
        <v>1</v>
      </c>
      <c r="H67">
        <v>0</v>
      </c>
      <c r="I67" t="s">
        <v>21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  <c r="AE67">
        <v>337</v>
      </c>
      <c r="AF67">
        <v>11.5</v>
      </c>
      <c r="AG67">
        <v>10.005759392558531</v>
      </c>
      <c r="AH67">
        <v>11.47434960992986</v>
      </c>
      <c r="AI67">
        <f>9.82240003140628*1</f>
        <v>9.8224000314062803</v>
      </c>
      <c r="AJ67">
        <f>2.22573974731369*1</f>
        <v>2.22573974731369</v>
      </c>
      <c r="AK67">
        <v>1</v>
      </c>
      <c r="AL67">
        <v>0</v>
      </c>
      <c r="AM67">
        <v>0</v>
      </c>
    </row>
    <row r="68" spans="1:39" hidden="1" x14ac:dyDescent="0.2">
      <c r="A68" t="s">
        <v>187</v>
      </c>
      <c r="B68" t="s">
        <v>188</v>
      </c>
      <c r="C68" t="s">
        <v>189</v>
      </c>
      <c r="D68" t="s">
        <v>3</v>
      </c>
      <c r="E68">
        <v>1</v>
      </c>
      <c r="F68">
        <v>0</v>
      </c>
      <c r="G68">
        <v>0</v>
      </c>
      <c r="H68">
        <v>0</v>
      </c>
      <c r="I68" t="s">
        <v>22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5.5</v>
      </c>
      <c r="AE68">
        <v>370</v>
      </c>
      <c r="AF68">
        <v>21.595004973250632</v>
      </c>
      <c r="AG68">
        <v>22.454346125684971</v>
      </c>
      <c r="AH68">
        <v>25.466874773773601</v>
      </c>
      <c r="AI68">
        <f>20.2683576886266*1</f>
        <v>20.268357688626601</v>
      </c>
      <c r="AJ68">
        <f>3.74920777746824*1</f>
        <v>3.7492077774682402</v>
      </c>
      <c r="AK68">
        <v>1</v>
      </c>
      <c r="AL68">
        <v>0</v>
      </c>
      <c r="AM68">
        <v>0</v>
      </c>
    </row>
    <row r="69" spans="1:39" hidden="1" x14ac:dyDescent="0.2">
      <c r="A69" t="s">
        <v>190</v>
      </c>
      <c r="B69" t="s">
        <v>191</v>
      </c>
      <c r="C69" t="s">
        <v>191</v>
      </c>
      <c r="D69" t="s">
        <v>4</v>
      </c>
      <c r="E69">
        <v>0</v>
      </c>
      <c r="F69">
        <v>1</v>
      </c>
      <c r="G69">
        <v>0</v>
      </c>
      <c r="H69">
        <v>0</v>
      </c>
      <c r="I69" t="s">
        <v>22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7.1</v>
      </c>
      <c r="AE69">
        <v>371</v>
      </c>
      <c r="AF69">
        <v>27.017970708191829</v>
      </c>
      <c r="AG69">
        <v>28.538889815773839</v>
      </c>
      <c r="AH69">
        <v>32.319802717117412</v>
      </c>
      <c r="AI69">
        <f>20.9230020543349*1</f>
        <v>20.923002054334901</v>
      </c>
      <c r="AJ69">
        <f>4.29484017050181*1</f>
        <v>4.2948401705018098</v>
      </c>
      <c r="AK69">
        <v>1</v>
      </c>
      <c r="AL69">
        <v>0</v>
      </c>
      <c r="AM69">
        <v>0</v>
      </c>
    </row>
    <row r="70" spans="1:39" hidden="1" x14ac:dyDescent="0.2">
      <c r="A70" t="s">
        <v>192</v>
      </c>
      <c r="B70" t="s">
        <v>193</v>
      </c>
      <c r="C70" t="s">
        <v>193</v>
      </c>
      <c r="D70" t="s">
        <v>5</v>
      </c>
      <c r="E70">
        <v>0</v>
      </c>
      <c r="F70">
        <v>0</v>
      </c>
      <c r="G70">
        <v>1</v>
      </c>
      <c r="H70">
        <v>0</v>
      </c>
      <c r="I70" t="s">
        <v>22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5.2</v>
      </c>
      <c r="AE70">
        <v>378</v>
      </c>
      <c r="AF70">
        <v>10.999032011828779</v>
      </c>
      <c r="AG70">
        <v>8.3408684969204678</v>
      </c>
      <c r="AH70">
        <v>30.53641025641026</v>
      </c>
      <c r="AI70">
        <f>10.3757135026915*1</f>
        <v>10.3757135026915</v>
      </c>
      <c r="AJ70">
        <f>1.929246054632*1</f>
        <v>1.9292460546320001</v>
      </c>
      <c r="AK70">
        <v>1</v>
      </c>
      <c r="AL70">
        <v>0</v>
      </c>
      <c r="AM70">
        <v>0</v>
      </c>
    </row>
    <row r="71" spans="1:39" hidden="1" x14ac:dyDescent="0.2">
      <c r="A71" t="s">
        <v>194</v>
      </c>
      <c r="B71" t="s">
        <v>195</v>
      </c>
      <c r="C71" t="s">
        <v>195</v>
      </c>
      <c r="D71" t="s">
        <v>4</v>
      </c>
      <c r="E71">
        <v>0</v>
      </c>
      <c r="F71">
        <v>1</v>
      </c>
      <c r="G71">
        <v>0</v>
      </c>
      <c r="H71">
        <v>0</v>
      </c>
      <c r="I71" t="s">
        <v>22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5.0999999999999996</v>
      </c>
      <c r="AE71">
        <v>385</v>
      </c>
      <c r="AF71">
        <v>15</v>
      </c>
      <c r="AG71">
        <v>13.74149227236463</v>
      </c>
      <c r="AH71">
        <v>18.671390779226162</v>
      </c>
      <c r="AI71">
        <f>22.397905732143*1</f>
        <v>22.397905732142998</v>
      </c>
      <c r="AJ71">
        <f>4.53077494120264*1</f>
        <v>4.5307749412026403</v>
      </c>
      <c r="AK71">
        <v>1</v>
      </c>
      <c r="AL71">
        <v>0</v>
      </c>
      <c r="AM71">
        <v>0</v>
      </c>
    </row>
    <row r="72" spans="1:39" hidden="1" x14ac:dyDescent="0.2">
      <c r="A72" t="s">
        <v>196</v>
      </c>
      <c r="B72" t="s">
        <v>197</v>
      </c>
      <c r="C72" t="s">
        <v>198</v>
      </c>
      <c r="D72" t="s">
        <v>5</v>
      </c>
      <c r="E72">
        <v>0</v>
      </c>
      <c r="F72">
        <v>0</v>
      </c>
      <c r="G72">
        <v>1</v>
      </c>
      <c r="H72">
        <v>0</v>
      </c>
      <c r="I72" t="s">
        <v>22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7.9</v>
      </c>
      <c r="AE72">
        <v>386</v>
      </c>
      <c r="AF72">
        <v>20.833333333333339</v>
      </c>
      <c r="AG72">
        <v>14.536647183495001</v>
      </c>
      <c r="AH72">
        <v>33.17533882521365</v>
      </c>
      <c r="AI72">
        <f>29.0277232861124*1</f>
        <v>29.027723286112401</v>
      </c>
      <c r="AJ72">
        <f>5.6295361917553*1</f>
        <v>5.6295361917553004</v>
      </c>
      <c r="AK72">
        <v>1</v>
      </c>
      <c r="AL72">
        <v>0</v>
      </c>
      <c r="AM72">
        <v>0</v>
      </c>
    </row>
    <row r="73" spans="1:39" hidden="1" x14ac:dyDescent="0.2">
      <c r="A73" t="s">
        <v>199</v>
      </c>
      <c r="B73" t="s">
        <v>200</v>
      </c>
      <c r="C73" t="s">
        <v>201</v>
      </c>
      <c r="D73" t="s">
        <v>5</v>
      </c>
      <c r="E73">
        <v>0</v>
      </c>
      <c r="F73">
        <v>0</v>
      </c>
      <c r="G73">
        <v>1</v>
      </c>
      <c r="H73">
        <v>0</v>
      </c>
      <c r="I73" t="s">
        <v>22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12.8</v>
      </c>
      <c r="AE73">
        <v>387</v>
      </c>
      <c r="AF73">
        <v>34.495192307692321</v>
      </c>
      <c r="AG73">
        <v>35.136885414656788</v>
      </c>
      <c r="AH73">
        <v>32.348292470503047</v>
      </c>
      <c r="AI73">
        <f>35.8740283475824*1</f>
        <v>35.874028347582403</v>
      </c>
      <c r="AJ73">
        <f>7.25247914351031*1</f>
        <v>7.2524791435103104</v>
      </c>
      <c r="AK73">
        <v>1</v>
      </c>
      <c r="AL73">
        <v>0</v>
      </c>
      <c r="AM73">
        <v>0</v>
      </c>
    </row>
    <row r="74" spans="1:39" hidden="1" x14ac:dyDescent="0.2">
      <c r="A74" t="s">
        <v>202</v>
      </c>
      <c r="B74" t="s">
        <v>203</v>
      </c>
      <c r="C74" t="s">
        <v>203</v>
      </c>
      <c r="D74" t="s">
        <v>5</v>
      </c>
      <c r="E74">
        <v>0</v>
      </c>
      <c r="F74">
        <v>0</v>
      </c>
      <c r="G74">
        <v>1</v>
      </c>
      <c r="H74">
        <v>0</v>
      </c>
      <c r="I74" t="s">
        <v>22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6.4</v>
      </c>
      <c r="AE74">
        <v>388</v>
      </c>
      <c r="AF74">
        <v>15.02744417828516</v>
      </c>
      <c r="AG74">
        <v>10.767990261324</v>
      </c>
      <c r="AH74">
        <v>9.0150798314023106</v>
      </c>
      <c r="AI74">
        <f>11.6285800970442*1</f>
        <v>11.6285800970442</v>
      </c>
      <c r="AJ74">
        <f>2.24456899254212*1</f>
        <v>2.2445689925421202</v>
      </c>
      <c r="AK74">
        <v>1</v>
      </c>
      <c r="AL74">
        <v>0</v>
      </c>
      <c r="AM74">
        <v>0</v>
      </c>
    </row>
    <row r="75" spans="1:39" hidden="1" x14ac:dyDescent="0.2">
      <c r="A75" t="s">
        <v>204</v>
      </c>
      <c r="B75" t="s">
        <v>205</v>
      </c>
      <c r="C75" t="s">
        <v>205</v>
      </c>
      <c r="D75" t="s">
        <v>5</v>
      </c>
      <c r="E75">
        <v>0</v>
      </c>
      <c r="F75">
        <v>0</v>
      </c>
      <c r="G75">
        <v>1</v>
      </c>
      <c r="H75">
        <v>0</v>
      </c>
      <c r="I75" t="s">
        <v>22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6.5</v>
      </c>
      <c r="AE75">
        <v>395</v>
      </c>
      <c r="AF75">
        <v>15.810810810810819</v>
      </c>
      <c r="AG75">
        <v>20.468523325150599</v>
      </c>
      <c r="AH75">
        <v>9.0888888888888886</v>
      </c>
      <c r="AI75">
        <f>9.97532825384471*1</f>
        <v>9.9753282538447099</v>
      </c>
      <c r="AJ75">
        <f>1.68528589966389*1</f>
        <v>1.68528589966389</v>
      </c>
      <c r="AK75">
        <v>1</v>
      </c>
      <c r="AL75">
        <v>0</v>
      </c>
      <c r="AM75">
        <v>0</v>
      </c>
    </row>
    <row r="76" spans="1:39" hidden="1" x14ac:dyDescent="0.2">
      <c r="A76" t="s">
        <v>206</v>
      </c>
      <c r="B76" t="s">
        <v>207</v>
      </c>
      <c r="C76" t="s">
        <v>206</v>
      </c>
      <c r="D76" t="s">
        <v>4</v>
      </c>
      <c r="E76">
        <v>0</v>
      </c>
      <c r="F76">
        <v>1</v>
      </c>
      <c r="G76">
        <v>0</v>
      </c>
      <c r="H76">
        <v>0</v>
      </c>
      <c r="I76" t="s">
        <v>22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6</v>
      </c>
      <c r="AE76">
        <v>397</v>
      </c>
      <c r="AF76">
        <v>20.06910322724011</v>
      </c>
      <c r="AG76">
        <v>24.62993324134057</v>
      </c>
      <c r="AH76">
        <v>19.660619507627029</v>
      </c>
      <c r="AI76">
        <f>16.6558521836334*1</f>
        <v>16.655852183633399</v>
      </c>
      <c r="AJ76">
        <f>2.82594264261354*1</f>
        <v>2.8259426426135401</v>
      </c>
      <c r="AK76">
        <v>1</v>
      </c>
      <c r="AL76">
        <v>0</v>
      </c>
      <c r="AM76">
        <v>0</v>
      </c>
    </row>
    <row r="77" spans="1:39" hidden="1" x14ac:dyDescent="0.2">
      <c r="A77" t="s">
        <v>208</v>
      </c>
      <c r="B77" t="s">
        <v>209</v>
      </c>
      <c r="C77" t="s">
        <v>209</v>
      </c>
      <c r="D77" t="s">
        <v>4</v>
      </c>
      <c r="E77">
        <v>0</v>
      </c>
      <c r="F77">
        <v>1</v>
      </c>
      <c r="G77">
        <v>0</v>
      </c>
      <c r="H77">
        <v>0</v>
      </c>
      <c r="I77" t="s">
        <v>23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5.5</v>
      </c>
      <c r="AE77">
        <v>400</v>
      </c>
      <c r="AF77">
        <v>16.440677966101688</v>
      </c>
      <c r="AG77">
        <v>13.1175279522135</v>
      </c>
      <c r="AH77">
        <v>15.45640544750392</v>
      </c>
      <c r="AI77">
        <f>16.0340690693369*1</f>
        <v>16.034069069336901</v>
      </c>
      <c r="AJ77">
        <f>3.50185227122359*1</f>
        <v>3.5018522712235902</v>
      </c>
      <c r="AK77">
        <v>1</v>
      </c>
      <c r="AL77">
        <v>0</v>
      </c>
      <c r="AM77">
        <v>0</v>
      </c>
    </row>
    <row r="78" spans="1:39" hidden="1" x14ac:dyDescent="0.2">
      <c r="A78" t="s">
        <v>95</v>
      </c>
      <c r="B78" t="s">
        <v>210</v>
      </c>
      <c r="C78" t="s">
        <v>210</v>
      </c>
      <c r="D78" t="s">
        <v>4</v>
      </c>
      <c r="E78">
        <v>0</v>
      </c>
      <c r="F78">
        <v>1</v>
      </c>
      <c r="G78">
        <v>0</v>
      </c>
      <c r="H78">
        <v>0</v>
      </c>
      <c r="I78" t="s">
        <v>23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5.3</v>
      </c>
      <c r="AE78">
        <v>401</v>
      </c>
      <c r="AF78">
        <v>16.27586206896553</v>
      </c>
      <c r="AG78">
        <v>17.815087379731011</v>
      </c>
      <c r="AH78">
        <v>15.109180049965801</v>
      </c>
      <c r="AI78">
        <f>9.31290810119258*1</f>
        <v>9.3129081011925798</v>
      </c>
      <c r="AJ78">
        <f>1.65109020586841*1</f>
        <v>1.65109020586841</v>
      </c>
      <c r="AK78">
        <v>1</v>
      </c>
      <c r="AL78">
        <v>0</v>
      </c>
      <c r="AM78">
        <v>0</v>
      </c>
    </row>
    <row r="79" spans="1:39" hidden="1" x14ac:dyDescent="0.2">
      <c r="A79" t="s">
        <v>211</v>
      </c>
      <c r="B79" t="s">
        <v>212</v>
      </c>
      <c r="C79" t="s">
        <v>211</v>
      </c>
      <c r="D79" t="s">
        <v>5</v>
      </c>
      <c r="E79">
        <v>0</v>
      </c>
      <c r="F79">
        <v>0</v>
      </c>
      <c r="G79">
        <v>1</v>
      </c>
      <c r="H79">
        <v>0</v>
      </c>
      <c r="I79" t="s">
        <v>23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6.5</v>
      </c>
      <c r="AE79">
        <v>402</v>
      </c>
      <c r="AF79">
        <v>18.50746268656717</v>
      </c>
      <c r="AG79">
        <v>19.153318401744201</v>
      </c>
      <c r="AH79">
        <v>18.68</v>
      </c>
      <c r="AI79">
        <f>15.0065475420834*1</f>
        <v>15.0065475420834</v>
      </c>
      <c r="AJ79">
        <f>3.06859294385923*1</f>
        <v>3.0685929438592301</v>
      </c>
      <c r="AK79">
        <v>1</v>
      </c>
      <c r="AL79">
        <v>0</v>
      </c>
      <c r="AM79">
        <v>0</v>
      </c>
    </row>
    <row r="80" spans="1:39" hidden="1" x14ac:dyDescent="0.2">
      <c r="A80" t="s">
        <v>213</v>
      </c>
      <c r="B80" t="s">
        <v>214</v>
      </c>
      <c r="C80" t="s">
        <v>214</v>
      </c>
      <c r="D80" t="s">
        <v>5</v>
      </c>
      <c r="E80">
        <v>0</v>
      </c>
      <c r="F80">
        <v>0</v>
      </c>
      <c r="G80">
        <v>1</v>
      </c>
      <c r="H80">
        <v>0</v>
      </c>
      <c r="I80" t="s">
        <v>23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6.5</v>
      </c>
      <c r="AE80">
        <v>406</v>
      </c>
      <c r="AF80">
        <v>16.774193548387089</v>
      </c>
      <c r="AG80">
        <v>18.17420071649709</v>
      </c>
      <c r="AH80">
        <v>16.925000000000001</v>
      </c>
      <c r="AI80">
        <f>17.5424888677817*1</f>
        <v>17.542488867781699</v>
      </c>
      <c r="AJ80">
        <f>3.59507034428526*1</f>
        <v>3.5950703442852601</v>
      </c>
      <c r="AK80">
        <v>1</v>
      </c>
      <c r="AL80">
        <v>0</v>
      </c>
      <c r="AM80">
        <v>0</v>
      </c>
    </row>
    <row r="81" spans="1:39" hidden="1" x14ac:dyDescent="0.2">
      <c r="A81" t="s">
        <v>215</v>
      </c>
      <c r="B81" t="s">
        <v>216</v>
      </c>
      <c r="C81" t="s">
        <v>217</v>
      </c>
      <c r="D81" t="s">
        <v>3</v>
      </c>
      <c r="E81">
        <v>1</v>
      </c>
      <c r="F81">
        <v>0</v>
      </c>
      <c r="G81">
        <v>0</v>
      </c>
      <c r="H81">
        <v>0</v>
      </c>
      <c r="I81" t="s">
        <v>23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5.5</v>
      </c>
      <c r="AE81">
        <v>407</v>
      </c>
      <c r="AF81">
        <v>19.490291262135919</v>
      </c>
      <c r="AG81">
        <v>21.615581526460598</v>
      </c>
      <c r="AH81">
        <v>17.163485236348169</v>
      </c>
      <c r="AI81">
        <f>19.3483450407065*1</f>
        <v>19.348345040706501</v>
      </c>
      <c r="AJ81">
        <f>3.9716411767396*1</f>
        <v>3.9716411767395998</v>
      </c>
      <c r="AK81">
        <v>1</v>
      </c>
      <c r="AL81">
        <v>0</v>
      </c>
      <c r="AM81">
        <v>0</v>
      </c>
    </row>
    <row r="82" spans="1:39" hidden="1" x14ac:dyDescent="0.2">
      <c r="A82" t="s">
        <v>218</v>
      </c>
      <c r="B82" t="s">
        <v>219</v>
      </c>
      <c r="C82" t="s">
        <v>219</v>
      </c>
      <c r="D82" t="s">
        <v>5</v>
      </c>
      <c r="E82">
        <v>0</v>
      </c>
      <c r="F82">
        <v>0</v>
      </c>
      <c r="G82">
        <v>1</v>
      </c>
      <c r="H82">
        <v>0</v>
      </c>
      <c r="I82" t="s">
        <v>23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9.3000000000000007</v>
      </c>
      <c r="AE82">
        <v>408</v>
      </c>
      <c r="AF82">
        <v>39.968618776268087</v>
      </c>
      <c r="AG82">
        <v>20.615489998340848</v>
      </c>
      <c r="AH82">
        <v>28.980754205812509</v>
      </c>
      <c r="AI82">
        <f>19.229665782443*1</f>
        <v>19.229665782443</v>
      </c>
      <c r="AJ82">
        <f>4.25459755382238*1</f>
        <v>4.2545975538223804</v>
      </c>
      <c r="AK82">
        <v>1</v>
      </c>
      <c r="AL82">
        <v>0</v>
      </c>
      <c r="AM82">
        <v>0</v>
      </c>
    </row>
    <row r="83" spans="1:39" hidden="1" x14ac:dyDescent="0.2">
      <c r="A83" t="s">
        <v>220</v>
      </c>
      <c r="B83" t="s">
        <v>221</v>
      </c>
      <c r="C83" t="s">
        <v>221</v>
      </c>
      <c r="D83" t="s">
        <v>4</v>
      </c>
      <c r="E83">
        <v>0</v>
      </c>
      <c r="F83">
        <v>1</v>
      </c>
      <c r="G83">
        <v>0</v>
      </c>
      <c r="H83">
        <v>0</v>
      </c>
      <c r="I83" t="s">
        <v>23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6</v>
      </c>
      <c r="AE83">
        <v>410</v>
      </c>
      <c r="AF83">
        <v>17.96875</v>
      </c>
      <c r="AG83">
        <v>21.73531918102665</v>
      </c>
      <c r="AH83">
        <v>24.02615086798442</v>
      </c>
      <c r="AI83">
        <f>9.33735855860254*1</f>
        <v>9.3373585586025403</v>
      </c>
      <c r="AJ83">
        <f>1.99898753963428*1</f>
        <v>1.99898753963428</v>
      </c>
      <c r="AK83">
        <v>1</v>
      </c>
      <c r="AL83">
        <v>1</v>
      </c>
      <c r="AM83">
        <v>0</v>
      </c>
    </row>
    <row r="84" spans="1:39" hidden="1" x14ac:dyDescent="0.2">
      <c r="A84" t="s">
        <v>222</v>
      </c>
      <c r="B84" t="s">
        <v>223</v>
      </c>
      <c r="C84" t="s">
        <v>223</v>
      </c>
      <c r="D84" t="s">
        <v>6</v>
      </c>
      <c r="E84">
        <v>0</v>
      </c>
      <c r="F84">
        <v>0</v>
      </c>
      <c r="G84">
        <v>0</v>
      </c>
      <c r="H84">
        <v>1</v>
      </c>
      <c r="I84" t="s">
        <v>23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15.3</v>
      </c>
      <c r="AE84">
        <v>411</v>
      </c>
      <c r="AF84">
        <v>41.000000000000007</v>
      </c>
      <c r="AG84">
        <v>39.299464556336972</v>
      </c>
      <c r="AH84">
        <v>68.265507238121657</v>
      </c>
      <c r="AI84">
        <f>48.6028169457375*1</f>
        <v>48.602816945737501</v>
      </c>
      <c r="AJ84">
        <f>9.52175969046164*1</f>
        <v>9.5217596904616393</v>
      </c>
      <c r="AK84">
        <v>1</v>
      </c>
      <c r="AL84">
        <v>0</v>
      </c>
      <c r="AM84">
        <v>0</v>
      </c>
    </row>
    <row r="85" spans="1:39" hidden="1" x14ac:dyDescent="0.2">
      <c r="A85" t="s">
        <v>224</v>
      </c>
      <c r="B85" t="s">
        <v>225</v>
      </c>
      <c r="C85" t="s">
        <v>226</v>
      </c>
      <c r="D85" t="s">
        <v>6</v>
      </c>
      <c r="E85">
        <v>0</v>
      </c>
      <c r="F85">
        <v>0</v>
      </c>
      <c r="G85">
        <v>0</v>
      </c>
      <c r="H85">
        <v>1</v>
      </c>
      <c r="I85" t="s">
        <v>23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7</v>
      </c>
      <c r="AE85">
        <v>412</v>
      </c>
      <c r="AF85">
        <v>18.571428571428569</v>
      </c>
      <c r="AG85">
        <v>22.18773956915712</v>
      </c>
      <c r="AH85">
        <v>17.340897741719591</v>
      </c>
      <c r="AI85">
        <f>10.5684152360967*1</f>
        <v>10.568415236096699</v>
      </c>
      <c r="AJ85">
        <f>2.13907460329625*1</f>
        <v>2.1390746032962502</v>
      </c>
      <c r="AK85">
        <v>1</v>
      </c>
      <c r="AL85">
        <v>0</v>
      </c>
      <c r="AM85">
        <v>0</v>
      </c>
    </row>
    <row r="86" spans="1:39" hidden="1" x14ac:dyDescent="0.2">
      <c r="A86" t="s">
        <v>227</v>
      </c>
      <c r="B86" t="s">
        <v>228</v>
      </c>
      <c r="C86" t="s">
        <v>228</v>
      </c>
      <c r="D86" t="s">
        <v>5</v>
      </c>
      <c r="E86">
        <v>0</v>
      </c>
      <c r="F86">
        <v>0</v>
      </c>
      <c r="G86">
        <v>1</v>
      </c>
      <c r="H86">
        <v>0</v>
      </c>
      <c r="I86" t="s">
        <v>23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5.5</v>
      </c>
      <c r="AE86">
        <v>414</v>
      </c>
      <c r="AF86">
        <v>11.17647058823529</v>
      </c>
      <c r="AG86">
        <v>9.0380514763259558</v>
      </c>
      <c r="AH86">
        <v>18.080923963933952</v>
      </c>
      <c r="AI86">
        <f>5.08110086596918*1</f>
        <v>5.0811008659691801</v>
      </c>
      <c r="AJ86">
        <f>1.01075179875281*1</f>
        <v>1.0107517987528101</v>
      </c>
      <c r="AK86">
        <v>1</v>
      </c>
      <c r="AL86">
        <v>0</v>
      </c>
      <c r="AM86">
        <v>0</v>
      </c>
    </row>
    <row r="87" spans="1:39" hidden="1" x14ac:dyDescent="0.2">
      <c r="A87" t="s">
        <v>229</v>
      </c>
      <c r="B87" t="s">
        <v>230</v>
      </c>
      <c r="C87" t="s">
        <v>230</v>
      </c>
      <c r="D87" t="s">
        <v>4</v>
      </c>
      <c r="E87">
        <v>0</v>
      </c>
      <c r="F87">
        <v>1</v>
      </c>
      <c r="G87">
        <v>0</v>
      </c>
      <c r="H87">
        <v>0</v>
      </c>
      <c r="I87" t="s">
        <v>23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5.3</v>
      </c>
      <c r="AE87">
        <v>422</v>
      </c>
      <c r="AF87">
        <v>18.910256410256409</v>
      </c>
      <c r="AG87">
        <v>18.299296341552409</v>
      </c>
      <c r="AH87">
        <v>14.661547992762999</v>
      </c>
      <c r="AI87">
        <f>17.528785976557*1</f>
        <v>17.528785976557</v>
      </c>
      <c r="AJ87">
        <f>3.81602040546195*1</f>
        <v>3.8160204054619502</v>
      </c>
      <c r="AK87">
        <v>1</v>
      </c>
      <c r="AL87">
        <v>0</v>
      </c>
      <c r="AM87">
        <v>0</v>
      </c>
    </row>
    <row r="88" spans="1:39" hidden="1" x14ac:dyDescent="0.2">
      <c r="A88" t="s">
        <v>231</v>
      </c>
      <c r="B88" t="s">
        <v>232</v>
      </c>
      <c r="C88" t="s">
        <v>233</v>
      </c>
      <c r="D88" t="s">
        <v>5</v>
      </c>
      <c r="E88">
        <v>0</v>
      </c>
      <c r="F88">
        <v>0</v>
      </c>
      <c r="G88">
        <v>1</v>
      </c>
      <c r="H88">
        <v>0</v>
      </c>
      <c r="I88" t="s">
        <v>24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8.3000000000000007</v>
      </c>
      <c r="AE88">
        <v>429</v>
      </c>
      <c r="AF88">
        <v>22.361111111111089</v>
      </c>
      <c r="AG88">
        <v>16.058159746163131</v>
      </c>
      <c r="AH88">
        <v>34.62222222222222</v>
      </c>
      <c r="AI88">
        <f>13.050538967962*1</f>
        <v>13.050538967962</v>
      </c>
      <c r="AJ88">
        <f>2.16648587277786*1</f>
        <v>2.16648587277786</v>
      </c>
      <c r="AK88">
        <v>1</v>
      </c>
      <c r="AL88">
        <v>0</v>
      </c>
      <c r="AM88">
        <v>0</v>
      </c>
    </row>
    <row r="89" spans="1:39" hidden="1" x14ac:dyDescent="0.2">
      <c r="A89" t="s">
        <v>234</v>
      </c>
      <c r="B89" t="s">
        <v>235</v>
      </c>
      <c r="C89" t="s">
        <v>236</v>
      </c>
      <c r="D89" t="s">
        <v>5</v>
      </c>
      <c r="E89">
        <v>0</v>
      </c>
      <c r="F89">
        <v>0</v>
      </c>
      <c r="G89">
        <v>1</v>
      </c>
      <c r="H89">
        <v>0</v>
      </c>
      <c r="I89" t="s">
        <v>24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4.9000000000000004</v>
      </c>
      <c r="AE89">
        <v>431</v>
      </c>
      <c r="AF89">
        <v>12.452830188679251</v>
      </c>
      <c r="AG89">
        <v>16.581895149577349</v>
      </c>
      <c r="AH89">
        <v>7.2000000000000011</v>
      </c>
      <c r="AI89">
        <f>9.89338942233769*1</f>
        <v>9.8933894223376893</v>
      </c>
      <c r="AJ89">
        <f>2.04370642490752*1</f>
        <v>2.0437064249075201</v>
      </c>
      <c r="AK89">
        <v>1</v>
      </c>
      <c r="AL89">
        <v>0</v>
      </c>
      <c r="AM89">
        <v>0</v>
      </c>
    </row>
    <row r="90" spans="1:39" x14ac:dyDescent="0.2">
      <c r="A90" t="s">
        <v>272</v>
      </c>
      <c r="B90" t="s">
        <v>273</v>
      </c>
      <c r="C90" t="s">
        <v>274</v>
      </c>
      <c r="D90" t="s">
        <v>4</v>
      </c>
      <c r="E90">
        <v>0</v>
      </c>
      <c r="F90">
        <v>1</v>
      </c>
      <c r="G90">
        <v>0</v>
      </c>
      <c r="H90">
        <v>0</v>
      </c>
      <c r="I90" t="s">
        <v>28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5.6</v>
      </c>
      <c r="AE90">
        <v>578</v>
      </c>
      <c r="AF90">
        <v>19.33962264150944</v>
      </c>
      <c r="AG90">
        <v>15.47458650949295</v>
      </c>
      <c r="AH90">
        <v>9.7818181818181813</v>
      </c>
      <c r="AI90">
        <f>14.1453714612426*1</f>
        <v>14.1453714612426</v>
      </c>
      <c r="AJ90">
        <f>2.86873440895577*1</f>
        <v>2.86873440895577</v>
      </c>
      <c r="AK90">
        <v>1</v>
      </c>
      <c r="AL90">
        <v>1</v>
      </c>
      <c r="AM90">
        <v>1</v>
      </c>
    </row>
    <row r="91" spans="1:39" hidden="1" x14ac:dyDescent="0.2">
      <c r="A91" t="s">
        <v>240</v>
      </c>
      <c r="B91" t="s">
        <v>241</v>
      </c>
      <c r="C91" t="s">
        <v>241</v>
      </c>
      <c r="D91" t="s">
        <v>5</v>
      </c>
      <c r="E91">
        <v>0</v>
      </c>
      <c r="F91">
        <v>0</v>
      </c>
      <c r="G91">
        <v>1</v>
      </c>
      <c r="H91">
        <v>0</v>
      </c>
      <c r="I91" t="s">
        <v>24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6.4</v>
      </c>
      <c r="AE91">
        <v>435</v>
      </c>
      <c r="AF91">
        <v>15.347347916221439</v>
      </c>
      <c r="AG91">
        <v>17.803485919999069</v>
      </c>
      <c r="AH91">
        <v>15.68570893659027</v>
      </c>
      <c r="AI91">
        <f>4.48364875012453*1</f>
        <v>4.4836487501245301</v>
      </c>
      <c r="AJ91">
        <f>0.868621749106879*1</f>
        <v>0.86862174910687895</v>
      </c>
      <c r="AK91">
        <v>1</v>
      </c>
      <c r="AL91">
        <v>0</v>
      </c>
      <c r="AM91">
        <v>0</v>
      </c>
    </row>
    <row r="92" spans="1:39" hidden="1" x14ac:dyDescent="0.2">
      <c r="A92" t="s">
        <v>242</v>
      </c>
      <c r="B92" t="s">
        <v>243</v>
      </c>
      <c r="C92" t="s">
        <v>243</v>
      </c>
      <c r="D92" t="s">
        <v>6</v>
      </c>
      <c r="E92">
        <v>0</v>
      </c>
      <c r="F92">
        <v>0</v>
      </c>
      <c r="G92">
        <v>0</v>
      </c>
      <c r="H92">
        <v>1</v>
      </c>
      <c r="I92" t="s">
        <v>24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6.9</v>
      </c>
      <c r="AE92">
        <v>438</v>
      </c>
      <c r="AF92">
        <v>15.638255167642381</v>
      </c>
      <c r="AG92">
        <v>29.740327378738169</v>
      </c>
      <c r="AH92">
        <v>34.033333333333331</v>
      </c>
      <c r="AI92">
        <f>5.16514665499272*1</f>
        <v>5.1651466549927196</v>
      </c>
      <c r="AJ92">
        <f>0.789003793903939*1</f>
        <v>0.78900379390393904</v>
      </c>
      <c r="AK92">
        <v>1</v>
      </c>
      <c r="AL92">
        <v>0</v>
      </c>
      <c r="AM92">
        <v>0</v>
      </c>
    </row>
    <row r="93" spans="1:39" hidden="1" x14ac:dyDescent="0.2">
      <c r="A93" t="s">
        <v>179</v>
      </c>
      <c r="B93" t="s">
        <v>244</v>
      </c>
      <c r="C93" t="s">
        <v>244</v>
      </c>
      <c r="D93" t="s">
        <v>4</v>
      </c>
      <c r="E93">
        <v>0</v>
      </c>
      <c r="F93">
        <v>1</v>
      </c>
      <c r="G93">
        <v>0</v>
      </c>
      <c r="H93">
        <v>0</v>
      </c>
      <c r="I93" t="s">
        <v>24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4.9000000000000004</v>
      </c>
      <c r="AE93">
        <v>440</v>
      </c>
      <c r="AF93">
        <v>15.644311279299821</v>
      </c>
      <c r="AG93">
        <v>14.27564583647734</v>
      </c>
      <c r="AH93">
        <v>5.7288813071069677</v>
      </c>
      <c r="AI93">
        <f>10.2315562145308*1</f>
        <v>10.2315562145308</v>
      </c>
      <c r="AJ93">
        <f>2.10152104014379*1</f>
        <v>2.10152104014379</v>
      </c>
      <c r="AK93">
        <v>1</v>
      </c>
      <c r="AL93">
        <v>0</v>
      </c>
      <c r="AM93">
        <v>0</v>
      </c>
    </row>
    <row r="94" spans="1:39" hidden="1" x14ac:dyDescent="0.2">
      <c r="A94" t="s">
        <v>245</v>
      </c>
      <c r="B94" t="s">
        <v>246</v>
      </c>
      <c r="C94" t="s">
        <v>246</v>
      </c>
      <c r="D94" t="s">
        <v>5</v>
      </c>
      <c r="E94">
        <v>0</v>
      </c>
      <c r="F94">
        <v>0</v>
      </c>
      <c r="G94">
        <v>1</v>
      </c>
      <c r="H94">
        <v>0</v>
      </c>
      <c r="I94" t="s">
        <v>24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5.4</v>
      </c>
      <c r="AE94">
        <v>441</v>
      </c>
      <c r="AF94">
        <v>14.82758620689655</v>
      </c>
      <c r="AG94">
        <v>21.40226211483116</v>
      </c>
      <c r="AH94">
        <v>12.510810927455161</v>
      </c>
      <c r="AI94">
        <f>6.26422867371416*1</f>
        <v>6.2642286737141601</v>
      </c>
      <c r="AJ94">
        <f>1.16635138375128*1</f>
        <v>1.16635138375128</v>
      </c>
      <c r="AK94">
        <v>1</v>
      </c>
      <c r="AL94">
        <v>0</v>
      </c>
      <c r="AM94">
        <v>0</v>
      </c>
    </row>
    <row r="95" spans="1:39" x14ac:dyDescent="0.2">
      <c r="A95" t="s">
        <v>135</v>
      </c>
      <c r="B95" t="s">
        <v>136</v>
      </c>
      <c r="C95" t="s">
        <v>137</v>
      </c>
      <c r="D95" t="s">
        <v>6</v>
      </c>
      <c r="E95">
        <v>0</v>
      </c>
      <c r="F95">
        <v>0</v>
      </c>
      <c r="G95">
        <v>0</v>
      </c>
      <c r="H95">
        <v>1</v>
      </c>
      <c r="I95" t="s">
        <v>16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7.7</v>
      </c>
      <c r="AE95">
        <v>201</v>
      </c>
      <c r="AF95">
        <v>22.368421052631579</v>
      </c>
      <c r="AG95">
        <v>21.051595218765399</v>
      </c>
      <c r="AH95">
        <v>40.917818132687771</v>
      </c>
      <c r="AI95">
        <f>15.0697823007646*1</f>
        <v>15.069782300764601</v>
      </c>
      <c r="AJ95">
        <f>2.80640237601274*1</f>
        <v>2.8064023760127399</v>
      </c>
      <c r="AK95">
        <v>1</v>
      </c>
      <c r="AL95">
        <v>1</v>
      </c>
      <c r="AM95">
        <v>1</v>
      </c>
    </row>
    <row r="96" spans="1:39" hidden="1" x14ac:dyDescent="0.2">
      <c r="A96" t="s">
        <v>93</v>
      </c>
      <c r="B96" t="s">
        <v>248</v>
      </c>
      <c r="C96" t="s">
        <v>248</v>
      </c>
      <c r="D96" t="s">
        <v>5</v>
      </c>
      <c r="E96">
        <v>0</v>
      </c>
      <c r="F96">
        <v>0</v>
      </c>
      <c r="G96">
        <v>1</v>
      </c>
      <c r="H96">
        <v>0</v>
      </c>
      <c r="I96" t="s">
        <v>24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6.9</v>
      </c>
      <c r="AE96">
        <v>448</v>
      </c>
      <c r="AF96">
        <v>21.978609625668462</v>
      </c>
      <c r="AG96">
        <v>22.75467788151343</v>
      </c>
      <c r="AH96">
        <v>27.12426579927045</v>
      </c>
      <c r="AI96">
        <f>10.391944319342*1</f>
        <v>10.391944319342</v>
      </c>
      <c r="AJ96">
        <f>2.1334264528586*1</f>
        <v>2.1334264528586</v>
      </c>
      <c r="AK96">
        <v>1</v>
      </c>
      <c r="AL96">
        <v>0</v>
      </c>
      <c r="AM96">
        <v>0</v>
      </c>
    </row>
    <row r="97" spans="1:39" x14ac:dyDescent="0.2">
      <c r="A97" t="s">
        <v>164</v>
      </c>
      <c r="B97" t="s">
        <v>165</v>
      </c>
      <c r="C97" t="s">
        <v>165</v>
      </c>
      <c r="D97" t="s">
        <v>4</v>
      </c>
      <c r="E97">
        <v>0</v>
      </c>
      <c r="F97">
        <v>1</v>
      </c>
      <c r="G97">
        <v>0</v>
      </c>
      <c r="H97">
        <v>0</v>
      </c>
      <c r="I97" t="s">
        <v>19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4.4000000000000004</v>
      </c>
      <c r="AE97">
        <v>277</v>
      </c>
      <c r="AF97">
        <v>15.22900763358779</v>
      </c>
      <c r="AG97">
        <v>0</v>
      </c>
      <c r="AH97">
        <v>8.1018188624676863</v>
      </c>
      <c r="AI97">
        <f>13.5671225463814*1</f>
        <v>13.5671225463814</v>
      </c>
      <c r="AJ97">
        <f>2.71263929842836*1</f>
        <v>2.71263929842836</v>
      </c>
      <c r="AK97">
        <v>1</v>
      </c>
      <c r="AL97">
        <v>1</v>
      </c>
      <c r="AM97">
        <v>1</v>
      </c>
    </row>
    <row r="98" spans="1:39" x14ac:dyDescent="0.2">
      <c r="A98" t="s">
        <v>251</v>
      </c>
      <c r="B98" t="s">
        <v>252</v>
      </c>
      <c r="C98" t="s">
        <v>252</v>
      </c>
      <c r="D98" t="s">
        <v>5</v>
      </c>
      <c r="E98">
        <v>0</v>
      </c>
      <c r="F98">
        <v>0</v>
      </c>
      <c r="G98">
        <v>1</v>
      </c>
      <c r="H98">
        <v>0</v>
      </c>
      <c r="I98" t="s">
        <v>25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7.4</v>
      </c>
      <c r="AE98">
        <v>464</v>
      </c>
      <c r="AF98">
        <v>8.0229565859297907</v>
      </c>
      <c r="AG98">
        <v>14.654846688113849</v>
      </c>
      <c r="AH98">
        <v>14.182444658741099</v>
      </c>
      <c r="AI98">
        <f>7.20078562254672*1</f>
        <v>7.2007856225467197</v>
      </c>
      <c r="AJ98">
        <f>2.63727144934065*1</f>
        <v>2.6372714493406502</v>
      </c>
      <c r="AK98">
        <v>1</v>
      </c>
      <c r="AL98">
        <v>1</v>
      </c>
      <c r="AM98">
        <v>1</v>
      </c>
    </row>
    <row r="99" spans="1:39" x14ac:dyDescent="0.2">
      <c r="A99" t="s">
        <v>253</v>
      </c>
      <c r="B99" t="s">
        <v>254</v>
      </c>
      <c r="C99" t="s">
        <v>254</v>
      </c>
      <c r="D99" t="s">
        <v>6</v>
      </c>
      <c r="E99">
        <v>0</v>
      </c>
      <c r="F99">
        <v>0</v>
      </c>
      <c r="G99">
        <v>0</v>
      </c>
      <c r="H99">
        <v>1</v>
      </c>
      <c r="I99" t="s">
        <v>25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8.3000000000000007</v>
      </c>
      <c r="AE99">
        <v>467</v>
      </c>
      <c r="AF99">
        <v>26.111111111111111</v>
      </c>
      <c r="AG99">
        <v>24.925475536522129</v>
      </c>
      <c r="AH99">
        <v>28.039771094709351</v>
      </c>
      <c r="AI99">
        <f>12.256518225446*0.75</f>
        <v>9.1923886690844991</v>
      </c>
      <c r="AJ99">
        <f>3.28983358662789*0.75</f>
        <v>2.4673751899709178</v>
      </c>
      <c r="AK99">
        <v>0.75</v>
      </c>
      <c r="AL99">
        <v>1</v>
      </c>
      <c r="AM99">
        <v>1</v>
      </c>
    </row>
    <row r="100" spans="1:39" hidden="1" x14ac:dyDescent="0.2">
      <c r="A100" t="s">
        <v>255</v>
      </c>
      <c r="B100" t="s">
        <v>256</v>
      </c>
      <c r="C100" t="s">
        <v>255</v>
      </c>
      <c r="D100" t="s">
        <v>5</v>
      </c>
      <c r="E100">
        <v>0</v>
      </c>
      <c r="F100">
        <v>0</v>
      </c>
      <c r="G100">
        <v>1</v>
      </c>
      <c r="H100">
        <v>0</v>
      </c>
      <c r="I100" t="s">
        <v>26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4.8</v>
      </c>
      <c r="AE100">
        <v>498</v>
      </c>
      <c r="AF100">
        <v>11.902028364055409</v>
      </c>
      <c r="AG100">
        <v>17.83474033096229</v>
      </c>
      <c r="AH100">
        <v>8.478959647007775</v>
      </c>
      <c r="AI100">
        <f>14.8379531068264*1</f>
        <v>14.837953106826401</v>
      </c>
      <c r="AJ100">
        <f>1.92664019134601*1</f>
        <v>1.9266401913460101</v>
      </c>
      <c r="AK100">
        <v>1</v>
      </c>
      <c r="AL100">
        <v>0</v>
      </c>
      <c r="AM100">
        <v>0</v>
      </c>
    </row>
    <row r="101" spans="1:39" hidden="1" x14ac:dyDescent="0.2">
      <c r="A101" t="s">
        <v>251</v>
      </c>
      <c r="B101" t="s">
        <v>257</v>
      </c>
      <c r="C101" t="s">
        <v>257</v>
      </c>
      <c r="D101" t="s">
        <v>5</v>
      </c>
      <c r="E101">
        <v>0</v>
      </c>
      <c r="F101">
        <v>0</v>
      </c>
      <c r="G101">
        <v>1</v>
      </c>
      <c r="H101">
        <v>0</v>
      </c>
      <c r="I101" t="s">
        <v>26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5.3</v>
      </c>
      <c r="AE101">
        <v>501</v>
      </c>
      <c r="AF101">
        <v>13.533985627981791</v>
      </c>
      <c r="AG101">
        <v>13.018746848239839</v>
      </c>
      <c r="AH101">
        <v>8.479400796399359</v>
      </c>
      <c r="AI101">
        <f>6.28391772682784*1</f>
        <v>6.2839177268278403</v>
      </c>
      <c r="AJ101">
        <f>1.11515166014932*1</f>
        <v>1.1151516601493201</v>
      </c>
      <c r="AK101">
        <v>1</v>
      </c>
      <c r="AL101">
        <v>0</v>
      </c>
      <c r="AM101">
        <v>0</v>
      </c>
    </row>
    <row r="102" spans="1:39" hidden="1" x14ac:dyDescent="0.2">
      <c r="A102" t="s">
        <v>258</v>
      </c>
      <c r="B102" t="s">
        <v>259</v>
      </c>
      <c r="C102" t="s">
        <v>259</v>
      </c>
      <c r="D102" t="s">
        <v>5</v>
      </c>
      <c r="E102">
        <v>0</v>
      </c>
      <c r="F102">
        <v>0</v>
      </c>
      <c r="G102">
        <v>1</v>
      </c>
      <c r="H102">
        <v>0</v>
      </c>
      <c r="I102" t="s">
        <v>26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6.4</v>
      </c>
      <c r="AE102">
        <v>502</v>
      </c>
      <c r="AF102">
        <v>19.55258052474915</v>
      </c>
      <c r="AG102">
        <v>9.4059572402265594</v>
      </c>
      <c r="AH102">
        <v>11.195679573732001</v>
      </c>
      <c r="AI102">
        <f>8.16818232026056*1</f>
        <v>8.1681823202605592</v>
      </c>
      <c r="AJ102">
        <f>1.61156978620875*1</f>
        <v>1.6115697862087499</v>
      </c>
      <c r="AK102">
        <v>1</v>
      </c>
      <c r="AL102">
        <v>0</v>
      </c>
      <c r="AM102">
        <v>0</v>
      </c>
    </row>
    <row r="103" spans="1:39" x14ac:dyDescent="0.2">
      <c r="A103" t="s">
        <v>160</v>
      </c>
      <c r="B103" t="s">
        <v>161</v>
      </c>
      <c r="C103" t="s">
        <v>161</v>
      </c>
      <c r="D103" t="s">
        <v>3</v>
      </c>
      <c r="E103">
        <v>1</v>
      </c>
      <c r="F103">
        <v>0</v>
      </c>
      <c r="G103">
        <v>0</v>
      </c>
      <c r="H103">
        <v>0</v>
      </c>
      <c r="I103" t="s">
        <v>18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4.8</v>
      </c>
      <c r="AE103">
        <v>264</v>
      </c>
      <c r="AF103">
        <v>17.757009345794401</v>
      </c>
      <c r="AG103">
        <v>17.023461456818499</v>
      </c>
      <c r="AH103">
        <v>11.091822239291091</v>
      </c>
      <c r="AI103">
        <f>10.9612309241302*1</f>
        <v>10.9612309241302</v>
      </c>
      <c r="AJ103">
        <f>2.13858085788262*1</f>
        <v>2.1385808578826202</v>
      </c>
      <c r="AK103">
        <v>1</v>
      </c>
      <c r="AL103">
        <v>1</v>
      </c>
      <c r="AM103">
        <v>1</v>
      </c>
    </row>
    <row r="104" spans="1:39" hidden="1" x14ac:dyDescent="0.2">
      <c r="A104" t="s">
        <v>262</v>
      </c>
      <c r="B104" t="s">
        <v>263</v>
      </c>
      <c r="C104" t="s">
        <v>262</v>
      </c>
      <c r="D104" t="s">
        <v>4</v>
      </c>
      <c r="E104">
        <v>0</v>
      </c>
      <c r="F104">
        <v>1</v>
      </c>
      <c r="G104">
        <v>0</v>
      </c>
      <c r="H104">
        <v>0</v>
      </c>
      <c r="I104" t="s">
        <v>26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4.5</v>
      </c>
      <c r="AE104">
        <v>505</v>
      </c>
      <c r="AF104">
        <v>10.27027027027027</v>
      </c>
      <c r="AG104">
        <v>8.3009275751625573</v>
      </c>
      <c r="AH104">
        <v>22.694443565693572</v>
      </c>
      <c r="AI104">
        <f>12.2619776328524*1</f>
        <v>12.2619776328524</v>
      </c>
      <c r="AJ104">
        <f>2.23234772525477*1</f>
        <v>2.2323477252547699</v>
      </c>
      <c r="AK104">
        <v>1</v>
      </c>
      <c r="AL104">
        <v>0</v>
      </c>
      <c r="AM104">
        <v>0</v>
      </c>
    </row>
    <row r="105" spans="1:39" hidden="1" x14ac:dyDescent="0.2">
      <c r="A105" t="s">
        <v>140</v>
      </c>
      <c r="B105" t="s">
        <v>264</v>
      </c>
      <c r="C105" t="s">
        <v>264</v>
      </c>
      <c r="D105" t="s">
        <v>6</v>
      </c>
      <c r="E105">
        <v>0</v>
      </c>
      <c r="F105">
        <v>0</v>
      </c>
      <c r="G105">
        <v>0</v>
      </c>
      <c r="H105">
        <v>1</v>
      </c>
      <c r="I105" t="s">
        <v>26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6.1</v>
      </c>
      <c r="AE105">
        <v>515</v>
      </c>
      <c r="AF105">
        <v>19.141135910079299</v>
      </c>
      <c r="AG105">
        <v>16.07080746105159</v>
      </c>
      <c r="AH105">
        <v>26.841796182972121</v>
      </c>
      <c r="AI105">
        <f>21.6942496119376*1</f>
        <v>21.6942496119376</v>
      </c>
      <c r="AJ105">
        <f>4.52662799913928*1</f>
        <v>4.5266279991392802</v>
      </c>
      <c r="AK105">
        <v>1</v>
      </c>
      <c r="AL105">
        <v>0</v>
      </c>
      <c r="AM105">
        <v>0</v>
      </c>
    </row>
    <row r="106" spans="1:39" hidden="1" x14ac:dyDescent="0.2">
      <c r="A106" t="s">
        <v>265</v>
      </c>
      <c r="B106" t="s">
        <v>266</v>
      </c>
      <c r="C106" t="s">
        <v>266</v>
      </c>
      <c r="D106" t="s">
        <v>5</v>
      </c>
      <c r="E106">
        <v>0</v>
      </c>
      <c r="F106">
        <v>0</v>
      </c>
      <c r="G106">
        <v>1</v>
      </c>
      <c r="H106">
        <v>0</v>
      </c>
      <c r="I106" t="s">
        <v>26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6.3</v>
      </c>
      <c r="AE106">
        <v>518</v>
      </c>
      <c r="AF106">
        <v>18.637709896638832</v>
      </c>
      <c r="AG106">
        <v>17.84259360285801</v>
      </c>
      <c r="AH106">
        <v>9.7966959442286843</v>
      </c>
      <c r="AI106">
        <f>8.16307771482095*1</f>
        <v>8.1630777148209503</v>
      </c>
      <c r="AJ106">
        <f>1.66333731853107*1</f>
        <v>1.66333731853107</v>
      </c>
      <c r="AK106">
        <v>1</v>
      </c>
      <c r="AL106">
        <v>0</v>
      </c>
      <c r="AM106">
        <v>0</v>
      </c>
    </row>
    <row r="107" spans="1:39" hidden="1" x14ac:dyDescent="0.2">
      <c r="A107" t="s">
        <v>267</v>
      </c>
      <c r="B107" t="s">
        <v>268</v>
      </c>
      <c r="C107" t="s">
        <v>268</v>
      </c>
      <c r="D107" t="s">
        <v>5</v>
      </c>
      <c r="E107">
        <v>0</v>
      </c>
      <c r="F107">
        <v>0</v>
      </c>
      <c r="G107">
        <v>1</v>
      </c>
      <c r="H107">
        <v>0</v>
      </c>
      <c r="I107" t="s">
        <v>28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6.4</v>
      </c>
      <c r="AE107">
        <v>574</v>
      </c>
      <c r="AF107">
        <v>17.2</v>
      </c>
      <c r="AG107">
        <v>12.938372937204321</v>
      </c>
      <c r="AH107">
        <v>23.761546073373541</v>
      </c>
      <c r="AI107">
        <f>11.2216048735464*1</f>
        <v>11.221604873546401</v>
      </c>
      <c r="AJ107">
        <f>2.13459093087909*1</f>
        <v>2.13459093087909</v>
      </c>
      <c r="AK107">
        <v>1</v>
      </c>
      <c r="AL107">
        <v>0</v>
      </c>
      <c r="AM107">
        <v>0</v>
      </c>
    </row>
    <row r="108" spans="1:39" hidden="1" x14ac:dyDescent="0.2">
      <c r="A108" t="s">
        <v>269</v>
      </c>
      <c r="B108" t="s">
        <v>270</v>
      </c>
      <c r="C108" t="s">
        <v>270</v>
      </c>
      <c r="D108" t="s">
        <v>5</v>
      </c>
      <c r="E108">
        <v>0</v>
      </c>
      <c r="F108">
        <v>0</v>
      </c>
      <c r="G108">
        <v>1</v>
      </c>
      <c r="H108">
        <v>0</v>
      </c>
      <c r="I108" t="s">
        <v>28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6.3</v>
      </c>
      <c r="AE108">
        <v>575</v>
      </c>
      <c r="AF108">
        <v>18.91566265060241</v>
      </c>
      <c r="AG108">
        <v>24.407838833188791</v>
      </c>
      <c r="AH108">
        <v>8.379999999999999</v>
      </c>
      <c r="AI108">
        <f>16.6651876964568*1</f>
        <v>16.665187696456801</v>
      </c>
      <c r="AJ108">
        <f>2.97587251718586*1</f>
        <v>2.9758725171858602</v>
      </c>
      <c r="AK108">
        <v>1</v>
      </c>
      <c r="AL108">
        <v>0</v>
      </c>
      <c r="AM108">
        <v>0</v>
      </c>
    </row>
    <row r="109" spans="1:39" hidden="1" x14ac:dyDescent="0.2">
      <c r="A109" t="s">
        <v>265</v>
      </c>
      <c r="B109" t="s">
        <v>271</v>
      </c>
      <c r="C109" t="s">
        <v>271</v>
      </c>
      <c r="D109" t="s">
        <v>5</v>
      </c>
      <c r="E109">
        <v>0</v>
      </c>
      <c r="F109">
        <v>0</v>
      </c>
      <c r="G109">
        <v>1</v>
      </c>
      <c r="H109">
        <v>0</v>
      </c>
      <c r="I109" t="s">
        <v>28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7.5</v>
      </c>
      <c r="AE109">
        <v>577</v>
      </c>
      <c r="AF109">
        <v>22.60879585219514</v>
      </c>
      <c r="AG109">
        <v>22.53070167191461</v>
      </c>
      <c r="AH109">
        <v>29.005176445349981</v>
      </c>
      <c r="AI109">
        <f>16.5282566704669*1</f>
        <v>16.528256670466899</v>
      </c>
      <c r="AJ109">
        <f>3.17058958414157*1</f>
        <v>3.1705895841415699</v>
      </c>
      <c r="AK109">
        <v>1</v>
      </c>
      <c r="AL109">
        <v>0</v>
      </c>
      <c r="AM109">
        <v>0</v>
      </c>
    </row>
    <row r="110" spans="1:39" x14ac:dyDescent="0.2">
      <c r="A110" t="s">
        <v>158</v>
      </c>
      <c r="B110" t="s">
        <v>159</v>
      </c>
      <c r="C110" t="s">
        <v>159</v>
      </c>
      <c r="D110" t="s">
        <v>4</v>
      </c>
      <c r="E110">
        <v>0</v>
      </c>
      <c r="F110">
        <v>1</v>
      </c>
      <c r="G110">
        <v>0</v>
      </c>
      <c r="H110">
        <v>0</v>
      </c>
      <c r="I110" t="s">
        <v>18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4.3</v>
      </c>
      <c r="AE110">
        <v>261</v>
      </c>
      <c r="AF110">
        <v>3.75</v>
      </c>
      <c r="AG110">
        <v>3.75</v>
      </c>
      <c r="AH110">
        <v>3.75</v>
      </c>
      <c r="AI110">
        <f>3.75*1</f>
        <v>3.75</v>
      </c>
      <c r="AJ110">
        <f>0.75*1</f>
        <v>0.75</v>
      </c>
      <c r="AK110">
        <v>1</v>
      </c>
      <c r="AL110">
        <v>1</v>
      </c>
      <c r="AM110">
        <v>1</v>
      </c>
    </row>
    <row r="111" spans="1:39" hidden="1" x14ac:dyDescent="0.2">
      <c r="A111" t="s">
        <v>275</v>
      </c>
      <c r="B111" t="s">
        <v>276</v>
      </c>
      <c r="C111" t="s">
        <v>275</v>
      </c>
      <c r="D111" t="s">
        <v>6</v>
      </c>
      <c r="E111">
        <v>0</v>
      </c>
      <c r="F111">
        <v>0</v>
      </c>
      <c r="G111">
        <v>0</v>
      </c>
      <c r="H111">
        <v>1</v>
      </c>
      <c r="I111" t="s">
        <v>28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6.9</v>
      </c>
      <c r="AE111">
        <v>580</v>
      </c>
      <c r="AF111">
        <v>19.368131868131851</v>
      </c>
      <c r="AG111">
        <v>19.87921236421802</v>
      </c>
      <c r="AH111">
        <v>9.3096199516919746</v>
      </c>
      <c r="AI111">
        <f>7.29644482365918*1</f>
        <v>7.2964448236591801</v>
      </c>
      <c r="AJ111">
        <f>1.63051274716462*1</f>
        <v>1.6305127471646199</v>
      </c>
      <c r="AK111">
        <v>1</v>
      </c>
      <c r="AL111">
        <v>0</v>
      </c>
      <c r="AM111">
        <v>0</v>
      </c>
    </row>
    <row r="112" spans="1:39" hidden="1" x14ac:dyDescent="0.2">
      <c r="A112" t="s">
        <v>277</v>
      </c>
      <c r="B112" t="s">
        <v>278</v>
      </c>
      <c r="C112" t="s">
        <v>278</v>
      </c>
      <c r="D112" t="s">
        <v>4</v>
      </c>
      <c r="E112">
        <v>0</v>
      </c>
      <c r="F112">
        <v>1</v>
      </c>
      <c r="G112">
        <v>0</v>
      </c>
      <c r="H112">
        <v>0</v>
      </c>
      <c r="I112" t="s">
        <v>28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5.0999999999999996</v>
      </c>
      <c r="AE112">
        <v>581</v>
      </c>
      <c r="AF112">
        <v>15.060975609756101</v>
      </c>
      <c r="AG112">
        <v>12.62296448757364</v>
      </c>
      <c r="AH112">
        <v>6.4574055576021951</v>
      </c>
      <c r="AI112">
        <f>9.8405805719289*1</f>
        <v>9.8405805719288999</v>
      </c>
      <c r="AJ112">
        <f>1.9392292998592*1</f>
        <v>1.9392292998592</v>
      </c>
      <c r="AK112">
        <v>1</v>
      </c>
      <c r="AL112">
        <v>0</v>
      </c>
      <c r="AM112">
        <v>0</v>
      </c>
    </row>
    <row r="113" spans="1:39" hidden="1" x14ac:dyDescent="0.2">
      <c r="A113" t="s">
        <v>279</v>
      </c>
      <c r="B113" t="s">
        <v>280</v>
      </c>
      <c r="C113" t="s">
        <v>279</v>
      </c>
      <c r="D113" t="s">
        <v>5</v>
      </c>
      <c r="E113">
        <v>0</v>
      </c>
      <c r="F113">
        <v>0</v>
      </c>
      <c r="G113">
        <v>1</v>
      </c>
      <c r="H113">
        <v>0</v>
      </c>
      <c r="I113" t="s">
        <v>28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10</v>
      </c>
      <c r="AE113">
        <v>585</v>
      </c>
      <c r="AF113">
        <v>25.62584766029552</v>
      </c>
      <c r="AG113">
        <v>26.599604810328621</v>
      </c>
      <c r="AH113">
        <v>18.600000000000001</v>
      </c>
      <c r="AI113">
        <f>18.0258875293027*1</f>
        <v>18.0258875293027</v>
      </c>
      <c r="AJ113">
        <f>3.43206887471611*1</f>
        <v>3.4320688747161099</v>
      </c>
      <c r="AK113">
        <v>1</v>
      </c>
      <c r="AL113">
        <v>0</v>
      </c>
      <c r="AM113">
        <v>0</v>
      </c>
    </row>
    <row r="114" spans="1:39" hidden="1" x14ac:dyDescent="0.2">
      <c r="A114" t="s">
        <v>281</v>
      </c>
      <c r="B114" t="s">
        <v>282</v>
      </c>
      <c r="C114" t="s">
        <v>283</v>
      </c>
      <c r="D114" t="s">
        <v>4</v>
      </c>
      <c r="E114">
        <v>0</v>
      </c>
      <c r="F114">
        <v>1</v>
      </c>
      <c r="G114">
        <v>0</v>
      </c>
      <c r="H114">
        <v>0</v>
      </c>
      <c r="I114" t="s">
        <v>28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4.5</v>
      </c>
      <c r="AE114">
        <v>588</v>
      </c>
      <c r="AF114">
        <v>14.137931034482749</v>
      </c>
      <c r="AG114">
        <v>16.443631119671291</v>
      </c>
      <c r="AH114">
        <v>11.92307692307692</v>
      </c>
      <c r="AI114">
        <f>12.5388831925081*1</f>
        <v>12.5388831925081</v>
      </c>
      <c r="AJ114">
        <f>1.51426125892992*1</f>
        <v>1.51426125892992</v>
      </c>
      <c r="AK114">
        <v>1</v>
      </c>
      <c r="AL114">
        <v>0</v>
      </c>
      <c r="AM114">
        <v>0</v>
      </c>
    </row>
    <row r="115" spans="1:39" hidden="1" x14ac:dyDescent="0.2">
      <c r="A115" t="s">
        <v>284</v>
      </c>
      <c r="B115" t="s">
        <v>285</v>
      </c>
      <c r="C115" t="s">
        <v>285</v>
      </c>
      <c r="D115" t="s">
        <v>3</v>
      </c>
      <c r="E115">
        <v>1</v>
      </c>
      <c r="F115">
        <v>0</v>
      </c>
      <c r="G115">
        <v>0</v>
      </c>
      <c r="H115">
        <v>0</v>
      </c>
      <c r="I115" t="s">
        <v>28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5</v>
      </c>
      <c r="AE115">
        <v>590</v>
      </c>
      <c r="AF115">
        <v>13.6913302233945</v>
      </c>
      <c r="AG115">
        <v>17.301171268825261</v>
      </c>
      <c r="AH115">
        <v>11.32908255233238</v>
      </c>
      <c r="AI115">
        <f>7.84193109950592*1</f>
        <v>7.8419310995059197</v>
      </c>
      <c r="AJ115">
        <f>1.13581485529972*1</f>
        <v>1.13581485529972</v>
      </c>
      <c r="AK115">
        <v>1</v>
      </c>
      <c r="AL115">
        <v>0</v>
      </c>
      <c r="AM115">
        <v>0</v>
      </c>
    </row>
    <row r="116" spans="1:39" hidden="1" x14ac:dyDescent="0.2">
      <c r="A116" t="s">
        <v>180</v>
      </c>
      <c r="B116" t="s">
        <v>286</v>
      </c>
      <c r="C116" t="s">
        <v>286</v>
      </c>
      <c r="D116" t="s">
        <v>5</v>
      </c>
      <c r="E116">
        <v>0</v>
      </c>
      <c r="F116">
        <v>0</v>
      </c>
      <c r="G116">
        <v>1</v>
      </c>
      <c r="H116">
        <v>0</v>
      </c>
      <c r="I116" t="s">
        <v>28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5.5</v>
      </c>
      <c r="AE116">
        <v>595</v>
      </c>
      <c r="AF116">
        <v>13.75</v>
      </c>
      <c r="AG116">
        <v>16.51030267059798</v>
      </c>
      <c r="AH116">
        <v>8.7142857142857153</v>
      </c>
      <c r="AI116">
        <f>8.94965863830781*1</f>
        <v>8.9496586383078096</v>
      </c>
      <c r="AJ116">
        <f>1.75186353584228*1</f>
        <v>1.7518635358422801</v>
      </c>
      <c r="AK116">
        <v>1</v>
      </c>
      <c r="AL116">
        <v>0</v>
      </c>
      <c r="AM116">
        <v>0</v>
      </c>
    </row>
    <row r="117" spans="1:39" hidden="1" x14ac:dyDescent="0.2">
      <c r="A117" t="s">
        <v>287</v>
      </c>
      <c r="B117" t="s">
        <v>288</v>
      </c>
      <c r="C117" t="s">
        <v>288</v>
      </c>
      <c r="D117" t="s">
        <v>3</v>
      </c>
      <c r="E117">
        <v>1</v>
      </c>
      <c r="F117">
        <v>0</v>
      </c>
      <c r="G117">
        <v>0</v>
      </c>
      <c r="H117">
        <v>0</v>
      </c>
      <c r="I117" t="s">
        <v>29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4.5</v>
      </c>
      <c r="AE117">
        <v>599</v>
      </c>
      <c r="AF117">
        <v>16.96213836032895</v>
      </c>
      <c r="AG117">
        <v>16.130381825537359</v>
      </c>
      <c r="AH117">
        <v>9.7999999999999989</v>
      </c>
      <c r="AI117">
        <f>11.4136597349504*1</f>
        <v>11.4136597349504</v>
      </c>
      <c r="AJ117">
        <f>1.66926992736745*1</f>
        <v>1.6692699273674501</v>
      </c>
      <c r="AK117">
        <v>1</v>
      </c>
      <c r="AL117">
        <v>0</v>
      </c>
      <c r="AM117">
        <v>0</v>
      </c>
    </row>
    <row r="118" spans="1:39" hidden="1" x14ac:dyDescent="0.2">
      <c r="A118" t="s">
        <v>289</v>
      </c>
      <c r="B118" t="s">
        <v>290</v>
      </c>
      <c r="C118" t="s">
        <v>290</v>
      </c>
      <c r="D118" t="s">
        <v>5</v>
      </c>
      <c r="E118">
        <v>0</v>
      </c>
      <c r="F118">
        <v>0</v>
      </c>
      <c r="G118">
        <v>1</v>
      </c>
      <c r="H118">
        <v>0</v>
      </c>
      <c r="I118" t="s">
        <v>29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7.5</v>
      </c>
      <c r="AE118">
        <v>600</v>
      </c>
      <c r="AF118">
        <v>23.142623788262618</v>
      </c>
      <c r="AG118">
        <v>23.40765378308965</v>
      </c>
      <c r="AH118">
        <v>30.58281263045907</v>
      </c>
      <c r="AI118">
        <f>10.9500598473673*1</f>
        <v>10.950059847367299</v>
      </c>
      <c r="AJ118">
        <f>2.26129613597216*1</f>
        <v>2.2612961359721599</v>
      </c>
      <c r="AK118">
        <v>1</v>
      </c>
      <c r="AL118">
        <v>0</v>
      </c>
      <c r="AM118">
        <v>0</v>
      </c>
    </row>
    <row r="119" spans="1:39" hidden="1" x14ac:dyDescent="0.2">
      <c r="A119" t="s">
        <v>291</v>
      </c>
      <c r="B119" t="s">
        <v>292</v>
      </c>
      <c r="C119" t="s">
        <v>292</v>
      </c>
      <c r="D119" t="s">
        <v>3</v>
      </c>
      <c r="E119">
        <v>1</v>
      </c>
      <c r="F119">
        <v>0</v>
      </c>
      <c r="G119">
        <v>0</v>
      </c>
      <c r="H119">
        <v>0</v>
      </c>
      <c r="I119" t="s">
        <v>29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4.4000000000000004</v>
      </c>
      <c r="AE119">
        <v>606</v>
      </c>
      <c r="AF119">
        <v>11.666666666666661</v>
      </c>
      <c r="AG119">
        <v>12.521496589454969</v>
      </c>
      <c r="AH119">
        <v>11.064931990870059</v>
      </c>
      <c r="AI119">
        <f>8.36853748832805*1</f>
        <v>8.3685374883280499</v>
      </c>
      <c r="AJ119">
        <f>1.44454924410068*1</f>
        <v>1.44454924410068</v>
      </c>
      <c r="AK119">
        <v>1</v>
      </c>
      <c r="AL119">
        <v>0</v>
      </c>
      <c r="AM119">
        <v>0</v>
      </c>
    </row>
    <row r="120" spans="1:39" hidden="1" x14ac:dyDescent="0.2">
      <c r="A120" t="s">
        <v>293</v>
      </c>
      <c r="B120" t="s">
        <v>294</v>
      </c>
      <c r="C120" t="s">
        <v>294</v>
      </c>
      <c r="D120" t="s">
        <v>4</v>
      </c>
      <c r="E120">
        <v>0</v>
      </c>
      <c r="F120">
        <v>1</v>
      </c>
      <c r="G120">
        <v>0</v>
      </c>
      <c r="H120">
        <v>0</v>
      </c>
      <c r="I120" t="s">
        <v>29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4.5</v>
      </c>
      <c r="AE120">
        <v>608</v>
      </c>
      <c r="AF120">
        <v>14.41860465116279</v>
      </c>
      <c r="AG120">
        <v>13.679091789055059</v>
      </c>
      <c r="AH120">
        <v>6.5948354365102224</v>
      </c>
      <c r="AI120">
        <f>8.08425323979302*1</f>
        <v>8.0842532397930196</v>
      </c>
      <c r="AJ120">
        <f>1.57484884275967*1</f>
        <v>1.5748488427596701</v>
      </c>
      <c r="AK120">
        <v>1</v>
      </c>
      <c r="AL120">
        <v>0</v>
      </c>
      <c r="AM120">
        <v>0</v>
      </c>
    </row>
    <row r="121" spans="1:39" hidden="1" x14ac:dyDescent="0.2">
      <c r="A121" t="s">
        <v>295</v>
      </c>
      <c r="B121" t="s">
        <v>296</v>
      </c>
      <c r="C121" t="s">
        <v>296</v>
      </c>
      <c r="D121" t="s">
        <v>5</v>
      </c>
      <c r="E121">
        <v>0</v>
      </c>
      <c r="F121">
        <v>0</v>
      </c>
      <c r="G121">
        <v>1</v>
      </c>
      <c r="H121">
        <v>0</v>
      </c>
      <c r="I121" t="s">
        <v>29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6.3</v>
      </c>
      <c r="AE121">
        <v>609</v>
      </c>
      <c r="AF121">
        <v>17.95879276442475</v>
      </c>
      <c r="AG121">
        <v>24.724574080373689</v>
      </c>
      <c r="AH121">
        <v>14.83210545758245</v>
      </c>
      <c r="AI121">
        <f>13.3959799166355*1</f>
        <v>13.3959799166355</v>
      </c>
      <c r="AJ121">
        <f>2.13532371839527*1</f>
        <v>2.13532371839527</v>
      </c>
      <c r="AK121">
        <v>1</v>
      </c>
      <c r="AL121">
        <v>0</v>
      </c>
      <c r="AM121">
        <v>0</v>
      </c>
    </row>
    <row r="122" spans="1:39" hidden="1" x14ac:dyDescent="0.2">
      <c r="A122" t="s">
        <v>71</v>
      </c>
      <c r="B122" t="s">
        <v>297</v>
      </c>
      <c r="C122" t="s">
        <v>298</v>
      </c>
      <c r="D122" t="s">
        <v>5</v>
      </c>
      <c r="E122">
        <v>0</v>
      </c>
      <c r="F122">
        <v>0</v>
      </c>
      <c r="G122">
        <v>1</v>
      </c>
      <c r="H122">
        <v>0</v>
      </c>
      <c r="I122" t="s">
        <v>29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6</v>
      </c>
      <c r="AE122">
        <v>611</v>
      </c>
      <c r="AF122">
        <v>17.947087196818181</v>
      </c>
      <c r="AG122">
        <v>19.568261659463062</v>
      </c>
      <c r="AH122">
        <v>12.53422990513409</v>
      </c>
      <c r="AI122">
        <f>8.3934214484096*1</f>
        <v>8.3934214484095993</v>
      </c>
      <c r="AJ122">
        <f>1.57438808672071*1</f>
        <v>1.5743880867207101</v>
      </c>
      <c r="AK122">
        <v>1</v>
      </c>
      <c r="AL122">
        <v>0</v>
      </c>
      <c r="AM122">
        <v>0</v>
      </c>
    </row>
    <row r="123" spans="1:39" hidden="1" x14ac:dyDescent="0.2">
      <c r="A123" t="s">
        <v>299</v>
      </c>
      <c r="B123" t="s">
        <v>300</v>
      </c>
      <c r="C123" t="s">
        <v>300</v>
      </c>
      <c r="D123" t="s">
        <v>5</v>
      </c>
      <c r="E123">
        <v>0</v>
      </c>
      <c r="F123">
        <v>0</v>
      </c>
      <c r="G123">
        <v>1</v>
      </c>
      <c r="H123">
        <v>0</v>
      </c>
      <c r="I123" t="s">
        <v>29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5</v>
      </c>
      <c r="AE123">
        <v>614</v>
      </c>
      <c r="AF123">
        <v>15.59523809523809</v>
      </c>
      <c r="AG123">
        <v>18.861110762978129</v>
      </c>
      <c r="AH123">
        <v>5.8307692307692314</v>
      </c>
      <c r="AI123">
        <f>14.3331994421693*1</f>
        <v>14.333199442169301</v>
      </c>
      <c r="AJ123">
        <f>2.30201073494984*1</f>
        <v>2.3020107349498402</v>
      </c>
      <c r="AK123">
        <v>1</v>
      </c>
      <c r="AL123">
        <v>0</v>
      </c>
      <c r="AM123">
        <v>0</v>
      </c>
    </row>
    <row r="124" spans="1:39" hidden="1" x14ac:dyDescent="0.2">
      <c r="A124" t="s">
        <v>301</v>
      </c>
      <c r="B124" t="s">
        <v>302</v>
      </c>
      <c r="C124" t="s">
        <v>302</v>
      </c>
      <c r="D124" t="s">
        <v>5</v>
      </c>
      <c r="E124">
        <v>0</v>
      </c>
      <c r="F124">
        <v>0</v>
      </c>
      <c r="G124">
        <v>1</v>
      </c>
      <c r="H124">
        <v>0</v>
      </c>
      <c r="I124" t="s">
        <v>30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5</v>
      </c>
      <c r="AE124">
        <v>626</v>
      </c>
      <c r="AF124">
        <v>11.111111111111111</v>
      </c>
      <c r="AG124">
        <v>12.726970532822961</v>
      </c>
      <c r="AH124">
        <v>14.96</v>
      </c>
      <c r="AI124">
        <f>12.3183804728179*1</f>
        <v>12.3183804728179</v>
      </c>
      <c r="AJ124">
        <f>2.73723659369397*1</f>
        <v>2.7372365936939702</v>
      </c>
      <c r="AK124">
        <v>1</v>
      </c>
      <c r="AL124">
        <v>0</v>
      </c>
      <c r="AM124">
        <v>0</v>
      </c>
    </row>
    <row r="125" spans="1:39" hidden="1" x14ac:dyDescent="0.2">
      <c r="A125" t="s">
        <v>303</v>
      </c>
      <c r="B125" t="s">
        <v>304</v>
      </c>
      <c r="C125" t="s">
        <v>305</v>
      </c>
      <c r="D125" t="s">
        <v>6</v>
      </c>
      <c r="E125">
        <v>0</v>
      </c>
      <c r="F125">
        <v>0</v>
      </c>
      <c r="G125">
        <v>0</v>
      </c>
      <c r="H125">
        <v>1</v>
      </c>
      <c r="I125" t="s">
        <v>30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6.5</v>
      </c>
      <c r="AE125">
        <v>632</v>
      </c>
      <c r="AF125">
        <v>20.417114207081848</v>
      </c>
      <c r="AG125">
        <v>19.619256376117871</v>
      </c>
      <c r="AH125">
        <v>21.204854562648681</v>
      </c>
      <c r="AI125">
        <f>4.53793322854543*1</f>
        <v>4.5379332285454304</v>
      </c>
      <c r="AJ125">
        <f>0.80325707958593*1</f>
        <v>0.80325707958592996</v>
      </c>
      <c r="AK125">
        <v>1</v>
      </c>
      <c r="AL125">
        <v>0</v>
      </c>
      <c r="AM125">
        <v>0</v>
      </c>
    </row>
    <row r="126" spans="1:39" hidden="1" x14ac:dyDescent="0.2">
      <c r="A126" t="s">
        <v>306</v>
      </c>
      <c r="B126" t="s">
        <v>307</v>
      </c>
      <c r="C126" t="s">
        <v>308</v>
      </c>
      <c r="D126" t="s">
        <v>3</v>
      </c>
      <c r="E126">
        <v>1</v>
      </c>
      <c r="F126">
        <v>0</v>
      </c>
      <c r="G126">
        <v>0</v>
      </c>
      <c r="H126">
        <v>0</v>
      </c>
      <c r="I126" t="s">
        <v>30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4.4000000000000004</v>
      </c>
      <c r="AE126">
        <v>645</v>
      </c>
      <c r="AF126">
        <v>16.804906304044248</v>
      </c>
      <c r="AG126">
        <v>19.070501150403391</v>
      </c>
      <c r="AH126">
        <v>10.27166666666667</v>
      </c>
      <c r="AI126">
        <f>11.2496427966741*1</f>
        <v>11.249642796674101</v>
      </c>
      <c r="AJ126">
        <f>2.48731747125918*1</f>
        <v>2.4873174712591801</v>
      </c>
      <c r="AK126">
        <v>1</v>
      </c>
      <c r="AL126">
        <v>0</v>
      </c>
      <c r="AM126">
        <v>0</v>
      </c>
    </row>
    <row r="127" spans="1:39" hidden="1" x14ac:dyDescent="0.2">
      <c r="A127" t="s">
        <v>309</v>
      </c>
      <c r="B127" t="s">
        <v>310</v>
      </c>
      <c r="C127" t="s">
        <v>311</v>
      </c>
      <c r="D127" t="s">
        <v>5</v>
      </c>
      <c r="E127">
        <v>0</v>
      </c>
      <c r="F127">
        <v>0</v>
      </c>
      <c r="G127">
        <v>1</v>
      </c>
      <c r="H127">
        <v>0</v>
      </c>
      <c r="I127" t="s">
        <v>30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5</v>
      </c>
      <c r="AE127">
        <v>648</v>
      </c>
      <c r="AF127">
        <v>11.63461538461539</v>
      </c>
      <c r="AG127">
        <v>10.717375102464549</v>
      </c>
      <c r="AH127">
        <v>18.134072639032389</v>
      </c>
      <c r="AI127">
        <f>16.9680806744605*1</f>
        <v>16.968080674460499</v>
      </c>
      <c r="AJ127">
        <f>3.89128338173758*1</f>
        <v>3.8912833817375798</v>
      </c>
      <c r="AK127">
        <v>1</v>
      </c>
      <c r="AL127">
        <v>0</v>
      </c>
      <c r="AM12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Gabe Corridore</cp:lastModifiedBy>
  <dcterms:created xsi:type="dcterms:W3CDTF">2024-09-27T14:39:48Z</dcterms:created>
  <dcterms:modified xsi:type="dcterms:W3CDTF">2024-09-27T14:43:41Z</dcterms:modified>
</cp:coreProperties>
</file>