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37D3F069-1952-294F-96CF-288A90BB9D28}" xr6:coauthVersionLast="47" xr6:coauthVersionMax="47" xr10:uidLastSave="{00000000-0000-0000-0000-000000000000}"/>
  <bookViews>
    <workbookView xWindow="7120" yWindow="328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F9" i="20"/>
  <c r="D9" i="20"/>
  <c r="D8" i="20"/>
  <c r="F8" i="20" s="1"/>
  <c r="D7" i="20"/>
  <c r="F7" i="20" s="1"/>
  <c r="D6" i="20"/>
  <c r="F6" i="20" s="1"/>
  <c r="F5" i="20"/>
  <c r="D5" i="20"/>
  <c r="I5" i="20" s="1"/>
  <c r="D4" i="20"/>
  <c r="F4" i="20" s="1"/>
  <c r="D3" i="20"/>
  <c r="F3" i="20" s="1"/>
  <c r="F2" i="20"/>
  <c r="D2" i="20"/>
  <c r="D9" i="19"/>
  <c r="F9" i="19" s="1"/>
  <c r="F8" i="19"/>
  <c r="D8" i="19"/>
  <c r="F7" i="19"/>
  <c r="D7" i="19"/>
  <c r="D6" i="19"/>
  <c r="F6" i="19" s="1"/>
  <c r="I5" i="19"/>
  <c r="D5" i="19"/>
  <c r="F5" i="19" s="1"/>
  <c r="F4" i="19"/>
  <c r="D4" i="19"/>
  <c r="F3" i="19"/>
  <c r="D3" i="19"/>
  <c r="D2" i="19"/>
  <c r="F2" i="19" s="1"/>
  <c r="F10" i="18"/>
  <c r="D10" i="18"/>
  <c r="D9" i="18"/>
  <c r="F9" i="18" s="1"/>
  <c r="F8" i="18"/>
  <c r="D8" i="18"/>
  <c r="F7" i="18"/>
  <c r="D7" i="18"/>
  <c r="D6" i="18"/>
  <c r="F6" i="18" s="1"/>
  <c r="I5" i="18"/>
  <c r="D5" i="18"/>
  <c r="F5" i="18" s="1"/>
  <c r="F4" i="18"/>
  <c r="D4" i="18"/>
  <c r="F3" i="18"/>
  <c r="D3" i="18"/>
  <c r="D2" i="18"/>
  <c r="F2" i="18" s="1"/>
  <c r="F6" i="17"/>
  <c r="D6" i="17"/>
  <c r="F5" i="17"/>
  <c r="D5" i="17"/>
  <c r="I5" i="17" s="1"/>
  <c r="F4" i="17"/>
  <c r="D4" i="17"/>
  <c r="D3" i="17"/>
  <c r="F3" i="17" s="1"/>
  <c r="F2" i="17"/>
  <c r="I7" i="17" s="1"/>
  <c r="D2" i="17"/>
  <c r="I5" i="16"/>
  <c r="D4" i="16"/>
  <c r="F4" i="16" s="1"/>
  <c r="F3" i="16"/>
  <c r="D3" i="16"/>
  <c r="D2" i="16"/>
  <c r="F2" i="16" s="1"/>
  <c r="I7" i="16" s="1"/>
  <c r="F10" i="15"/>
  <c r="D10" i="15"/>
  <c r="D9" i="15"/>
  <c r="F9" i="15" s="1"/>
  <c r="D8" i="15"/>
  <c r="F8" i="15" s="1"/>
  <c r="F7" i="15"/>
  <c r="D7" i="15"/>
  <c r="F6" i="15"/>
  <c r="D6" i="15"/>
  <c r="D5" i="15"/>
  <c r="F5" i="15" s="1"/>
  <c r="D4" i="15"/>
  <c r="F4" i="15" s="1"/>
  <c r="D3" i="15"/>
  <c r="F3" i="15" s="1"/>
  <c r="D2" i="15"/>
  <c r="F2" i="15" s="1"/>
  <c r="F8" i="14"/>
  <c r="D8" i="14"/>
  <c r="D7" i="14"/>
  <c r="F7" i="14" s="1"/>
  <c r="D6" i="14"/>
  <c r="F6" i="14" s="1"/>
  <c r="I5" i="14"/>
  <c r="D5" i="14"/>
  <c r="F5" i="14" s="1"/>
  <c r="F4" i="14"/>
  <c r="D4" i="14"/>
  <c r="D3" i="14"/>
  <c r="F3" i="14" s="1"/>
  <c r="D2" i="14"/>
  <c r="F2" i="14" s="1"/>
  <c r="I7" i="14" s="1"/>
  <c r="D11" i="13"/>
  <c r="F11" i="13" s="1"/>
  <c r="D10" i="13"/>
  <c r="F10" i="13" s="1"/>
  <c r="F9" i="13"/>
  <c r="D9" i="13"/>
  <c r="D8" i="13"/>
  <c r="F8" i="13" s="1"/>
  <c r="D7" i="13"/>
  <c r="F7" i="13" s="1"/>
  <c r="F6" i="13"/>
  <c r="D6" i="13"/>
  <c r="I5" i="13"/>
  <c r="F5" i="13"/>
  <c r="D5" i="13"/>
  <c r="D4" i="13"/>
  <c r="F4" i="13" s="1"/>
  <c r="D3" i="13"/>
  <c r="F3" i="13" s="1"/>
  <c r="D2" i="13"/>
  <c r="F2" i="13" s="1"/>
  <c r="F7" i="12"/>
  <c r="D7" i="12"/>
  <c r="F6" i="12"/>
  <c r="D6" i="12"/>
  <c r="D5" i="12"/>
  <c r="I5" i="12" s="1"/>
  <c r="D4" i="12"/>
  <c r="F4" i="12" s="1"/>
  <c r="F3" i="12"/>
  <c r="D3" i="12"/>
  <c r="F2" i="12"/>
  <c r="D2" i="12"/>
  <c r="D15" i="11"/>
  <c r="F15" i="11" s="1"/>
  <c r="D14" i="11"/>
  <c r="F14" i="11" s="1"/>
  <c r="D13" i="11"/>
  <c r="F13" i="11" s="1"/>
  <c r="F12" i="11"/>
  <c r="D12" i="11"/>
  <c r="F11" i="11"/>
  <c r="D11" i="11"/>
  <c r="D10" i="11"/>
  <c r="F10" i="11" s="1"/>
  <c r="D9" i="11"/>
  <c r="F9" i="11" s="1"/>
  <c r="D8" i="11"/>
  <c r="F8" i="11" s="1"/>
  <c r="F7" i="11"/>
  <c r="D7" i="11"/>
  <c r="F6" i="11"/>
  <c r="D6" i="11"/>
  <c r="D5" i="11"/>
  <c r="I5" i="11" s="1"/>
  <c r="D4" i="11"/>
  <c r="F4" i="11" s="1"/>
  <c r="F3" i="11"/>
  <c r="D3" i="11"/>
  <c r="F2" i="11"/>
  <c r="D2" i="11"/>
  <c r="D12" i="10"/>
  <c r="F12" i="10" s="1"/>
  <c r="D11" i="10"/>
  <c r="F11" i="10" s="1"/>
  <c r="F10" i="10"/>
  <c r="D10" i="10"/>
  <c r="D9" i="10"/>
  <c r="F9" i="10" s="1"/>
  <c r="F8" i="10"/>
  <c r="D8" i="10"/>
  <c r="D7" i="10"/>
  <c r="F7" i="10" s="1"/>
  <c r="D6" i="10"/>
  <c r="F6" i="10" s="1"/>
  <c r="I5" i="10"/>
  <c r="D5" i="10"/>
  <c r="F5" i="10" s="1"/>
  <c r="F4" i="10"/>
  <c r="D4" i="10"/>
  <c r="D3" i="10"/>
  <c r="F3" i="10" s="1"/>
  <c r="D2" i="10"/>
  <c r="F2" i="10" s="1"/>
  <c r="D12" i="9"/>
  <c r="F12" i="9" s="1"/>
  <c r="D11" i="9"/>
  <c r="F11" i="9" s="1"/>
  <c r="F10" i="9"/>
  <c r="D10" i="9"/>
  <c r="D9" i="9"/>
  <c r="F9" i="9" s="1"/>
  <c r="D8" i="9"/>
  <c r="F8" i="9" s="1"/>
  <c r="F7" i="9"/>
  <c r="D7" i="9"/>
  <c r="F6" i="9"/>
  <c r="D6" i="9"/>
  <c r="D5" i="9"/>
  <c r="F5" i="9" s="1"/>
  <c r="D4" i="9"/>
  <c r="F4" i="9" s="1"/>
  <c r="D3" i="9"/>
  <c r="F3" i="9" s="1"/>
  <c r="D2" i="9"/>
  <c r="F2" i="9" s="1"/>
  <c r="F7" i="8"/>
  <c r="D7" i="8"/>
  <c r="D6" i="8"/>
  <c r="F6" i="8" s="1"/>
  <c r="D5" i="8"/>
  <c r="F5" i="8" s="1"/>
  <c r="D4" i="8"/>
  <c r="F4" i="8" s="1"/>
  <c r="F3" i="8"/>
  <c r="D3" i="8"/>
  <c r="D2" i="8"/>
  <c r="F2" i="8" s="1"/>
  <c r="D10" i="7"/>
  <c r="F10" i="7" s="1"/>
  <c r="D9" i="7"/>
  <c r="F9" i="7" s="1"/>
  <c r="D8" i="7"/>
  <c r="F8" i="7" s="1"/>
  <c r="F7" i="7"/>
  <c r="D7" i="7"/>
  <c r="D6" i="7"/>
  <c r="F6" i="7" s="1"/>
  <c r="D5" i="7"/>
  <c r="F5" i="7" s="1"/>
  <c r="D4" i="7"/>
  <c r="F4" i="7" s="1"/>
  <c r="F3" i="7"/>
  <c r="D3" i="7"/>
  <c r="D2" i="7"/>
  <c r="F2" i="7" s="1"/>
  <c r="F5" i="6"/>
  <c r="D5" i="6"/>
  <c r="I5" i="6" s="1"/>
  <c r="D4" i="6"/>
  <c r="F4" i="6" s="1"/>
  <c r="F3" i="6"/>
  <c r="D3" i="6"/>
  <c r="D2" i="6"/>
  <c r="F2" i="6" s="1"/>
  <c r="I7" i="6" s="1"/>
  <c r="D8" i="5"/>
  <c r="F8" i="5" s="1"/>
  <c r="F7" i="5"/>
  <c r="D7" i="5"/>
  <c r="D6" i="5"/>
  <c r="F6" i="5" s="1"/>
  <c r="D5" i="5"/>
  <c r="F5" i="5" s="1"/>
  <c r="D4" i="5"/>
  <c r="F4" i="5" s="1"/>
  <c r="D3" i="5"/>
  <c r="F3" i="5" s="1"/>
  <c r="D2" i="5"/>
  <c r="F2" i="5" s="1"/>
  <c r="F8" i="4"/>
  <c r="D8" i="4"/>
  <c r="D7" i="4"/>
  <c r="F7" i="4" s="1"/>
  <c r="D6" i="4"/>
  <c r="F6" i="4" s="1"/>
  <c r="I5" i="4"/>
  <c r="D5" i="4"/>
  <c r="F5" i="4" s="1"/>
  <c r="F4" i="4"/>
  <c r="D4" i="4"/>
  <c r="D3" i="4"/>
  <c r="F3" i="4" s="1"/>
  <c r="F2" i="4"/>
  <c r="D2" i="4"/>
  <c r="D9" i="3"/>
  <c r="F9" i="3" s="1"/>
  <c r="D8" i="3"/>
  <c r="F8" i="3" s="1"/>
  <c r="F7" i="3"/>
  <c r="D7" i="3"/>
  <c r="F6" i="3"/>
  <c r="D6" i="3"/>
  <c r="D5" i="3"/>
  <c r="I5" i="3" s="1"/>
  <c r="D4" i="3"/>
  <c r="F4" i="3" s="1"/>
  <c r="F3" i="3"/>
  <c r="D3" i="3"/>
  <c r="D2" i="3"/>
  <c r="F2" i="3" s="1"/>
  <c r="D10" i="2"/>
  <c r="F10" i="2" s="1"/>
  <c r="D9" i="2"/>
  <c r="F9" i="2" s="1"/>
  <c r="D8" i="2"/>
  <c r="F8" i="2" s="1"/>
  <c r="F7" i="2"/>
  <c r="D7" i="2"/>
  <c r="D6" i="2"/>
  <c r="F6" i="2" s="1"/>
  <c r="D5" i="2"/>
  <c r="I5" i="2" s="1"/>
  <c r="D4" i="2"/>
  <c r="F4" i="2" s="1"/>
  <c r="F3" i="2"/>
  <c r="D3" i="2"/>
  <c r="D2" i="2"/>
  <c r="F2" i="2" s="1"/>
  <c r="D13" i="1"/>
  <c r="F13" i="1" s="1"/>
  <c r="D12" i="1"/>
  <c r="F12" i="1" s="1"/>
  <c r="D11" i="1"/>
  <c r="F11" i="1" s="1"/>
  <c r="F10" i="1"/>
  <c r="D10" i="1"/>
  <c r="D9" i="1"/>
  <c r="F9" i="1" s="1"/>
  <c r="D8" i="1"/>
  <c r="F8" i="1" s="1"/>
  <c r="F7" i="1"/>
  <c r="D7" i="1"/>
  <c r="D6" i="1"/>
  <c r="F6" i="1" s="1"/>
  <c r="D5" i="1"/>
  <c r="F5" i="1" s="1"/>
  <c r="D4" i="1"/>
  <c r="F4" i="1" s="1"/>
  <c r="D3" i="1"/>
  <c r="F3" i="1" s="1"/>
  <c r="D2" i="1"/>
  <c r="F2" i="1" s="1"/>
  <c r="I7" i="1" s="1"/>
  <c r="I7" i="13" l="1"/>
  <c r="I7" i="18"/>
  <c r="I7" i="8"/>
  <c r="I7" i="15"/>
  <c r="I7" i="10"/>
  <c r="I7" i="19"/>
  <c r="I7" i="9"/>
  <c r="I7" i="7"/>
  <c r="I7" i="4"/>
  <c r="I7" i="5"/>
  <c r="I7" i="20"/>
  <c r="I5" i="1"/>
  <c r="I5" i="5"/>
  <c r="I5" i="9"/>
  <c r="I5" i="15"/>
  <c r="F5" i="2"/>
  <c r="I7" i="2" s="1"/>
  <c r="F5" i="3"/>
  <c r="I7" i="3" s="1"/>
  <c r="I5" i="7"/>
  <c r="I5" i="8"/>
  <c r="F5" i="11"/>
  <c r="I7" i="11" s="1"/>
  <c r="F5" i="12"/>
  <c r="I7" i="12" s="1"/>
</calcChain>
</file>

<file path=xl/sharedStrings.xml><?xml version="1.0" encoding="utf-8"?>
<sst xmlns="http://schemas.openxmlformats.org/spreadsheetml/2006/main" count="364" uniqueCount="172">
  <si>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</si>
  <si>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</si>
  <si>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</si>
  <si>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</si>
  <si>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</si>
  <si>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</si>
  <si>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</si>
  <si>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</si>
  <si>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</si>
  <si>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</si>
  <si>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</si>
  <si>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</si>
  <si>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</si>
  <si>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</si>
  <si>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</si>
  <si>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</si>
  <si>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</si>
  <si>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</si>
  <si>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</si>
  <si>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</si>
  <si>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</si>
  <si>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</si>
  <si>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</si>
  <si>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</si>
  <si>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</si>
  <si>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</si>
  <si>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</si>
  <si>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</si>
  <si>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</si>
  <si>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</si>
  <si>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</si>
  <si>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Smith</t>
  </si>
  <si>
    <t>L.Cook</t>
  </si>
  <si>
    <t>Solanke</t>
  </si>
  <si>
    <t>Tavernier</t>
  </si>
  <si>
    <t>Senesi</t>
  </si>
  <si>
    <t>Neto</t>
  </si>
  <si>
    <t>Semenyo</t>
  </si>
  <si>
    <t>Zabarnyi</t>
  </si>
  <si>
    <t>Maupay</t>
  </si>
  <si>
    <t>Nørgaard</t>
  </si>
  <si>
    <t>Janelt</t>
  </si>
  <si>
    <t>Wissa</t>
  </si>
  <si>
    <t>Jensen</t>
  </si>
  <si>
    <t>Roerslev</t>
  </si>
  <si>
    <t>Flekken</t>
  </si>
  <si>
    <t>Dunk</t>
  </si>
  <si>
    <t>Gross</t>
  </si>
  <si>
    <t>Welbeck</t>
  </si>
  <si>
    <t>Gilmour</t>
  </si>
  <si>
    <t>João Pedro</t>
  </si>
  <si>
    <t>Mitoma</t>
  </si>
  <si>
    <t>Buonanotte</t>
  </si>
  <si>
    <t>Berge</t>
  </si>
  <si>
    <t>Brownhill</t>
  </si>
  <si>
    <t>Trafford</t>
  </si>
  <si>
    <t>Amdouni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</si>
  <si>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</si>
  <si>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</si>
  <si>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</si>
  <si>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</si>
  <si>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</si>
  <si>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</si>
  <si>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</si>
  <si>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</si>
  <si>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Disasi</t>
  </si>
  <si>
    <t>J.Ayew</t>
  </si>
  <si>
    <t>Eze</t>
  </si>
  <si>
    <t>Johnstone</t>
  </si>
  <si>
    <t>Mateta</t>
  </si>
  <si>
    <t>Edouard</t>
  </si>
  <si>
    <t>Lerma</t>
  </si>
  <si>
    <t>A.Doucoure</t>
  </si>
  <si>
    <t>Tarkowski</t>
  </si>
  <si>
    <t>Pickford</t>
  </si>
  <si>
    <t>Young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</si>
  <si>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</si>
  <si>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</si>
  <si>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</si>
  <si>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</si>
  <si>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</si>
  <si>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</si>
  <si>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</si>
  <si>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</si>
  <si>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</si>
  <si>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</si>
  <si>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</si>
  <si>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</si>
  <si>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</si>
  <si>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</si>
  <si>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</si>
  <si>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</si>
  <si>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</si>
  <si>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</si>
  <si>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</si>
  <si>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</si>
  <si>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</si>
  <si>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</si>
  <si>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Elliott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</si>
  <si>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</si>
  <si>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</si>
  <si>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</si>
  <si>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</si>
  <si>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</si>
  <si>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</si>
  <si>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</si>
  <si>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</si>
  <si>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</si>
  <si>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</si>
  <si>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Kaminski</t>
  </si>
  <si>
    <t>Adebayo</t>
  </si>
  <si>
    <t>Ogbene</t>
  </si>
  <si>
    <t>Doughty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</si>
  <si>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</si>
  <si>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</si>
  <si>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</si>
  <si>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</si>
  <si>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</si>
  <si>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</si>
  <si>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</si>
  <si>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</si>
  <si>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</si>
  <si>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</si>
  <si>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</si>
  <si>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</si>
  <si>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</si>
  <si>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Lindelof</t>
  </si>
  <si>
    <t>B.Fernandes</t>
  </si>
  <si>
    <t>Dalot</t>
  </si>
  <si>
    <t>Garnacho</t>
  </si>
  <si>
    <t>Trippier</t>
  </si>
  <si>
    <t>Schär</t>
  </si>
  <si>
    <t>Longstaff</t>
  </si>
  <si>
    <t>Burn</t>
  </si>
  <si>
    <t>Gordon</t>
  </si>
  <si>
    <t>Bruno G.</t>
  </si>
  <si>
    <t>Almirón</t>
  </si>
  <si>
    <t>Isak</t>
  </si>
  <si>
    <t>Wood</t>
  </si>
  <si>
    <t>Gibbs-White</t>
  </si>
  <si>
    <t>Elanga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</si>
  <si>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</si>
  <si>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</si>
  <si>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</si>
  <si>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</si>
  <si>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</si>
  <si>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</si>
  <si>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</si>
  <si>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</si>
  <si>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</si>
  <si>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</si>
  <si>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</si>
  <si>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</si>
  <si>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</si>
  <si>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</si>
  <si>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</si>
  <si>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</si>
  <si>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</si>
  <si>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</si>
  <si>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</si>
  <si>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</si>
  <si>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</si>
  <si>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Álvarez</t>
  </si>
  <si>
    <t>Mario Jr.</t>
  </si>
  <si>
    <t>Kilman</t>
  </si>
  <si>
    <t>Dawson</t>
  </si>
  <si>
    <t>José Sá</t>
  </si>
  <si>
    <t>Toti</t>
  </si>
  <si>
    <t>Hee Chan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</si>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</sst>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5" totalsRowShown="0">
  <autoFilter ref="A1:F15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7" totalsRowShown="0">
  <autoFilter ref="A1:F7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10" totalsRowShown="0">
  <autoFilter ref="A1:F10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4" totalsRowShown="0">
  <autoFilter ref="A1:F4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0" totalsRowShown="0">
  <autoFilter ref="A1:F10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9" totalsRowShown="0">
  <autoFilter ref="A1:F9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9" totalsRowShown="0">
  <autoFilter ref="A1:F9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8" totalsRowShown="0">
  <autoFilter ref="A1:F8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10" totalsRowShown="0">
  <autoFilter ref="A1:F10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7" totalsRowShown="0">
  <autoFilter ref="A1:F7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2" totalsRowShown="0">
  <autoFilter ref="A1:F12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28.850727763549909</v>
      </c>
      <c r="C2">
        <v>28.079470198675491</v>
      </c>
      <c r="D2">
        <f>TableARS[[#This Row],[ARIMAPP]]*$I$2+TableARS[[#This Row],[LSTMPP]]*$I$3</f>
        <v>35.90927031218807</v>
      </c>
      <c r="E2">
        <v>45</v>
      </c>
      <c r="F2">
        <f>ABS(TableARS[[#This Row],[PP]]-TableARS[[#This Row],[AP]])</f>
        <v>9.0907296878119297</v>
      </c>
      <c r="H2" t="s">
        <v>0</v>
      </c>
      <c r="I2">
        <v>0.80775840735000004</v>
      </c>
    </row>
    <row r="3" spans="1:9" x14ac:dyDescent="0.2">
      <c r="A3" t="s">
        <v>11</v>
      </c>
      <c r="B3">
        <v>40.270270270270309</v>
      </c>
      <c r="C3">
        <v>40.666628070458813</v>
      </c>
      <c r="D3">
        <f>TableARS[[#This Row],[ARIMAPP]]*$I$2+TableARS[[#This Row],[LSTMPP]]*$I$3</f>
        <v>50.783867190279821</v>
      </c>
      <c r="E3">
        <v>44</v>
      </c>
      <c r="F3">
        <f>ABS(TableARS[[#This Row],[PP]]-TableARS[[#This Row],[AP]])</f>
        <v>6.7838671902798211</v>
      </c>
      <c r="H3" t="s">
        <v>1</v>
      </c>
      <c r="I3">
        <v>0.44889922472999999</v>
      </c>
    </row>
    <row r="4" spans="1:9" x14ac:dyDescent="0.2">
      <c r="A4" t="s">
        <v>12</v>
      </c>
      <c r="B4">
        <v>33.434343434343432</v>
      </c>
      <c r="C4">
        <v>31.139240506329109</v>
      </c>
      <c r="D4">
        <f>TableARS[[#This Row],[ARIMAPP]]*$I$2+TableARS[[#This Row],[LSTMPP]]*$I$3</f>
        <v>40.985252925290332</v>
      </c>
      <c r="E4">
        <v>41</v>
      </c>
      <c r="F4">
        <f>ABS(TableARS[[#This Row],[PP]]-TableARS[[#This Row],[AP]])</f>
        <v>1.4747074709667629E-2</v>
      </c>
    </row>
    <row r="5" spans="1:9" x14ac:dyDescent="0.2">
      <c r="A5" t="s">
        <v>13</v>
      </c>
      <c r="B5">
        <v>55.386410872249293</v>
      </c>
      <c r="C5">
        <v>41.703412122188112</v>
      </c>
      <c r="D5">
        <f>TableARS[[#This Row],[ARIMAPP]]*$I$2+TableARS[[#This Row],[LSTMPP]]*$I$3</f>
        <v>63.459468405246739</v>
      </c>
      <c r="E5">
        <v>72</v>
      </c>
      <c r="F5">
        <f>ABS(TableARS[[#This Row],[PP]]-TableARS[[#This Row],[AP]])</f>
        <v>8.5405315947532614</v>
      </c>
      <c r="H5" t="s">
        <v>2</v>
      </c>
      <c r="I5">
        <f>SUM(ABS(TableARS[[#This Row],[PP]]-TableARS[[#This Row],[AP]]))</f>
        <v>8.5405315947532614</v>
      </c>
    </row>
    <row r="6" spans="1:9" x14ac:dyDescent="0.2">
      <c r="A6" t="s">
        <v>14</v>
      </c>
      <c r="B6">
        <v>38.296941738252059</v>
      </c>
      <c r="C6">
        <v>34.521739130434781</v>
      </c>
      <c r="D6">
        <f>TableARS[[#This Row],[ARIMAPP]]*$I$2+TableARS[[#This Row],[LSTMPP]]*$I$3</f>
        <v>46.431458596849701</v>
      </c>
      <c r="E6">
        <v>42</v>
      </c>
      <c r="F6">
        <f>ABS(TableARS[[#This Row],[PP]]-TableARS[[#This Row],[AP]])</f>
        <v>4.4314585968497013</v>
      </c>
    </row>
    <row r="7" spans="1:9" x14ac:dyDescent="0.2">
      <c r="A7" t="s">
        <v>15</v>
      </c>
      <c r="B7">
        <v>31.881188118811899</v>
      </c>
      <c r="C7">
        <v>30.9375</v>
      </c>
      <c r="D7">
        <f>TableARS[[#This Row],[ARIMAPP]]*$I$2+TableARS[[#This Row],[LSTMPP]]*$I$3</f>
        <v>39.640117504361619</v>
      </c>
      <c r="E7">
        <v>50</v>
      </c>
      <c r="F7">
        <f>ABS(TableARS[[#This Row],[PP]]-TableARS[[#This Row],[AP]])</f>
        <v>10.359882495638381</v>
      </c>
      <c r="H7" t="s">
        <v>3</v>
      </c>
      <c r="I7">
        <f>AVERAGE(TableARS[DIFF])/10</f>
        <v>0.69441314902038842</v>
      </c>
    </row>
    <row r="8" spans="1:9" x14ac:dyDescent="0.2">
      <c r="A8" t="s">
        <v>16</v>
      </c>
      <c r="B8">
        <v>53.261128845338213</v>
      </c>
      <c r="C8">
        <v>45.435735708062559</v>
      </c>
      <c r="D8">
        <f>TableARS[[#This Row],[ARIMAPP]]*$I$2+TableARS[[#This Row],[LSTMPP]]*$I$3</f>
        <v>63.418191144160005</v>
      </c>
      <c r="E8">
        <v>56</v>
      </c>
      <c r="F8">
        <f>ABS(TableARS[[#This Row],[PP]]-TableARS[[#This Row],[AP]])</f>
        <v>7.418191144160005</v>
      </c>
    </row>
    <row r="9" spans="1:9" x14ac:dyDescent="0.2">
      <c r="A9" t="s">
        <v>17</v>
      </c>
      <c r="B9">
        <v>41.126760563380309</v>
      </c>
      <c r="C9">
        <v>34.870225008984242</v>
      </c>
      <c r="D9">
        <f>TableARS[[#This Row],[ARIMAPP]]*$I$2+TableARS[[#This Row],[LSTMPP]]*$I$3</f>
        <v>48.873703584834551</v>
      </c>
      <c r="E9">
        <v>45</v>
      </c>
      <c r="F9">
        <f>ABS(TableARS[[#This Row],[PP]]-TableARS[[#This Row],[AP]])</f>
        <v>3.8737035848345514</v>
      </c>
    </row>
    <row r="10" spans="1:9" x14ac:dyDescent="0.2">
      <c r="A10" t="s">
        <v>18</v>
      </c>
      <c r="B10">
        <v>43.952848500018597</v>
      </c>
      <c r="C10">
        <v>35.014408418831223</v>
      </c>
      <c r="D10">
        <f>TableARS[[#This Row],[ARIMAPP]]*$I$2+TableARS[[#This Row],[LSTMPP]]*$I$3</f>
        <v>51.221223696463781</v>
      </c>
      <c r="E10">
        <v>43</v>
      </c>
      <c r="F10">
        <f>ABS(TableARS[[#This Row],[PP]]-TableARS[[#This Row],[AP]])</f>
        <v>8.221223696463781</v>
      </c>
    </row>
    <row r="11" spans="1:9" x14ac:dyDescent="0.2">
      <c r="A11" t="s">
        <v>19</v>
      </c>
      <c r="B11">
        <v>40.784313725490193</v>
      </c>
      <c r="C11">
        <v>33.25</v>
      </c>
      <c r="D11">
        <f>TableARS[[#This Row],[ARIMAPP]]*$I$2+TableARS[[#This Row],[LSTMPP]]*$I$3</f>
        <v>47.869771522037205</v>
      </c>
      <c r="E11">
        <v>45</v>
      </c>
      <c r="F11">
        <f>ABS(TableARS[[#This Row],[PP]]-TableARS[[#This Row],[AP]])</f>
        <v>2.8697715220372046</v>
      </c>
    </row>
    <row r="12" spans="1:9" x14ac:dyDescent="0.2">
      <c r="A12" t="s">
        <v>20</v>
      </c>
      <c r="B12">
        <v>47.916666666666693</v>
      </c>
      <c r="C12">
        <v>47.951354838075247</v>
      </c>
      <c r="D12">
        <f>TableARS[[#This Row],[ARIMAPP]]*$I$2+TableARS[[#This Row],[LSTMPP]]*$I$3</f>
        <v>60.230416363752639</v>
      </c>
      <c r="E12">
        <v>56</v>
      </c>
      <c r="F12">
        <f>ABS(TableARS[[#This Row],[PP]]-TableARS[[#This Row],[AP]])</f>
        <v>4.2304163637526386</v>
      </c>
    </row>
    <row r="13" spans="1:9" x14ac:dyDescent="0.2">
      <c r="A13" t="s">
        <v>21</v>
      </c>
      <c r="B13">
        <v>35.000000000000007</v>
      </c>
      <c r="C13">
        <v>31.70734104108848</v>
      </c>
      <c r="D13">
        <f>TableARS[[#This Row],[ARIMAPP]]*$I$2+TableARS[[#This Row],[LSTMPP]]*$I$3</f>
        <v>42.504945068844336</v>
      </c>
      <c r="E13">
        <v>60</v>
      </c>
      <c r="F13">
        <f>ABS(TableARS[[#This Row],[PP]]-TableARS[[#This Row],[AP]])</f>
        <v>17.495054931155664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83</v>
      </c>
      <c r="B2">
        <v>14.183270176153069</v>
      </c>
      <c r="C2">
        <v>40.920252032649898</v>
      </c>
      <c r="D2">
        <f>TableFUL[[#This Row],[ARIMAPP]]*$I$2+TableFUL[[#This Row],[LSTMPP]]*$I$3</f>
        <v>38.951797318485958</v>
      </c>
      <c r="E2">
        <v>42</v>
      </c>
      <c r="F2">
        <f>ABS(TableFUL[[#This Row],[PP]]-TableFUL[[#This Row],[AP]])</f>
        <v>3.0482026815140415</v>
      </c>
      <c r="H2" t="s">
        <v>0</v>
      </c>
      <c r="I2">
        <v>0</v>
      </c>
    </row>
    <row r="3" spans="1:9" x14ac:dyDescent="0.2">
      <c r="A3" t="s">
        <v>84</v>
      </c>
      <c r="B3">
        <v>22.730073230015861</v>
      </c>
      <c r="C3">
        <v>24.70588235294117</v>
      </c>
      <c r="D3">
        <f>TableFUL[[#This Row],[ARIMAPP]]*$I$2+TableFUL[[#This Row],[LSTMPP]]*$I$3</f>
        <v>23.517414340905876</v>
      </c>
      <c r="E3">
        <v>23</v>
      </c>
      <c r="F3">
        <f>ABS(TableFUL[[#This Row],[PP]]-TableFUL[[#This Row],[AP]])</f>
        <v>0.51741434090587646</v>
      </c>
      <c r="H3" t="s">
        <v>1</v>
      </c>
      <c r="I3">
        <v>0.95189534236999995</v>
      </c>
    </row>
    <row r="4" spans="1:9" x14ac:dyDescent="0.2">
      <c r="A4" t="s">
        <v>85</v>
      </c>
      <c r="B4">
        <v>26.312499999999979</v>
      </c>
      <c r="C4">
        <v>27.8125</v>
      </c>
      <c r="D4">
        <f>TableFUL[[#This Row],[ARIMAPP]]*$I$2+TableFUL[[#This Row],[LSTMPP]]*$I$3</f>
        <v>26.474589209665623</v>
      </c>
      <c r="E4">
        <v>43</v>
      </c>
      <c r="F4">
        <f>ABS(TableFUL[[#This Row],[PP]]-TableFUL[[#This Row],[AP]])</f>
        <v>16.525410790334377</v>
      </c>
    </row>
    <row r="5" spans="1:9" x14ac:dyDescent="0.2">
      <c r="A5" t="s">
        <v>86</v>
      </c>
      <c r="B5">
        <v>36.30100200820079</v>
      </c>
      <c r="C5">
        <v>32.966101694915253</v>
      </c>
      <c r="D5">
        <f>TableFUL[[#This Row],[ARIMAPP]]*$I$2+TableFUL[[#This Row],[LSTMPP]]*$I$3</f>
        <v>31.38027865948559</v>
      </c>
      <c r="E5">
        <v>28</v>
      </c>
      <c r="F5">
        <f>ABS(TableFUL[[#This Row],[PP]]-TableFUL[[#This Row],[AP]])</f>
        <v>3.3802786594855903</v>
      </c>
      <c r="H5" t="s">
        <v>2</v>
      </c>
      <c r="I5">
        <f>SUM(ABS(TableFUL[[#This Row],[PP]]-TableFUL[[#This Row],[AP]]))</f>
        <v>3.3802786594855903</v>
      </c>
    </row>
    <row r="6" spans="1:9" x14ac:dyDescent="0.2">
      <c r="A6" t="s">
        <v>87</v>
      </c>
      <c r="B6">
        <v>25.833333333333321</v>
      </c>
      <c r="C6">
        <v>27.280701754385959</v>
      </c>
      <c r="D6">
        <f>TableFUL[[#This Row],[ARIMAPP]]*$I$2+TableFUL[[#This Row],[LSTMPP]]*$I$3</f>
        <v>25.96837293658508</v>
      </c>
      <c r="E6">
        <v>34</v>
      </c>
      <c r="F6">
        <f>ABS(TableFUL[[#This Row],[PP]]-TableFUL[[#This Row],[AP]])</f>
        <v>8.0316270634149198</v>
      </c>
    </row>
    <row r="7" spans="1:9" x14ac:dyDescent="0.2">
      <c r="A7" t="s">
        <v>88</v>
      </c>
      <c r="B7">
        <v>31.855331107388949</v>
      </c>
      <c r="C7">
        <v>30.32051282051281</v>
      </c>
      <c r="D7">
        <f>TableFUL[[#This Row],[ARIMAPP]]*$I$2+TableFUL[[#This Row],[LSTMPP]]*$I$3</f>
        <v>28.861954932116014</v>
      </c>
      <c r="E7">
        <v>22</v>
      </c>
      <c r="F7">
        <f>ABS(TableFUL[[#This Row],[PP]]-TableFUL[[#This Row],[AP]])</f>
        <v>6.8619549321160136</v>
      </c>
      <c r="H7" t="s">
        <v>3</v>
      </c>
      <c r="I7">
        <f>AVERAGE(TableFUL[DIFF])/10</f>
        <v>0.72252779615141582</v>
      </c>
    </row>
    <row r="8" spans="1:9" x14ac:dyDescent="0.2">
      <c r="A8" t="s">
        <v>89</v>
      </c>
      <c r="B8">
        <v>24.266666666666659</v>
      </c>
      <c r="C8">
        <v>26.416666666666661</v>
      </c>
      <c r="D8">
        <f>TableFUL[[#This Row],[ARIMAPP]]*$I$2+TableFUL[[#This Row],[LSTMPP]]*$I$3</f>
        <v>25.145901960940826</v>
      </c>
      <c r="E8">
        <v>31</v>
      </c>
      <c r="F8">
        <f>ABS(TableFUL[[#This Row],[PP]]-TableFUL[[#This Row],[AP]])</f>
        <v>5.8540980390591741</v>
      </c>
    </row>
    <row r="9" spans="1:9" x14ac:dyDescent="0.2">
      <c r="A9" t="s">
        <v>90</v>
      </c>
      <c r="B9">
        <v>25.777777777777779</v>
      </c>
      <c r="C9">
        <v>26.388888888888889</v>
      </c>
      <c r="D9">
        <f>TableFUL[[#This Row],[ARIMAPP]]*$I$2+TableFUL[[#This Row],[LSTMPP]]*$I$3</f>
        <v>25.119460423652775</v>
      </c>
      <c r="E9">
        <v>26</v>
      </c>
      <c r="F9">
        <f>ABS(TableFUL[[#This Row],[PP]]-TableFUL[[#This Row],[AP]])</f>
        <v>0.88053957634722479</v>
      </c>
    </row>
    <row r="10" spans="1:9" x14ac:dyDescent="0.2">
      <c r="A10" t="s">
        <v>91</v>
      </c>
      <c r="B10">
        <v>37.70833333333335</v>
      </c>
      <c r="C10">
        <v>38.627943060891972</v>
      </c>
      <c r="D10">
        <f>TableFUL[[#This Row],[ARIMAPP]]*$I$2+TableFUL[[#This Row],[LSTMPP]]*$I$3</f>
        <v>36.769759084996629</v>
      </c>
      <c r="E10">
        <v>22</v>
      </c>
      <c r="F10">
        <f>ABS(TableFUL[[#This Row],[PP]]-TableFUL[[#This Row],[AP]])</f>
        <v>14.769759084996629</v>
      </c>
    </row>
    <row r="11" spans="1:9" x14ac:dyDescent="0.2">
      <c r="A11" t="s">
        <v>92</v>
      </c>
      <c r="B11">
        <v>26.322812622983712</v>
      </c>
      <c r="C11">
        <v>26.71052631578948</v>
      </c>
      <c r="D11">
        <f>TableFUL[[#This Row],[ARIMAPP]]*$I$2+TableFUL[[#This Row],[LSTMPP]]*$I$3</f>
        <v>25.425625592251322</v>
      </c>
      <c r="E11">
        <v>36</v>
      </c>
      <c r="F11">
        <f>ABS(TableFUL[[#This Row],[PP]]-TableFUL[[#This Row],[AP]])</f>
        <v>10.574374407748678</v>
      </c>
    </row>
    <row r="12" spans="1:9" x14ac:dyDescent="0.2">
      <c r="A12" t="s">
        <v>93</v>
      </c>
      <c r="B12">
        <v>37.277721197439888</v>
      </c>
      <c r="C12">
        <v>39.95649133657524</v>
      </c>
      <c r="D12">
        <f>TableFUL[[#This Row],[ARIMAPP]]*$I$2+TableFUL[[#This Row],[LSTMPP]]*$I$3</f>
        <v>38.034398000733226</v>
      </c>
      <c r="E12">
        <v>29</v>
      </c>
      <c r="F12">
        <f>ABS(TableFUL[[#This Row],[PP]]-TableFUL[[#This Row],[AP]])</f>
        <v>9.0343980007332263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94</v>
      </c>
      <c r="B2">
        <v>44.733168337584942</v>
      </c>
      <c r="C2">
        <v>42.638946593873321</v>
      </c>
      <c r="D2">
        <f>TableLIV[[#This Row],[ARIMAPP]]*$I$2+TableLIV[[#This Row],[LSTMPP]]*$I$3</f>
        <v>50.392845001618603</v>
      </c>
      <c r="E2">
        <v>38</v>
      </c>
      <c r="F2">
        <f>ABS(TableLIV[[#This Row],[PP]]-TableLIV[[#This Row],[AP]])</f>
        <v>12.392845001618603</v>
      </c>
      <c r="H2" t="s">
        <v>0</v>
      </c>
      <c r="I2">
        <v>0.21509214224000001</v>
      </c>
    </row>
    <row r="3" spans="1:9" x14ac:dyDescent="0.2">
      <c r="A3" t="s">
        <v>95</v>
      </c>
      <c r="B3">
        <v>68.907103825136588</v>
      </c>
      <c r="C3">
        <v>68.862380229569311</v>
      </c>
      <c r="D3">
        <f>TableLIV[[#This Row],[ARIMAPP]]*$I$2+TableLIV[[#This Row],[LSTMPP]]*$I$3</f>
        <v>80.667150537336155</v>
      </c>
      <c r="E3">
        <v>82</v>
      </c>
      <c r="F3">
        <f>ABS(TableLIV[[#This Row],[PP]]-TableLIV[[#This Row],[AP]])</f>
        <v>1.3328494626638445</v>
      </c>
      <c r="H3" t="s">
        <v>1</v>
      </c>
      <c r="I3">
        <v>0.95619369735000004</v>
      </c>
    </row>
    <row r="4" spans="1:9" x14ac:dyDescent="0.2">
      <c r="A4" t="s">
        <v>96</v>
      </c>
      <c r="B4">
        <v>52.914775325573672</v>
      </c>
      <c r="C4">
        <v>47.110560776256797</v>
      </c>
      <c r="D4">
        <f>TableLIV[[#This Row],[ARIMAPP]]*$I$2+TableLIV[[#This Row],[LSTMPP]]*$I$3</f>
        <v>56.428373673806803</v>
      </c>
      <c r="E4">
        <v>57</v>
      </c>
      <c r="F4">
        <f>ABS(TableLIV[[#This Row],[PP]]-TableLIV[[#This Row],[AP]])</f>
        <v>0.57162632619319709</v>
      </c>
    </row>
    <row r="5" spans="1:9" x14ac:dyDescent="0.2">
      <c r="A5" t="s">
        <v>97</v>
      </c>
      <c r="B5">
        <v>47.999999999999943</v>
      </c>
      <c r="C5">
        <v>42.608420787501267</v>
      </c>
      <c r="D5">
        <f>TableLIV[[#This Row],[ARIMAPP]]*$I$2+TableLIV[[#This Row],[LSTMPP]]*$I$3</f>
        <v>51.066326238565424</v>
      </c>
      <c r="E5">
        <v>41</v>
      </c>
      <c r="F5">
        <f>ABS(TableLIV[[#This Row],[PP]]-TableLIV[[#This Row],[AP]])</f>
        <v>10.066326238565424</v>
      </c>
      <c r="H5" t="s">
        <v>2</v>
      </c>
      <c r="I5">
        <f>SUM(ABS(TableLIV[[#This Row],[PP]]-TableLIV[[#This Row],[AP]]))</f>
        <v>10.066326238565424</v>
      </c>
    </row>
    <row r="6" spans="1:9" x14ac:dyDescent="0.2">
      <c r="A6" t="s">
        <v>98</v>
      </c>
      <c r="B6">
        <v>17.692307692307701</v>
      </c>
      <c r="C6">
        <v>22.68292682926829</v>
      </c>
      <c r="D6">
        <f>TableLIV[[#This Row],[ARIMAPP]]*$I$2+TableLIV[[#This Row],[LSTMPP]]*$I$3</f>
        <v>25.494748034305253</v>
      </c>
      <c r="E6">
        <v>39</v>
      </c>
      <c r="F6">
        <f>ABS(TableLIV[[#This Row],[PP]]-TableLIV[[#This Row],[AP]])</f>
        <v>13.505251965694747</v>
      </c>
    </row>
    <row r="7" spans="1:9" x14ac:dyDescent="0.2">
      <c r="A7" t="s">
        <v>99</v>
      </c>
      <c r="B7">
        <v>21.64179104477612</v>
      </c>
      <c r="C7">
        <v>24.90566037735849</v>
      </c>
      <c r="D7">
        <f>TableLIV[[#This Row],[ARIMAPP]]*$I$2+TableLIV[[#This Row],[LSTMPP]]*$I$3</f>
        <v>28.469614678901156</v>
      </c>
      <c r="E7">
        <v>27</v>
      </c>
      <c r="F7">
        <f>ABS(TableLIV[[#This Row],[PP]]-TableLIV[[#This Row],[AP]])</f>
        <v>1.4696146789011557</v>
      </c>
      <c r="H7" t="s">
        <v>3</v>
      </c>
      <c r="I7">
        <f>AVERAGE(TableLIV[DIFF])/10</f>
        <v>0.74696643801181606</v>
      </c>
    </row>
    <row r="8" spans="1:9" x14ac:dyDescent="0.2">
      <c r="A8" t="s">
        <v>100</v>
      </c>
      <c r="B8">
        <v>28.20000000000001</v>
      </c>
      <c r="C8">
        <v>28.999999999999989</v>
      </c>
      <c r="D8">
        <f>TableLIV[[#This Row],[ARIMAPP]]*$I$2+TableLIV[[#This Row],[LSTMPP]]*$I$3</f>
        <v>33.795215634317991</v>
      </c>
      <c r="E8">
        <v>37</v>
      </c>
      <c r="F8">
        <f>ABS(TableLIV[[#This Row],[PP]]-TableLIV[[#This Row],[AP]])</f>
        <v>3.2047843656820092</v>
      </c>
    </row>
    <row r="9" spans="1:9" x14ac:dyDescent="0.2">
      <c r="A9" t="s">
        <v>101</v>
      </c>
      <c r="B9">
        <v>28.611111111111111</v>
      </c>
      <c r="C9">
        <v>31.31187929507184</v>
      </c>
      <c r="D9">
        <f>TableLIV[[#This Row],[ARIMAPP]]*$I$2+TableLIV[[#This Row],[LSTMPP]]*$I$3</f>
        <v>36.094246814887214</v>
      </c>
      <c r="E9">
        <v>30</v>
      </c>
      <c r="F9">
        <f>ABS(TableLIV[[#This Row],[PP]]-TableLIV[[#This Row],[AP]])</f>
        <v>6.0942468148872138</v>
      </c>
    </row>
    <row r="10" spans="1:9" x14ac:dyDescent="0.2">
      <c r="A10" t="s">
        <v>102</v>
      </c>
      <c r="B10">
        <v>32.926829268292693</v>
      </c>
      <c r="C10">
        <v>34.390543843921627</v>
      </c>
      <c r="D10">
        <f>TableLIV[[#This Row],[ARIMAPP]]*$I$2+TableLIV[[#This Row],[LSTMPP]]*$I$3</f>
        <v>39.966323516484508</v>
      </c>
      <c r="E10">
        <v>49</v>
      </c>
      <c r="F10">
        <f>ABS(TableLIV[[#This Row],[PP]]-TableLIV[[#This Row],[AP]])</f>
        <v>9.0336764835154924</v>
      </c>
    </row>
    <row r="11" spans="1:9" x14ac:dyDescent="0.2">
      <c r="A11" t="s">
        <v>103</v>
      </c>
      <c r="B11">
        <v>38.095238095238081</v>
      </c>
      <c r="C11">
        <v>41.083206231973527</v>
      </c>
      <c r="D11">
        <f>TableLIV[[#This Row],[ARIMAPP]]*$I$2+TableLIV[[#This Row],[LSTMPP]]*$I$3</f>
        <v>47.477489236990948</v>
      </c>
      <c r="E11">
        <v>44</v>
      </c>
      <c r="F11">
        <f>ABS(TableLIV[[#This Row],[PP]]-TableLIV[[#This Row],[AP]])</f>
        <v>3.477489236990948</v>
      </c>
    </row>
    <row r="12" spans="1:9" x14ac:dyDescent="0.2">
      <c r="A12" t="s">
        <v>104</v>
      </c>
      <c r="B12">
        <v>36.071428571428569</v>
      </c>
      <c r="C12">
        <v>34.607890385888552</v>
      </c>
      <c r="D12">
        <f>TableLIV[[#This Row],[ARIMAPP]]*$I$2+TableLIV[[#This Row],[LSTMPP]]*$I$3</f>
        <v>40.850527510652007</v>
      </c>
      <c r="E12">
        <v>65</v>
      </c>
      <c r="F12">
        <f>ABS(TableLIV[[#This Row],[PP]]-TableLIV[[#This Row],[AP]])</f>
        <v>24.149472489347993</v>
      </c>
    </row>
    <row r="13" spans="1:9" x14ac:dyDescent="0.2">
      <c r="A13" t="s">
        <v>105</v>
      </c>
      <c r="B13">
        <v>17.109776782904319</v>
      </c>
      <c r="C13">
        <v>34.002076396113758</v>
      </c>
      <c r="D13">
        <f>TableLIV[[#This Row],[ARIMAPP]]*$I$2+TableLIV[[#This Row],[LSTMPP]]*$I$3</f>
        <v>36.192749688260285</v>
      </c>
      <c r="E13">
        <v>28</v>
      </c>
      <c r="F13">
        <f>ABS(TableLIV[[#This Row],[PP]]-TableLIV[[#This Row],[AP]])</f>
        <v>8.1927496882602853</v>
      </c>
    </row>
    <row r="14" spans="1:9" x14ac:dyDescent="0.2">
      <c r="A14" t="s">
        <v>106</v>
      </c>
      <c r="B14">
        <v>41.666666666666693</v>
      </c>
      <c r="C14">
        <v>31.111111111111111</v>
      </c>
      <c r="D14">
        <f>TableLIV[[#This Row],[ARIMAPP]]*$I$2+TableLIV[[#This Row],[LSTMPP]]*$I$3</f>
        <v>38.71042095533334</v>
      </c>
      <c r="E14">
        <v>33</v>
      </c>
      <c r="F14">
        <f>ABS(TableLIV[[#This Row],[PP]]-TableLIV[[#This Row],[AP]])</f>
        <v>5.7104209553333405</v>
      </c>
    </row>
    <row r="15" spans="1:9" x14ac:dyDescent="0.2">
      <c r="A15" t="s">
        <v>107</v>
      </c>
      <c r="B15">
        <v>25</v>
      </c>
      <c r="C15">
        <v>22.222222222222221</v>
      </c>
      <c r="D15">
        <f>TableLIV[[#This Row],[ARIMAPP]]*$I$2+TableLIV[[#This Row],[LSTMPP]]*$I$3</f>
        <v>26.626052386000001</v>
      </c>
      <c r="E15">
        <v>32</v>
      </c>
      <c r="F15">
        <f>ABS(TableLIV[[#This Row],[PP]]-TableLIV[[#This Row],[AP]])</f>
        <v>5.3739476139999987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108</v>
      </c>
      <c r="B2">
        <v>29.051993831759692</v>
      </c>
      <c r="C2">
        <v>29.07142857142858</v>
      </c>
      <c r="D2">
        <f>TableLUT[[#This Row],[ARIMAPP]]*$I$2+TableLUT[[#This Row],[LSTMPP]]*$I$3</f>
        <v>45.62106626619407</v>
      </c>
      <c r="E2">
        <v>43</v>
      </c>
      <c r="F2">
        <f>ABS(TableLUT[[#This Row],[PP]]-TableLUT[[#This Row],[AP]])</f>
        <v>2.6210662661940702</v>
      </c>
      <c r="H2" t="s">
        <v>0</v>
      </c>
      <c r="I2">
        <v>3.7394954136999999E-7</v>
      </c>
    </row>
    <row r="3" spans="1:9" x14ac:dyDescent="0.2">
      <c r="A3" t="s">
        <v>109</v>
      </c>
      <c r="B3">
        <v>20.714285714216562</v>
      </c>
      <c r="C3">
        <v>25</v>
      </c>
      <c r="D3">
        <f>TableLUT[[#This Row],[ARIMAPP]]*$I$2+TableLUT[[#This Row],[LSTMPP]]*$I$3</f>
        <v>39.231873571097644</v>
      </c>
      <c r="E3">
        <v>28</v>
      </c>
      <c r="F3">
        <f>ABS(TableLUT[[#This Row],[PP]]-TableLUT[[#This Row],[AP]])</f>
        <v>11.231873571097644</v>
      </c>
      <c r="H3" t="s">
        <v>1</v>
      </c>
      <c r="I3">
        <v>1.569274633</v>
      </c>
    </row>
    <row r="4" spans="1:9" x14ac:dyDescent="0.2">
      <c r="A4" t="s">
        <v>110</v>
      </c>
      <c r="B4">
        <v>20.833333333333339</v>
      </c>
      <c r="C4">
        <v>26.666666666666671</v>
      </c>
      <c r="D4">
        <f>TableLUT[[#This Row],[ARIMAPP]]*$I$2+TableLUT[[#This Row],[LSTMPP]]*$I$3</f>
        <v>41.847331337282121</v>
      </c>
      <c r="E4">
        <v>54</v>
      </c>
      <c r="F4">
        <f>ABS(TableLUT[[#This Row],[PP]]-TableLUT[[#This Row],[AP]])</f>
        <v>12.152668662717879</v>
      </c>
    </row>
    <row r="5" spans="1:9" x14ac:dyDescent="0.2">
      <c r="A5" t="s">
        <v>111</v>
      </c>
      <c r="B5">
        <v>20.246524914765448</v>
      </c>
      <c r="C5">
        <v>25.5</v>
      </c>
      <c r="D5">
        <f>TableLUT[[#This Row],[ARIMAPP]]*$I$2+TableLUT[[#This Row],[LSTMPP]]*$I$3</f>
        <v>40.016510712678709</v>
      </c>
      <c r="E5">
        <v>32</v>
      </c>
      <c r="F5">
        <f>ABS(TableLUT[[#This Row],[PP]]-TableLUT[[#This Row],[AP]])</f>
        <v>8.0165107126787092</v>
      </c>
      <c r="H5" t="s">
        <v>2</v>
      </c>
      <c r="I5">
        <f>SUM(ABS(TableLUT[[#This Row],[PP]]-TableLUT[[#This Row],[AP]]))</f>
        <v>8.0165107126787092</v>
      </c>
    </row>
    <row r="6" spans="1:9" x14ac:dyDescent="0.2">
      <c r="A6" t="s">
        <v>112</v>
      </c>
      <c r="B6">
        <v>19.230769230769241</v>
      </c>
      <c r="C6">
        <v>21</v>
      </c>
      <c r="D6">
        <f>TableLUT[[#This Row],[ARIMAPP]]*$I$2+TableLUT[[#This Row],[LSTMPP]]*$I$3</f>
        <v>32.954774484337335</v>
      </c>
      <c r="E6">
        <v>45</v>
      </c>
      <c r="F6">
        <f>ABS(TableLUT[[#This Row],[PP]]-TableLUT[[#This Row],[AP]])</f>
        <v>12.045225515662665</v>
      </c>
    </row>
    <row r="7" spans="1:9" x14ac:dyDescent="0.2">
      <c r="A7" t="s">
        <v>113</v>
      </c>
      <c r="B7">
        <v>32.142857142857153</v>
      </c>
      <c r="C7">
        <v>30.909090909090899</v>
      </c>
      <c r="D7">
        <f>TableLUT[[#This Row],[ARIMAPP]]*$I$2+TableLUT[[#This Row],[LSTMPP]]*$I$3</f>
        <v>48.504864312533947</v>
      </c>
      <c r="E7">
        <v>48</v>
      </c>
      <c r="F7">
        <f>ABS(TableLUT[[#This Row],[PP]]-TableLUT[[#This Row],[AP]])</f>
        <v>0.5048643125339467</v>
      </c>
      <c r="H7" t="s">
        <v>3</v>
      </c>
      <c r="I7">
        <f>AVERAGE(TableLUT[DIFF])/10</f>
        <v>0.77620348401474859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114</v>
      </c>
      <c r="B2">
        <v>39.510869565217398</v>
      </c>
      <c r="C2">
        <v>34.740580600772027</v>
      </c>
      <c r="D2">
        <f>TableMCI[[#This Row],[ARIMAPP]]*$I$2+TableMCI[[#This Row],[LSTMPP]]*$I$3</f>
        <v>41.68994959738864</v>
      </c>
      <c r="E2">
        <v>29</v>
      </c>
      <c r="F2">
        <f>ABS(TableMCI[[#This Row],[PP]]-TableMCI[[#This Row],[AP]])</f>
        <v>12.68994959738864</v>
      </c>
      <c r="H2" t="s">
        <v>0</v>
      </c>
      <c r="I2">
        <v>1.0551513911999999</v>
      </c>
    </row>
    <row r="3" spans="1:9" x14ac:dyDescent="0.2">
      <c r="A3" t="s">
        <v>115</v>
      </c>
      <c r="B3">
        <v>38.102189781021913</v>
      </c>
      <c r="C3">
        <v>36.935775671941691</v>
      </c>
      <c r="D3">
        <f>TableMCI[[#This Row],[ARIMAPP]]*$I$2+TableMCI[[#This Row],[LSTMPP]]*$I$3</f>
        <v>40.203579201765969</v>
      </c>
      <c r="E3">
        <v>29</v>
      </c>
      <c r="F3">
        <f>ABS(TableMCI[[#This Row],[PP]]-TableMCI[[#This Row],[AP]])</f>
        <v>11.203579201765969</v>
      </c>
      <c r="H3" t="s">
        <v>1</v>
      </c>
      <c r="I3">
        <v>1.7504824664E-8</v>
      </c>
    </row>
    <row r="4" spans="1:9" x14ac:dyDescent="0.2">
      <c r="A4" t="s">
        <v>116</v>
      </c>
      <c r="B4">
        <v>32.698412698412682</v>
      </c>
      <c r="C4">
        <v>29.750000000000011</v>
      </c>
      <c r="D4">
        <f>TableMCI[[#This Row],[ARIMAPP]]*$I$2+TableMCI[[#This Row],[LSTMPP]]*$I$3</f>
        <v>34.501776169530416</v>
      </c>
      <c r="E4">
        <v>34</v>
      </c>
      <c r="F4">
        <f>ABS(TableMCI[[#This Row],[PP]]-TableMCI[[#This Row],[AP]])</f>
        <v>0.50177616953041593</v>
      </c>
    </row>
    <row r="5" spans="1:9" x14ac:dyDescent="0.2">
      <c r="A5" t="s">
        <v>117</v>
      </c>
      <c r="B5">
        <v>46.024992455226538</v>
      </c>
      <c r="C5">
        <v>39.560953689330503</v>
      </c>
      <c r="D5">
        <f>TableMCI[[#This Row],[ARIMAPP]]*$I$2+TableMCI[[#This Row],[LSTMPP]]*$I$3</f>
        <v>48.563335511609338</v>
      </c>
      <c r="E5">
        <v>76</v>
      </c>
      <c r="F5">
        <f>ABS(TableMCI[[#This Row],[PP]]-TableMCI[[#This Row],[AP]])</f>
        <v>27.436664488390662</v>
      </c>
      <c r="H5" t="s">
        <v>2</v>
      </c>
      <c r="I5">
        <f>SUM(ABS(TableMCI[[#This Row],[PP]]-TableMCI[[#This Row],[AP]]))</f>
        <v>27.436664488390662</v>
      </c>
    </row>
    <row r="6" spans="1:9" x14ac:dyDescent="0.2">
      <c r="A6" t="s">
        <v>118</v>
      </c>
      <c r="B6">
        <v>30.58689198633185</v>
      </c>
      <c r="C6">
        <v>29.247787610619469</v>
      </c>
      <c r="D6">
        <f>TableMCI[[#This Row],[ARIMAPP]]*$I$2+TableMCI[[#This Row],[LSTMPP]]*$I$3</f>
        <v>32.273802143839575</v>
      </c>
      <c r="E6">
        <v>47</v>
      </c>
      <c r="F6">
        <f>ABS(TableMCI[[#This Row],[PP]]-TableMCI[[#This Row],[AP]])</f>
        <v>14.726197856160425</v>
      </c>
    </row>
    <row r="7" spans="1:9" x14ac:dyDescent="0.2">
      <c r="A7" t="s">
        <v>119</v>
      </c>
      <c r="B7">
        <v>79.186601433723283</v>
      </c>
      <c r="C7">
        <v>75.431393667725345</v>
      </c>
      <c r="D7">
        <f>TableMCI[[#This Row],[ARIMAPP]]*$I$2+TableMCI[[#This Row],[LSTMPP]]*$I$3</f>
        <v>83.553853987606345</v>
      </c>
      <c r="E7">
        <v>66</v>
      </c>
      <c r="F7">
        <f>ABS(TableMCI[[#This Row],[PP]]-TableMCI[[#This Row],[AP]])</f>
        <v>17.553853987606345</v>
      </c>
      <c r="H7" t="s">
        <v>3</v>
      </c>
      <c r="I7">
        <f>AVERAGE(TableMCI[DIFF])/10</f>
        <v>1.1745901179524816</v>
      </c>
    </row>
    <row r="8" spans="1:9" x14ac:dyDescent="0.2">
      <c r="A8" t="s">
        <v>120</v>
      </c>
      <c r="B8">
        <v>36.058031345130992</v>
      </c>
      <c r="C8">
        <v>29.393939393939391</v>
      </c>
      <c r="D8">
        <f>TableMCI[[#This Row],[ARIMAPP]]*$I$2+TableMCI[[#This Row],[LSTMPP]]*$I$3</f>
        <v>38.046682452283925</v>
      </c>
      <c r="E8">
        <v>46</v>
      </c>
      <c r="F8">
        <f>ABS(TableMCI[[#This Row],[PP]]-TableMCI[[#This Row],[AP]])</f>
        <v>7.9533175477160754</v>
      </c>
    </row>
    <row r="9" spans="1:9" x14ac:dyDescent="0.2">
      <c r="A9" t="s">
        <v>121</v>
      </c>
      <c r="B9">
        <v>35.909090909090907</v>
      </c>
      <c r="C9">
        <v>36.836605856395643</v>
      </c>
      <c r="D9">
        <f>TableMCI[[#This Row],[ARIMAPP]]*$I$2+TableMCI[[#This Row],[LSTMPP]]*$I$3</f>
        <v>37.889527874272865</v>
      </c>
      <c r="E9">
        <v>50</v>
      </c>
      <c r="F9">
        <f>ABS(TableMCI[[#This Row],[PP]]-TableMCI[[#This Row],[AP]])</f>
        <v>12.110472125727135</v>
      </c>
    </row>
    <row r="10" spans="1:9" x14ac:dyDescent="0.2">
      <c r="A10" t="s">
        <v>122</v>
      </c>
      <c r="B10">
        <v>30.571428571428569</v>
      </c>
      <c r="C10">
        <v>29.68400078979812</v>
      </c>
      <c r="D10">
        <f>TableMCI[[#This Row],[ARIMAPP]]*$I$2+TableMCI[[#This Row],[LSTMPP]]*$I$3</f>
        <v>32.257485907727514</v>
      </c>
      <c r="E10">
        <v>24</v>
      </c>
      <c r="F10">
        <f>ABS(TableMCI[[#This Row],[PP]]-TableMCI[[#This Row],[AP]])</f>
        <v>8.2574859077275136</v>
      </c>
    </row>
    <row r="11" spans="1:9" x14ac:dyDescent="0.2">
      <c r="A11" t="s">
        <v>123</v>
      </c>
      <c r="B11">
        <v>30.30303030303028</v>
      </c>
      <c r="C11">
        <v>28.84615384615384</v>
      </c>
      <c r="D11">
        <f>TableMCI[[#This Row],[ARIMAPP]]*$I$2+TableMCI[[#This Row],[LSTMPP]]*$I$3</f>
        <v>31.974285086765018</v>
      </c>
      <c r="E11">
        <v>37</v>
      </c>
      <c r="F11">
        <f>ABS(TableMCI[[#This Row],[PP]]-TableMCI[[#This Row],[AP]])</f>
        <v>5.0257149132349817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124</v>
      </c>
      <c r="B2">
        <v>44.602302510228128</v>
      </c>
      <c r="C2">
        <v>36.679389312977101</v>
      </c>
      <c r="D2">
        <f>TableMUN[[#This Row],[ARIMAPP]]*$I$2+TableMUN[[#This Row],[LSTMPP]]*$I$3</f>
        <v>35.410609715342417</v>
      </c>
      <c r="E2">
        <v>41</v>
      </c>
      <c r="F2">
        <f>ABS(TableMUN[[#This Row],[PP]]-TableMUN[[#This Row],[AP]])</f>
        <v>5.5893902846575827</v>
      </c>
      <c r="H2" t="s">
        <v>0</v>
      </c>
      <c r="I2">
        <v>1.3158835019E-6</v>
      </c>
    </row>
    <row r="3" spans="1:9" x14ac:dyDescent="0.2">
      <c r="A3" t="s">
        <v>125</v>
      </c>
      <c r="B3">
        <v>26.044776119402979</v>
      </c>
      <c r="C3">
        <v>26.915887850467289</v>
      </c>
      <c r="D3">
        <f>TableMUN[[#This Row],[ARIMAPP]]*$I$2+TableMUN[[#This Row],[LSTMPP]]*$I$3</f>
        <v>25.984829491629526</v>
      </c>
      <c r="E3">
        <v>27</v>
      </c>
      <c r="F3">
        <f>ABS(TableMUN[[#This Row],[PP]]-TableMUN[[#This Row],[AP]])</f>
        <v>1.0151705083704741</v>
      </c>
      <c r="H3" t="s">
        <v>1</v>
      </c>
      <c r="I3">
        <v>0.96540732240000005</v>
      </c>
    </row>
    <row r="4" spans="1:9" x14ac:dyDescent="0.2">
      <c r="A4" t="s">
        <v>126</v>
      </c>
      <c r="B4">
        <v>30.773862784841391</v>
      </c>
      <c r="C4">
        <v>30.927192002948889</v>
      </c>
      <c r="D4">
        <f>TableMUN[[#This Row],[ARIMAPP]]*$I$2+TableMUN[[#This Row],[LSTMPP]]*$I$3</f>
        <v>29.857378115735909</v>
      </c>
      <c r="E4">
        <v>33</v>
      </c>
      <c r="F4">
        <f>ABS(TableMUN[[#This Row],[PP]]-TableMUN[[#This Row],[AP]])</f>
        <v>3.1426218842640914</v>
      </c>
    </row>
    <row r="5" spans="1:9" x14ac:dyDescent="0.2">
      <c r="A5" t="s">
        <v>127</v>
      </c>
      <c r="B5">
        <v>45.704337322555972</v>
      </c>
      <c r="C5">
        <v>46.456519849827004</v>
      </c>
      <c r="D5">
        <f>TableMUN[[#This Row],[ARIMAPP]]*$I$2+TableMUN[[#This Row],[LSTMPP]]*$I$3</f>
        <v>44.849524577827388</v>
      </c>
      <c r="E5">
        <v>27</v>
      </c>
      <c r="F5">
        <f>ABS(TableMUN[[#This Row],[PP]]-TableMUN[[#This Row],[AP]])</f>
        <v>17.849524577827388</v>
      </c>
      <c r="H5" t="s">
        <v>2</v>
      </c>
      <c r="I5">
        <f>SUM(ABS(TableMUN[[#This Row],[PP]]-TableMUN[[#This Row],[AP]]))</f>
        <v>17.849524577827388</v>
      </c>
    </row>
    <row r="6" spans="1:9" x14ac:dyDescent="0.2">
      <c r="A6" t="s">
        <v>128</v>
      </c>
      <c r="B6">
        <v>38.157894736842117</v>
      </c>
      <c r="C6">
        <v>31.666666666666671</v>
      </c>
      <c r="D6">
        <f>TableMUN[[#This Row],[ARIMAPP]]*$I$2+TableMUN[[#This Row],[LSTMPP]]*$I$3</f>
        <v>30.571282087344159</v>
      </c>
      <c r="E6">
        <v>23</v>
      </c>
      <c r="F6">
        <f>ABS(TableMUN[[#This Row],[PP]]-TableMUN[[#This Row],[AP]])</f>
        <v>7.5712820873441586</v>
      </c>
    </row>
    <row r="7" spans="1:9" x14ac:dyDescent="0.2">
      <c r="A7" t="s">
        <v>129</v>
      </c>
      <c r="B7">
        <v>21.666666666666661</v>
      </c>
      <c r="C7">
        <v>22.35427058358999</v>
      </c>
      <c r="D7">
        <f>TableMUN[[#This Row],[ARIMAPP]]*$I$2+TableMUN[[#This Row],[LSTMPP]]*$I$3</f>
        <v>21.581005019117907</v>
      </c>
      <c r="E7">
        <v>51</v>
      </c>
      <c r="F7">
        <f>ABS(TableMUN[[#This Row],[PP]]-TableMUN[[#This Row],[AP]])</f>
        <v>29.418994980882093</v>
      </c>
      <c r="H7" t="s">
        <v>3</v>
      </c>
      <c r="I7">
        <f>AVERAGE(TableMUN[DIFF])/10</f>
        <v>0.95849971224521957</v>
      </c>
    </row>
    <row r="8" spans="1:9" x14ac:dyDescent="0.2">
      <c r="A8" t="s">
        <v>82</v>
      </c>
      <c r="B8">
        <v>35.867372260443197</v>
      </c>
      <c r="C8">
        <v>32.620383684896943</v>
      </c>
      <c r="D8">
        <f>TableMUN[[#This Row],[ARIMAPP]]*$I$2+TableMUN[[#This Row],[LSTMPP]]*$I$3</f>
        <v>31.492004466180418</v>
      </c>
      <c r="E8">
        <v>34</v>
      </c>
      <c r="F8">
        <f>ABS(TableMUN[[#This Row],[PP]]-TableMUN[[#This Row],[AP]])</f>
        <v>2.5079955338195816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87</v>
      </c>
      <c r="B2">
        <v>45.734265734265733</v>
      </c>
      <c r="C2">
        <v>44.603226793118829</v>
      </c>
      <c r="D2">
        <f>TableNEW[[#This Row],[ARIMAPP]]*$I$2+TableNEW[[#This Row],[LSTMPP]]*$I$3</f>
        <v>41.819169988453893</v>
      </c>
      <c r="E2">
        <v>33</v>
      </c>
      <c r="F2">
        <f>ABS(TableNEW[[#This Row],[PP]]-TableNEW[[#This Row],[AP]])</f>
        <v>8.8191699884538934</v>
      </c>
      <c r="H2" t="s">
        <v>0</v>
      </c>
      <c r="I2">
        <v>0.50820421425999995</v>
      </c>
    </row>
    <row r="3" spans="1:9" x14ac:dyDescent="0.2">
      <c r="A3" t="s">
        <v>130</v>
      </c>
      <c r="B3">
        <v>52.740069484684412</v>
      </c>
      <c r="C3">
        <v>37.692307692307693</v>
      </c>
      <c r="D3">
        <f>TableNEW[[#This Row],[ARIMAPP]]*$I$2+TableNEW[[#This Row],[LSTMPP]]*$I$3</f>
        <v>42.501216334604919</v>
      </c>
      <c r="E3">
        <v>26</v>
      </c>
      <c r="F3">
        <f>ABS(TableNEW[[#This Row],[PP]]-TableNEW[[#This Row],[AP]])</f>
        <v>16.501216334604919</v>
      </c>
      <c r="H3" t="s">
        <v>1</v>
      </c>
      <c r="I3">
        <v>0.41649057124</v>
      </c>
    </row>
    <row r="4" spans="1:9" x14ac:dyDescent="0.2">
      <c r="A4" t="s">
        <v>131</v>
      </c>
      <c r="B4">
        <v>29.322185063512769</v>
      </c>
      <c r="C4">
        <v>30.694444444444439</v>
      </c>
      <c r="D4">
        <f>TableNEW[[#This Row],[ARIMAPP]]*$I$2+TableNEW[[#This Row],[LSTMPP]]*$I$3</f>
        <v>27.685604721149922</v>
      </c>
      <c r="E4">
        <v>43</v>
      </c>
      <c r="F4">
        <f>ABS(TableNEW[[#This Row],[PP]]-TableNEW[[#This Row],[AP]])</f>
        <v>15.314395278850078</v>
      </c>
    </row>
    <row r="5" spans="1:9" x14ac:dyDescent="0.2">
      <c r="A5" t="s">
        <v>132</v>
      </c>
      <c r="B5">
        <v>23.442622950819668</v>
      </c>
      <c r="C5">
        <v>25.67010309278351</v>
      </c>
      <c r="D5">
        <f>TableNEW[[#This Row],[ARIMAPP]]*$I$2+TableNEW[[#This Row],[LSTMPP]]*$I$3</f>
        <v>22.604995677817847</v>
      </c>
      <c r="E5">
        <v>35</v>
      </c>
      <c r="F5">
        <f>ABS(TableNEW[[#This Row],[PP]]-TableNEW[[#This Row],[AP]])</f>
        <v>12.395004322182153</v>
      </c>
      <c r="H5" t="s">
        <v>2</v>
      </c>
      <c r="I5">
        <f>SUM(ABS(TableNEW[[#This Row],[PP]]-TableNEW[[#This Row],[AP]]))</f>
        <v>12.395004322182153</v>
      </c>
    </row>
    <row r="6" spans="1:9" x14ac:dyDescent="0.2">
      <c r="A6" t="s">
        <v>133</v>
      </c>
      <c r="B6">
        <v>29.548872180451159</v>
      </c>
      <c r="C6">
        <v>30</v>
      </c>
      <c r="D6">
        <f>TableNEW[[#This Row],[ARIMAPP]]*$I$2+TableNEW[[#This Row],[LSTMPP]]*$I$3</f>
        <v>27.511578505935354</v>
      </c>
      <c r="E6">
        <v>32</v>
      </c>
      <c r="F6">
        <f>ABS(TableNEW[[#This Row],[PP]]-TableNEW[[#This Row],[AP]])</f>
        <v>4.4884214940646459</v>
      </c>
    </row>
    <row r="7" spans="1:9" x14ac:dyDescent="0.2">
      <c r="A7" t="s">
        <v>134</v>
      </c>
      <c r="B7">
        <v>50.720023068805993</v>
      </c>
      <c r="C7">
        <v>25.763888888888889</v>
      </c>
      <c r="D7">
        <f>TableNEW[[#This Row],[ARIMAPP]]*$I$2+TableNEW[[#This Row],[LSTMPP]]*$I$3</f>
        <v>36.506546271628842</v>
      </c>
      <c r="E7">
        <v>44</v>
      </c>
      <c r="F7">
        <f>ABS(TableNEW[[#This Row],[PP]]-TableNEW[[#This Row],[AP]])</f>
        <v>7.4934537283711578</v>
      </c>
      <c r="H7" t="s">
        <v>3</v>
      </c>
      <c r="I7">
        <f>AVERAGE(TableNEW[DIFF])/10</f>
        <v>1.0693217441743152</v>
      </c>
    </row>
    <row r="8" spans="1:9" x14ac:dyDescent="0.2">
      <c r="A8" t="s">
        <v>135</v>
      </c>
      <c r="B8">
        <v>32.205949264307009</v>
      </c>
      <c r="C8">
        <v>33.973171088224127</v>
      </c>
      <c r="D8">
        <f>TableNEW[[#This Row],[ARIMAPP]]*$I$2+TableNEW[[#This Row],[LSTMPP]]*$I$3</f>
        <v>30.516704573733286</v>
      </c>
      <c r="E8">
        <v>45</v>
      </c>
      <c r="F8">
        <f>ABS(TableNEW[[#This Row],[PP]]-TableNEW[[#This Row],[AP]])</f>
        <v>14.483295426266714</v>
      </c>
    </row>
    <row r="9" spans="1:9" x14ac:dyDescent="0.2">
      <c r="A9" t="s">
        <v>136</v>
      </c>
      <c r="B9">
        <v>35.984393104955842</v>
      </c>
      <c r="C9">
        <v>44.66675290935413</v>
      </c>
      <c r="D9">
        <f>TableNEW[[#This Row],[ARIMAPP]]*$I$2+TableNEW[[#This Row],[LSTMPP]]*$I$3</f>
        <v>36.890701658179879</v>
      </c>
      <c r="E9">
        <v>22</v>
      </c>
      <c r="F9">
        <f>ABS(TableNEW[[#This Row],[PP]]-TableNEW[[#This Row],[AP]])</f>
        <v>14.890701658179879</v>
      </c>
    </row>
    <row r="10" spans="1:9" x14ac:dyDescent="0.2">
      <c r="A10" t="s">
        <v>137</v>
      </c>
      <c r="B10">
        <v>48.928571428571423</v>
      </c>
      <c r="C10">
        <v>39.090909090909093</v>
      </c>
      <c r="D10">
        <f>TableNEW[[#This Row],[ARIMAPP]]*$I$2+TableNEW[[#This Row],[LSTMPP]]*$I$3</f>
        <v>41.146701255285059</v>
      </c>
      <c r="E10">
        <v>43</v>
      </c>
      <c r="F10">
        <f>ABS(TableNEW[[#This Row],[PP]]-TableNEW[[#This Row],[AP]])</f>
        <v>1.8532987447149409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138</v>
      </c>
      <c r="B2">
        <v>33.510623285976699</v>
      </c>
      <c r="C2">
        <v>33.120300751879697</v>
      </c>
      <c r="D2">
        <f>TableNFO[[#This Row],[ARIMAPP]]*$I$2+TableNFO[[#This Row],[LSTMPP]]*$I$3</f>
        <v>45.909505175307508</v>
      </c>
      <c r="E2">
        <v>46</v>
      </c>
      <c r="F2">
        <f>ABS(TableNFO[[#This Row],[PP]]-TableNFO[[#This Row],[AP]])</f>
        <v>9.0494824692491704E-2</v>
      </c>
      <c r="H2" t="s">
        <v>0</v>
      </c>
      <c r="I2">
        <v>1.0618664868E-5</v>
      </c>
    </row>
    <row r="3" spans="1:9" x14ac:dyDescent="0.2">
      <c r="A3" t="s">
        <v>139</v>
      </c>
      <c r="B3">
        <v>36.527447310434098</v>
      </c>
      <c r="C3">
        <v>26.84210526315789</v>
      </c>
      <c r="D3">
        <f>TableNFO[[#This Row],[ARIMAPP]]*$I$2+TableNFO[[#This Row],[LSTMPP]]*$I$3</f>
        <v>37.207121841826726</v>
      </c>
      <c r="E3">
        <v>29</v>
      </c>
      <c r="F3">
        <f>ABS(TableNFO[[#This Row],[PP]]-TableNFO[[#This Row],[AP]])</f>
        <v>8.2071218418267264</v>
      </c>
      <c r="H3" t="s">
        <v>1</v>
      </c>
      <c r="I3">
        <v>1.3861332262999999</v>
      </c>
    </row>
    <row r="4" spans="1:9" x14ac:dyDescent="0.2">
      <c r="A4" t="s">
        <v>140</v>
      </c>
      <c r="B4">
        <v>34.543060785146899</v>
      </c>
      <c r="C4">
        <v>25.625</v>
      </c>
      <c r="D4">
        <f>TableNFO[[#This Row],[ARIMAPP]]*$I$2+TableNFO[[#This Row],[LSTMPP]]*$I$3</f>
        <v>35.52003072512349</v>
      </c>
      <c r="E4">
        <v>44</v>
      </c>
      <c r="F4">
        <f>ABS(TableNFO[[#This Row],[PP]]-TableNFO[[#This Row],[AP]])</f>
        <v>8.4799692748765096</v>
      </c>
    </row>
    <row r="5" spans="1:9" x14ac:dyDescent="0.2">
      <c r="H5" t="s">
        <v>2</v>
      </c>
      <c r="I5" t="e">
        <f>SUM(ABS(TableNFO[[#This Row],[PP]]-TableNFO[[#This Row],[AP]]))</f>
        <v>#VALUE!</v>
      </c>
    </row>
    <row r="7" spans="1:9" x14ac:dyDescent="0.2">
      <c r="H7" t="s">
        <v>3</v>
      </c>
      <c r="I7">
        <f>AVERAGE(TableNFO[DIFF])/10</f>
        <v>0.55925286471319091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141</v>
      </c>
      <c r="B2">
        <v>21.42857142857142</v>
      </c>
      <c r="C2">
        <v>23.75</v>
      </c>
      <c r="D2">
        <f>TableSHU[[#This Row],[ARIMAPP]]*$I$2+TableSHU[[#This Row],[LSTMPP]]*$I$3</f>
        <v>26.37492367146265</v>
      </c>
      <c r="E2">
        <v>30</v>
      </c>
      <c r="F2">
        <f>ABS(TableSHU[[#This Row],[PP]]-TableSHU[[#This Row],[AP]])</f>
        <v>3.6250763285373502</v>
      </c>
      <c r="H2" t="s">
        <v>0</v>
      </c>
      <c r="I2">
        <v>8.2854923735999999E-8</v>
      </c>
    </row>
    <row r="3" spans="1:9" x14ac:dyDescent="0.2">
      <c r="A3" t="s">
        <v>142</v>
      </c>
      <c r="B3">
        <v>18.64932003749399</v>
      </c>
      <c r="C3">
        <v>25</v>
      </c>
      <c r="D3">
        <f>TableSHU[[#This Row],[ARIMAPP]]*$I$2+TableSHU[[#This Row],[LSTMPP]]*$I$3</f>
        <v>27.763077225187988</v>
      </c>
      <c r="E3">
        <v>36</v>
      </c>
      <c r="F3">
        <f>ABS(TableSHU[[#This Row],[PP]]-TableSHU[[#This Row],[AP]])</f>
        <v>8.2369227748120117</v>
      </c>
      <c r="H3" t="s">
        <v>1</v>
      </c>
      <c r="I3">
        <v>1.1105230272</v>
      </c>
    </row>
    <row r="4" spans="1:9" x14ac:dyDescent="0.2">
      <c r="A4" t="s">
        <v>143</v>
      </c>
      <c r="B4">
        <v>17.333333298189899</v>
      </c>
      <c r="C4">
        <v>23.75</v>
      </c>
      <c r="D4">
        <f>TableSHU[[#This Row],[ARIMAPP]]*$I$2+TableSHU[[#This Row],[LSTMPP]]*$I$3</f>
        <v>26.374923332152008</v>
      </c>
      <c r="E4">
        <v>31</v>
      </c>
      <c r="F4">
        <f>ABS(TableSHU[[#This Row],[PP]]-TableSHU[[#This Row],[AP]])</f>
        <v>4.625076667847992</v>
      </c>
    </row>
    <row r="5" spans="1:9" x14ac:dyDescent="0.2">
      <c r="A5" t="s">
        <v>144</v>
      </c>
      <c r="B5">
        <v>21.333333333333329</v>
      </c>
      <c r="C5">
        <v>26.25</v>
      </c>
      <c r="D5">
        <f>TableSHU[[#This Row],[ARIMAPP]]*$I$2+TableSHU[[#This Row],[LSTMPP]]*$I$3</f>
        <v>29.151231231571707</v>
      </c>
      <c r="E5">
        <v>26</v>
      </c>
      <c r="F5">
        <f>ABS(TableSHU[[#This Row],[PP]]-TableSHU[[#This Row],[AP]])</f>
        <v>3.1512312315717068</v>
      </c>
      <c r="H5" t="s">
        <v>2</v>
      </c>
      <c r="I5">
        <f>SUM(ABS(TableSHU[[#This Row],[PP]]-TableSHU[[#This Row],[AP]]))</f>
        <v>3.1512312315717068</v>
      </c>
    </row>
    <row r="6" spans="1:9" x14ac:dyDescent="0.2">
      <c r="A6" t="s">
        <v>145</v>
      </c>
      <c r="B6">
        <v>27.142857142857149</v>
      </c>
      <c r="C6">
        <v>30.909090909090899</v>
      </c>
      <c r="D6">
        <f>TableSHU[[#This Row],[ARIMAPP]]*$I$2+TableSHU[[#This Row],[LSTMPP]]*$I$3</f>
        <v>34.325259453282982</v>
      </c>
      <c r="E6">
        <v>24</v>
      </c>
      <c r="F6">
        <f>ABS(TableSHU[[#This Row],[PP]]-TableSHU[[#This Row],[AP]])</f>
        <v>10.325259453282982</v>
      </c>
    </row>
    <row r="7" spans="1:9" x14ac:dyDescent="0.2">
      <c r="H7" t="s">
        <v>3</v>
      </c>
      <c r="I7">
        <f>AVERAGE(TableSHU[DIFF])/10</f>
        <v>0.59927132912104086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146</v>
      </c>
      <c r="B2">
        <v>47.69050170616093</v>
      </c>
      <c r="C2">
        <v>41.989621921574859</v>
      </c>
      <c r="D2">
        <f>TableTOT[[#This Row],[ARIMAPP]]*$I$2+TableTOT[[#This Row],[LSTMPP]]*$I$3</f>
        <v>53.870410263581803</v>
      </c>
      <c r="E2">
        <v>44</v>
      </c>
      <c r="F2">
        <f>ABS(TableTOT[[#This Row],[PP]]-TableTOT[[#This Row],[AP]])</f>
        <v>9.8704102635818032</v>
      </c>
      <c r="H2" t="s">
        <v>0</v>
      </c>
      <c r="I2">
        <v>0</v>
      </c>
    </row>
    <row r="3" spans="1:9" x14ac:dyDescent="0.2">
      <c r="A3" t="s">
        <v>147</v>
      </c>
      <c r="B3">
        <v>26.703666079022941</v>
      </c>
      <c r="C3">
        <v>40.374644705361433</v>
      </c>
      <c r="D3">
        <f>TableTOT[[#This Row],[ARIMAPP]]*$I$2+TableTOT[[#This Row],[LSTMPP]]*$I$3</f>
        <v>51.798481981725736</v>
      </c>
      <c r="E3">
        <v>75</v>
      </c>
      <c r="F3">
        <f>ABS(TableTOT[[#This Row],[PP]]-TableTOT[[#This Row],[AP]])</f>
        <v>23.201518018274264</v>
      </c>
      <c r="H3" t="s">
        <v>1</v>
      </c>
      <c r="I3">
        <v>1.2829458279999999</v>
      </c>
    </row>
    <row r="4" spans="1:9" x14ac:dyDescent="0.2">
      <c r="A4" t="s">
        <v>148</v>
      </c>
      <c r="B4">
        <v>30.17543859649123</v>
      </c>
      <c r="C4">
        <v>27.666666666666661</v>
      </c>
      <c r="D4">
        <f>TableTOT[[#This Row],[ARIMAPP]]*$I$2+TableTOT[[#This Row],[LSTMPP]]*$I$3</f>
        <v>35.494834574666655</v>
      </c>
      <c r="E4">
        <v>34</v>
      </c>
      <c r="F4">
        <f>ABS(TableTOT[[#This Row],[PP]]-TableTOT[[#This Row],[AP]])</f>
        <v>1.4948345746666547</v>
      </c>
    </row>
    <row r="5" spans="1:9" x14ac:dyDescent="0.2">
      <c r="A5" t="s">
        <v>149</v>
      </c>
      <c r="B5">
        <v>41.653372617442663</v>
      </c>
      <c r="C5">
        <v>32.5</v>
      </c>
      <c r="D5">
        <f>TableTOT[[#This Row],[ARIMAPP]]*$I$2+TableTOT[[#This Row],[LSTMPP]]*$I$3</f>
        <v>41.695739409999995</v>
      </c>
      <c r="E5">
        <v>34</v>
      </c>
      <c r="F5">
        <f>ABS(TableTOT[[#This Row],[PP]]-TableTOT[[#This Row],[AP]])</f>
        <v>7.6957394099999945</v>
      </c>
      <c r="H5" t="s">
        <v>2</v>
      </c>
      <c r="I5">
        <f>SUM(ABS(TableTOT[[#This Row],[PP]]-TableTOT[[#This Row],[AP]]))</f>
        <v>7.6957394099999945</v>
      </c>
    </row>
    <row r="6" spans="1:9" x14ac:dyDescent="0.2">
      <c r="A6" t="s">
        <v>150</v>
      </c>
      <c r="B6">
        <v>30</v>
      </c>
      <c r="C6">
        <v>29.624999999999989</v>
      </c>
      <c r="D6">
        <f>TableTOT[[#This Row],[ARIMAPP]]*$I$2+TableTOT[[#This Row],[LSTMPP]]*$I$3</f>
        <v>38.007270154499984</v>
      </c>
      <c r="E6">
        <v>45</v>
      </c>
      <c r="F6">
        <f>ABS(TableTOT[[#This Row],[PP]]-TableTOT[[#This Row],[AP]])</f>
        <v>6.9927298455000155</v>
      </c>
    </row>
    <row r="7" spans="1:9" x14ac:dyDescent="0.2">
      <c r="A7" t="s">
        <v>151</v>
      </c>
      <c r="B7">
        <v>48.750000000000007</v>
      </c>
      <c r="C7">
        <v>44.750831902932603</v>
      </c>
      <c r="D7">
        <f>TableTOT[[#This Row],[ARIMAPP]]*$I$2+TableTOT[[#This Row],[LSTMPP]]*$I$3</f>
        <v>57.412893089396682</v>
      </c>
      <c r="E7">
        <v>65</v>
      </c>
      <c r="F7">
        <f>ABS(TableTOT[[#This Row],[PP]]-TableTOT[[#This Row],[AP]])</f>
        <v>7.5871069106033175</v>
      </c>
      <c r="H7" t="s">
        <v>3</v>
      </c>
      <c r="I7">
        <f>AVERAGE(TableTOT[DIFF])/10</f>
        <v>0.89428537506598471</v>
      </c>
    </row>
    <row r="8" spans="1:9" x14ac:dyDescent="0.2">
      <c r="A8" t="s">
        <v>152</v>
      </c>
      <c r="B8">
        <v>21.739130434782609</v>
      </c>
      <c r="C8">
        <v>23.611111111111111</v>
      </c>
      <c r="D8">
        <f>TableTOT[[#This Row],[ARIMAPP]]*$I$2+TableTOT[[#This Row],[LSTMPP]]*$I$3</f>
        <v>30.291776494444441</v>
      </c>
      <c r="E8">
        <v>29</v>
      </c>
      <c r="F8">
        <f>ABS(TableTOT[[#This Row],[PP]]-TableTOT[[#This Row],[AP]])</f>
        <v>1.2917764944444414</v>
      </c>
    </row>
    <row r="9" spans="1:9" x14ac:dyDescent="0.2">
      <c r="A9" t="s">
        <v>153</v>
      </c>
      <c r="B9">
        <v>38.928571428571423</v>
      </c>
      <c r="C9">
        <v>34.270597717348579</v>
      </c>
      <c r="D9">
        <f>TableTOT[[#This Row],[ARIMAPP]]*$I$2+TableTOT[[#This Row],[LSTMPP]]*$I$3</f>
        <v>43.967320364538679</v>
      </c>
      <c r="E9">
        <v>37</v>
      </c>
      <c r="F9">
        <f>ABS(TableTOT[[#This Row],[PP]]-TableTOT[[#This Row],[AP]])</f>
        <v>6.9673203645386792</v>
      </c>
    </row>
    <row r="10" spans="1:9" x14ac:dyDescent="0.2">
      <c r="A10" t="s">
        <v>154</v>
      </c>
      <c r="B10">
        <v>33.750000000000007</v>
      </c>
      <c r="C10">
        <v>33.036662148395443</v>
      </c>
      <c r="D10">
        <f>TableTOT[[#This Row],[ARIMAPP]]*$I$2+TableTOT[[#This Row],[LSTMPP]]*$I$3</f>
        <v>42.384247874329446</v>
      </c>
      <c r="E10">
        <v>27</v>
      </c>
      <c r="F10">
        <f>ABS(TableTOT[[#This Row],[PP]]-TableTOT[[#This Row],[AP]])</f>
        <v>15.384247874329446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155</v>
      </c>
      <c r="B2">
        <v>38.277185496644087</v>
      </c>
      <c r="C2">
        <v>37.479953762509624</v>
      </c>
      <c r="D2">
        <f>TableWHU[[#This Row],[ARIMAPP]]*$I$2+TableWHU[[#This Row],[LSTMPP]]*$I$3</f>
        <v>41.455150766959207</v>
      </c>
      <c r="E2">
        <v>45</v>
      </c>
      <c r="F2">
        <f>ABS(TableWHU[[#This Row],[PP]]-TableWHU[[#This Row],[AP]])</f>
        <v>3.544849233040793</v>
      </c>
      <c r="H2" t="s">
        <v>0</v>
      </c>
      <c r="I2">
        <v>0</v>
      </c>
    </row>
    <row r="3" spans="1:9" x14ac:dyDescent="0.2">
      <c r="A3" t="s">
        <v>156</v>
      </c>
      <c r="B3">
        <v>31.52100119497295</v>
      </c>
      <c r="C3">
        <v>30.973451327433629</v>
      </c>
      <c r="D3">
        <f>TableWHU[[#This Row],[ARIMAPP]]*$I$2+TableWHU[[#This Row],[LSTMPP]]*$I$3</f>
        <v>34.258555992035397</v>
      </c>
      <c r="E3">
        <v>25</v>
      </c>
      <c r="F3">
        <f>ABS(TableWHU[[#This Row],[PP]]-TableWHU[[#This Row],[AP]])</f>
        <v>9.2585559920353973</v>
      </c>
      <c r="H3" t="s">
        <v>1</v>
      </c>
      <c r="I3">
        <v>1.1060619506</v>
      </c>
    </row>
    <row r="4" spans="1:9" x14ac:dyDescent="0.2">
      <c r="A4" t="s">
        <v>157</v>
      </c>
      <c r="B4">
        <v>17.142857142857139</v>
      </c>
      <c r="C4">
        <v>23.4</v>
      </c>
      <c r="D4">
        <f>TableWHU[[#This Row],[ARIMAPP]]*$I$2+TableWHU[[#This Row],[LSTMPP]]*$I$3</f>
        <v>25.881849644039999</v>
      </c>
      <c r="E4">
        <v>35</v>
      </c>
      <c r="F4">
        <f>ABS(TableWHU[[#This Row],[PP]]-TableWHU[[#This Row],[AP]])</f>
        <v>9.118150355960001</v>
      </c>
    </row>
    <row r="5" spans="1:9" x14ac:dyDescent="0.2">
      <c r="A5" t="s">
        <v>158</v>
      </c>
      <c r="B5">
        <v>44.779411764705863</v>
      </c>
      <c r="C5">
        <v>43.922878418016367</v>
      </c>
      <c r="D5">
        <f>TableWHU[[#This Row],[ARIMAPP]]*$I$2+TableWHU[[#This Row],[LSTMPP]]*$I$3</f>
        <v>48.581424578997826</v>
      </c>
      <c r="E5">
        <v>39</v>
      </c>
      <c r="F5">
        <f>ABS(TableWHU[[#This Row],[PP]]-TableWHU[[#This Row],[AP]])</f>
        <v>9.5814245789978258</v>
      </c>
      <c r="H5" t="s">
        <v>2</v>
      </c>
      <c r="I5">
        <f>SUM(ABS(TableWHU[[#This Row],[PP]]-TableWHU[[#This Row],[AP]]))</f>
        <v>9.5814245789978258</v>
      </c>
    </row>
    <row r="6" spans="1:9" x14ac:dyDescent="0.2">
      <c r="A6" t="s">
        <v>159</v>
      </c>
      <c r="B6">
        <v>30.96153846153846</v>
      </c>
      <c r="C6">
        <v>32.380888242931391</v>
      </c>
      <c r="D6">
        <f>TableWHU[[#This Row],[ARIMAPP]]*$I$2+TableWHU[[#This Row],[LSTMPP]]*$I$3</f>
        <v>35.8152684121373</v>
      </c>
      <c r="E6">
        <v>54</v>
      </c>
      <c r="F6">
        <f>ABS(TableWHU[[#This Row],[PP]]-TableWHU[[#This Row],[AP]])</f>
        <v>18.1847315878627</v>
      </c>
    </row>
    <row r="7" spans="1:9" x14ac:dyDescent="0.2">
      <c r="A7" t="s">
        <v>160</v>
      </c>
      <c r="B7">
        <v>33.714285714285708</v>
      </c>
      <c r="C7">
        <v>31.785714285714281</v>
      </c>
      <c r="D7">
        <f>TableWHU[[#This Row],[ARIMAPP]]*$I$2+TableWHU[[#This Row],[LSTMPP]]*$I$3</f>
        <v>35.156969144071425</v>
      </c>
      <c r="E7">
        <v>40</v>
      </c>
      <c r="F7">
        <f>ABS(TableWHU[[#This Row],[PP]]-TableWHU[[#This Row],[AP]])</f>
        <v>4.8430308559285749</v>
      </c>
      <c r="H7" t="s">
        <v>3</v>
      </c>
      <c r="I7">
        <f>AVERAGE(TableWHU[DIFF])/10</f>
        <v>0.87729746893178073</v>
      </c>
    </row>
    <row r="8" spans="1:9" x14ac:dyDescent="0.2">
      <c r="A8" t="s">
        <v>161</v>
      </c>
      <c r="B8">
        <v>30</v>
      </c>
      <c r="C8">
        <v>31.36363636363636</v>
      </c>
      <c r="D8">
        <f>TableWHU[[#This Row],[ARIMAPP]]*$I$2+TableWHU[[#This Row],[LSTMPP]]*$I$3</f>
        <v>34.690124814272721</v>
      </c>
      <c r="E8">
        <v>21</v>
      </c>
      <c r="F8">
        <f>ABS(TableWHU[[#This Row],[PP]]-TableWHU[[#This Row],[AP]])</f>
        <v>13.690124814272721</v>
      </c>
    </row>
    <row r="9" spans="1:9" x14ac:dyDescent="0.2">
      <c r="A9" t="s">
        <v>162</v>
      </c>
      <c r="B9">
        <v>17.5</v>
      </c>
      <c r="C9">
        <v>24.444444444444439</v>
      </c>
      <c r="D9">
        <f>TableWHU[[#This Row],[ARIMAPP]]*$I$2+TableWHU[[#This Row],[LSTMPP]]*$I$3</f>
        <v>27.037069903555551</v>
      </c>
      <c r="E9">
        <v>29</v>
      </c>
      <c r="F9">
        <f>ABS(TableWHU[[#This Row],[PP]]-TableWHU[[#This Row],[AP]])</f>
        <v>1.9629300964444489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25.327224380885099</v>
      </c>
      <c r="C2">
        <v>33.2977196063202</v>
      </c>
      <c r="D2">
        <f>TableAVL[[#This Row],[ARIMAPP]]*$I$2+TableAVL[[#This Row],[LSTMPP]]*$I$3</f>
        <v>32.950832617632003</v>
      </c>
      <c r="E2">
        <v>32</v>
      </c>
      <c r="F2">
        <f>ABS(TableAVL[[#This Row],[PP]]-TableAVL[[#This Row],[AP]])</f>
        <v>0.95083261763200255</v>
      </c>
      <c r="H2" t="s">
        <v>0</v>
      </c>
      <c r="I2">
        <v>0.45273382509999999</v>
      </c>
    </row>
    <row r="3" spans="1:9" x14ac:dyDescent="0.2">
      <c r="A3" t="s">
        <v>23</v>
      </c>
      <c r="B3">
        <v>20.722287468016589</v>
      </c>
      <c r="C3">
        <v>35.659619282553052</v>
      </c>
      <c r="D3">
        <f>TableAVL[[#This Row],[ARIMAPP]]*$I$2+TableAVL[[#This Row],[LSTMPP]]*$I$3</f>
        <v>32.389965887519544</v>
      </c>
      <c r="E3">
        <v>31</v>
      </c>
      <c r="F3">
        <f>ABS(TableAVL[[#This Row],[PP]]-TableAVL[[#This Row],[AP]])</f>
        <v>1.3899658875195442</v>
      </c>
      <c r="H3" t="s">
        <v>1</v>
      </c>
      <c r="I3">
        <v>0.64521960357999997</v>
      </c>
    </row>
    <row r="4" spans="1:9" x14ac:dyDescent="0.2">
      <c r="A4" t="s">
        <v>24</v>
      </c>
      <c r="B4">
        <v>58.094902851356757</v>
      </c>
      <c r="C4">
        <v>27.584745762711869</v>
      </c>
      <c r="D4">
        <f>TableAVL[[#This Row],[ARIMAPP]]*$I$2+TableAVL[[#This Row],[LSTMPP]]*$I$3</f>
        <v>44.099746312579676</v>
      </c>
      <c r="E4">
        <v>47</v>
      </c>
      <c r="F4">
        <f>ABS(TableAVL[[#This Row],[PP]]-TableAVL[[#This Row],[AP]])</f>
        <v>2.9002536874203244</v>
      </c>
    </row>
    <row r="5" spans="1:9" x14ac:dyDescent="0.2">
      <c r="A5" t="s">
        <v>25</v>
      </c>
      <c r="B5">
        <v>30.62937062937063</v>
      </c>
      <c r="C5">
        <v>29.956140350877192</v>
      </c>
      <c r="D5">
        <f>TableAVL[[#This Row],[ARIMAPP]]*$I$2+TableAVL[[#This Row],[LSTMPP]]*$I$3</f>
        <v>33.195241127420381</v>
      </c>
      <c r="E5">
        <v>29</v>
      </c>
      <c r="F5">
        <f>ABS(TableAVL[[#This Row],[PP]]-TableAVL[[#This Row],[AP]])</f>
        <v>4.1952411274203811</v>
      </c>
      <c r="H5" t="s">
        <v>2</v>
      </c>
      <c r="I5">
        <f>SUM(ABS(TableAVL[[#This Row],[PP]]-TableAVL[[#This Row],[AP]]))</f>
        <v>4.1952411274203811</v>
      </c>
    </row>
    <row r="6" spans="1:9" x14ac:dyDescent="0.2">
      <c r="A6" t="s">
        <v>26</v>
      </c>
      <c r="B6">
        <v>28.16176470588233</v>
      </c>
      <c r="C6">
        <v>28.472222222222221</v>
      </c>
      <c r="D6">
        <f>TableAVL[[#This Row],[ARIMAPP]]*$I$2+TableAVL[[#This Row],[LSTMPP]]*$I$3</f>
        <v>31.120619392124169</v>
      </c>
      <c r="E6">
        <v>26</v>
      </c>
      <c r="F6">
        <f>ABS(TableAVL[[#This Row],[PP]]-TableAVL[[#This Row],[AP]])</f>
        <v>5.1206193921241692</v>
      </c>
    </row>
    <row r="7" spans="1:9" x14ac:dyDescent="0.2">
      <c r="A7" t="s">
        <v>27</v>
      </c>
      <c r="B7">
        <v>45.37815126050419</v>
      </c>
      <c r="C7">
        <v>43.983853933993778</v>
      </c>
      <c r="D7">
        <f>TableAVL[[#This Row],[ARIMAPP]]*$I$2+TableAVL[[#This Row],[LSTMPP]]*$I$3</f>
        <v>48.923468795346537</v>
      </c>
      <c r="E7">
        <v>75</v>
      </c>
      <c r="F7">
        <f>ABS(TableAVL[[#This Row],[PP]]-TableAVL[[#This Row],[AP]])</f>
        <v>26.076531204653463</v>
      </c>
      <c r="H7" t="s">
        <v>3</v>
      </c>
      <c r="I7">
        <f>AVERAGE(TableAVL[DIFF])/10</f>
        <v>0.86751705497643261</v>
      </c>
    </row>
    <row r="8" spans="1:9" x14ac:dyDescent="0.2">
      <c r="A8" t="s">
        <v>28</v>
      </c>
      <c r="B8">
        <v>30.46875</v>
      </c>
      <c r="C8">
        <v>27.843137254901961</v>
      </c>
      <c r="D8">
        <f>TableAVL[[#This Row],[ARIMAPP]]*$I$2+TableAVL[[#This Row],[LSTMPP]]*$I$3</f>
        <v>31.759171715546998</v>
      </c>
      <c r="E8">
        <v>40</v>
      </c>
      <c r="F8">
        <f>ABS(TableAVL[[#This Row],[PP]]-TableAVL[[#This Row],[AP]])</f>
        <v>8.2408282844530021</v>
      </c>
    </row>
    <row r="9" spans="1:9" x14ac:dyDescent="0.2">
      <c r="A9" t="s">
        <v>29</v>
      </c>
      <c r="B9">
        <v>35.800000000000011</v>
      </c>
      <c r="C9">
        <v>31.875</v>
      </c>
      <c r="D9">
        <f>TableAVL[[#This Row],[ARIMAPP]]*$I$2+TableAVL[[#This Row],[LSTMPP]]*$I$3</f>
        <v>36.774245802692505</v>
      </c>
      <c r="E9">
        <v>30</v>
      </c>
      <c r="F9">
        <f>ABS(TableAVL[[#This Row],[PP]]-TableAVL[[#This Row],[AP]])</f>
        <v>6.774245802692505</v>
      </c>
    </row>
    <row r="10" spans="1:9" x14ac:dyDescent="0.2">
      <c r="A10" t="s">
        <v>30</v>
      </c>
      <c r="B10">
        <v>46.137648976507201</v>
      </c>
      <c r="C10">
        <v>39.583333333333343</v>
      </c>
      <c r="D10">
        <f>TableAVL[[#This Row],[ARIMAPP]]*$I$2+TableAVL[[#This Row],[LSTMPP]]*$I$3</f>
        <v>46.428016943963542</v>
      </c>
      <c r="E10">
        <v>24</v>
      </c>
      <c r="F10">
        <f>ABS(TableAVL[[#This Row],[PP]]-TableAVL[[#This Row],[AP]])</f>
        <v>22.428016943963542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163</v>
      </c>
      <c r="B2">
        <v>20.575896762408849</v>
      </c>
      <c r="C2">
        <v>25.241935483870961</v>
      </c>
      <c r="D2">
        <f>TableWOL[[#This Row],[ARIMAPP]]*$I$2+TableWOL[[#This Row],[LSTMPP]]*$I$3</f>
        <v>27.933083518295685</v>
      </c>
      <c r="E2">
        <v>34</v>
      </c>
      <c r="F2">
        <f>ABS(TableWOL[[#This Row],[PP]]-TableWOL[[#This Row],[AP]])</f>
        <v>6.0669164817043146</v>
      </c>
      <c r="H2" t="s">
        <v>0</v>
      </c>
      <c r="I2">
        <v>0.59346823753</v>
      </c>
    </row>
    <row r="3" spans="1:9" x14ac:dyDescent="0.2">
      <c r="A3" t="s">
        <v>164</v>
      </c>
      <c r="B3">
        <v>29.708737864077651</v>
      </c>
      <c r="C3">
        <v>31.44025352656298</v>
      </c>
      <c r="D3">
        <f>TableWOL[[#This Row],[ARIMAPP]]*$I$2+TableWOL[[#This Row],[LSTMPP]]*$I$3</f>
        <v>37.213757714671765</v>
      </c>
      <c r="E3">
        <v>33</v>
      </c>
      <c r="F3">
        <f>ABS(TableWOL[[#This Row],[PP]]-TableWOL[[#This Row],[AP]])</f>
        <v>4.2137577146717646</v>
      </c>
      <c r="H3" t="s">
        <v>1</v>
      </c>
      <c r="I3">
        <v>0.62285011152000003</v>
      </c>
    </row>
    <row r="4" spans="1:9" x14ac:dyDescent="0.2">
      <c r="A4" t="s">
        <v>165</v>
      </c>
      <c r="B4">
        <v>26.10188148996118</v>
      </c>
      <c r="C4">
        <v>28.072916666666671</v>
      </c>
      <c r="D4">
        <f>TableWOL[[#This Row],[ARIMAPP]]*$I$2+TableWOL[[#This Row],[LSTMPP]]*$I$3</f>
        <v>32.975856880589198</v>
      </c>
      <c r="E4">
        <v>36</v>
      </c>
      <c r="F4">
        <f>ABS(TableWOL[[#This Row],[PP]]-TableWOL[[#This Row],[AP]])</f>
        <v>3.0241431194108017</v>
      </c>
    </row>
    <row r="5" spans="1:9" x14ac:dyDescent="0.2">
      <c r="A5" t="s">
        <v>166</v>
      </c>
      <c r="B5">
        <v>39.777332120480118</v>
      </c>
      <c r="C5">
        <v>34.924242424242422</v>
      </c>
      <c r="D5">
        <f>TableWOL[[#This Row],[ARIMAPP]]*$I$2+TableWOL[[#This Row],[LSTMPP]]*$I$3</f>
        <v>45.359151475877702</v>
      </c>
      <c r="E5">
        <v>29</v>
      </c>
      <c r="F5">
        <f>ABS(TableWOL[[#This Row],[PP]]-TableWOL[[#This Row],[AP]])</f>
        <v>16.359151475877702</v>
      </c>
      <c r="H5" t="s">
        <v>2</v>
      </c>
      <c r="I5">
        <f>SUM(ABS(TableWOL[[#This Row],[PP]]-TableWOL[[#This Row],[AP]]))</f>
        <v>16.359151475877702</v>
      </c>
    </row>
    <row r="6" spans="1:9" x14ac:dyDescent="0.2">
      <c r="A6" t="s">
        <v>167</v>
      </c>
      <c r="B6">
        <v>23.235294117647062</v>
      </c>
      <c r="C6">
        <v>24.629629629629619</v>
      </c>
      <c r="D6">
        <f>TableWOL[[#This Row],[ARIMAPP]]*$I$2+TableWOL[[#This Row],[LSTMPP]]*$I$3</f>
        <v>29.129976610002281</v>
      </c>
      <c r="E6">
        <v>23</v>
      </c>
      <c r="F6">
        <f>ABS(TableWOL[[#This Row],[PP]]-TableWOL[[#This Row],[AP]])</f>
        <v>6.1299766100022808</v>
      </c>
    </row>
    <row r="7" spans="1:9" x14ac:dyDescent="0.2">
      <c r="A7" t="s">
        <v>168</v>
      </c>
      <c r="B7">
        <v>53.150715278886331</v>
      </c>
      <c r="C7">
        <v>25.833333333333329</v>
      </c>
      <c r="D7">
        <f>TableWOL[[#This Row],[ARIMAPP]]*$I$2+TableWOL[[#This Row],[LSTMPP]]*$I$3</f>
        <v>47.633555867619513</v>
      </c>
      <c r="E7">
        <v>48</v>
      </c>
      <c r="F7">
        <f>ABS(TableWOL[[#This Row],[PP]]-TableWOL[[#This Row],[AP]])</f>
        <v>0.36644413238048656</v>
      </c>
      <c r="H7" t="s">
        <v>3</v>
      </c>
      <c r="I7">
        <f>AVERAGE(TableWOL[DIFF])/10</f>
        <v>0.73399811269953585</v>
      </c>
    </row>
    <row r="8" spans="1:9" x14ac:dyDescent="0.2">
      <c r="A8" t="s">
        <v>169</v>
      </c>
      <c r="B8">
        <v>41.020070406774572</v>
      </c>
      <c r="C8">
        <v>26.458333333333329</v>
      </c>
      <c r="D8">
        <f>TableWOL[[#This Row],[ARIMAPP]]*$I$2+TableWOL[[#This Row],[LSTMPP]]*$I$3</f>
        <v>40.823684754965015</v>
      </c>
      <c r="E8">
        <v>57</v>
      </c>
      <c r="F8">
        <f>ABS(TableWOL[[#This Row],[PP]]-TableWOL[[#This Row],[AP]])</f>
        <v>16.176315245034985</v>
      </c>
    </row>
    <row r="9" spans="1:9" x14ac:dyDescent="0.2">
      <c r="A9" t="s">
        <v>170</v>
      </c>
      <c r="B9">
        <v>45.695769740749583</v>
      </c>
      <c r="C9">
        <v>21.25</v>
      </c>
      <c r="D9">
        <f>TableWOL[[#This Row],[ARIMAPP]]*$I$2+TableWOL[[#This Row],[LSTMPP]]*$I$3</f>
        <v>40.354552800419356</v>
      </c>
      <c r="E9">
        <v>37</v>
      </c>
      <c r="F9">
        <f>ABS(TableWOL[[#This Row],[PP]]-TableWOL[[#This Row],[AP]])</f>
        <v>3.3545528004193557</v>
      </c>
    </row>
    <row r="10" spans="1:9" x14ac:dyDescent="0.2">
      <c r="A10" t="s">
        <v>171</v>
      </c>
      <c r="B10">
        <v>17.826086956521731</v>
      </c>
      <c r="C10">
        <v>24.166666666666671</v>
      </c>
      <c r="D10">
        <f>TableWOL[[#This Row],[ARIMAPP]]*$I$2+TableWOL[[#This Row],[LSTMPP]]*$I$3</f>
        <v>25.631427436543476</v>
      </c>
      <c r="E10">
        <v>36</v>
      </c>
      <c r="F10">
        <f>ABS(TableWOL[[#This Row],[PP]]-TableWOL[[#This Row],[AP]])</f>
        <v>10.368572563456524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22.08791208791208</v>
      </c>
      <c r="C2">
        <v>26.527777777777779</v>
      </c>
      <c r="D2">
        <f>TableBOU[[#This Row],[ARIMAPP]]*$I$2+TableBOU[[#This Row],[LSTMPP]]*$I$3</f>
        <v>29.42884564961188</v>
      </c>
      <c r="E2">
        <v>33</v>
      </c>
      <c r="F2">
        <f>ABS(TableBOU[[#This Row],[PP]]-TableBOU[[#This Row],[AP]])</f>
        <v>3.5711543503881202</v>
      </c>
      <c r="H2" t="s">
        <v>0</v>
      </c>
      <c r="I2">
        <v>1.2569964773</v>
      </c>
    </row>
    <row r="3" spans="1:9" x14ac:dyDescent="0.2">
      <c r="A3" t="s">
        <v>32</v>
      </c>
      <c r="B3">
        <v>16.628519977454431</v>
      </c>
      <c r="C3">
        <v>23.62903225806452</v>
      </c>
      <c r="D3">
        <f>TableBOU[[#This Row],[ARIMAPP]]*$I$2+TableBOU[[#This Row],[LSTMPP]]*$I$3</f>
        <v>22.38453458160491</v>
      </c>
      <c r="E3">
        <v>34</v>
      </c>
      <c r="F3">
        <f>ABS(TableBOU[[#This Row],[PP]]-TableBOU[[#This Row],[AP]])</f>
        <v>11.61546541839509</v>
      </c>
      <c r="H3" t="s">
        <v>1</v>
      </c>
      <c r="I3">
        <v>6.2742457289000006E-2</v>
      </c>
    </row>
    <row r="4" spans="1:9" x14ac:dyDescent="0.2">
      <c r="A4" t="s">
        <v>33</v>
      </c>
      <c r="B4">
        <v>42.882886344089307</v>
      </c>
      <c r="C4">
        <v>28.309859154929569</v>
      </c>
      <c r="D4">
        <f>TableBOU[[#This Row],[ARIMAPP]]*$I$2+TableBOU[[#This Row],[LSTMPP]]*$I$3</f>
        <v>55.679867199862308</v>
      </c>
      <c r="E4">
        <v>62</v>
      </c>
      <c r="F4">
        <f>ABS(TableBOU[[#This Row],[PP]]-TableBOU[[#This Row],[AP]])</f>
        <v>6.3201328001376922</v>
      </c>
    </row>
    <row r="5" spans="1:9" x14ac:dyDescent="0.2">
      <c r="A5" t="s">
        <v>34</v>
      </c>
      <c r="B5">
        <v>37.352941176470587</v>
      </c>
      <c r="C5">
        <v>36.284560341765527</v>
      </c>
      <c r="D5">
        <f>TableBOU[[#This Row],[ARIMAPP]]*$I$2+TableBOU[[#This Row],[LSTMPP]]*$I$3</f>
        <v>49.229097953111008</v>
      </c>
      <c r="E5">
        <v>31</v>
      </c>
      <c r="F5">
        <f>ABS(TableBOU[[#This Row],[PP]]-TableBOU[[#This Row],[AP]])</f>
        <v>18.229097953111008</v>
      </c>
      <c r="H5" t="s">
        <v>2</v>
      </c>
      <c r="I5">
        <f>SUM(ABS(TableBOU[[#This Row],[PP]]-TableBOU[[#This Row],[AP]]))</f>
        <v>18.229097953111008</v>
      </c>
    </row>
    <row r="6" spans="1:9" x14ac:dyDescent="0.2">
      <c r="A6" t="s">
        <v>35</v>
      </c>
      <c r="B6">
        <v>20.539512985232012</v>
      </c>
      <c r="C6">
        <v>26.060606060606059</v>
      </c>
      <c r="D6">
        <f>TableBOU[[#This Row],[ARIMAPP]]*$I$2+TableBOU[[#This Row],[LSTMPP]]*$I$3</f>
        <v>27.453201930577276</v>
      </c>
      <c r="E6">
        <v>52</v>
      </c>
      <c r="F6">
        <f>ABS(TableBOU[[#This Row],[PP]]-TableBOU[[#This Row],[AP]])</f>
        <v>24.546798069422724</v>
      </c>
    </row>
    <row r="7" spans="1:9" x14ac:dyDescent="0.2">
      <c r="A7" t="s">
        <v>36</v>
      </c>
      <c r="B7">
        <v>33.759683839654343</v>
      </c>
      <c r="C7">
        <v>53.708106060169641</v>
      </c>
      <c r="D7">
        <f>TableBOU[[#This Row],[ARIMAPP]]*$I$2+TableBOU[[#This Row],[LSTMPP]]*$I$3</f>
        <v>45.805582211760523</v>
      </c>
      <c r="E7">
        <v>37</v>
      </c>
      <c r="F7">
        <f>ABS(TableBOU[[#This Row],[PP]]-TableBOU[[#This Row],[AP]])</f>
        <v>8.8055822117605231</v>
      </c>
      <c r="H7" t="s">
        <v>3</v>
      </c>
      <c r="I7">
        <f>AVERAGE(TableBOU[DIFF])/10</f>
        <v>1.0164569437362172</v>
      </c>
    </row>
    <row r="8" spans="1:9" x14ac:dyDescent="0.2">
      <c r="A8" t="s">
        <v>37</v>
      </c>
      <c r="B8">
        <v>25.714285714285701</v>
      </c>
      <c r="C8">
        <v>25</v>
      </c>
      <c r="D8">
        <f>TableBOU[[#This Row],[ARIMAPP]]*$I$2+TableBOU[[#This Row],[LSTMPP]]*$I$3</f>
        <v>33.891327991367845</v>
      </c>
      <c r="E8">
        <v>29</v>
      </c>
      <c r="F8">
        <f>ABS(TableBOU[[#This Row],[PP]]-TableBOU[[#This Row],[AP]])</f>
        <v>4.8913279913678451</v>
      </c>
    </row>
    <row r="9" spans="1:9" x14ac:dyDescent="0.2">
      <c r="A9" t="s">
        <v>38</v>
      </c>
      <c r="B9">
        <v>17</v>
      </c>
      <c r="C9">
        <v>20.625</v>
      </c>
      <c r="D9">
        <f>TableBOU[[#This Row],[ARIMAPP]]*$I$2+TableBOU[[#This Row],[LSTMPP]]*$I$3</f>
        <v>22.663003295685623</v>
      </c>
      <c r="E9">
        <v>26</v>
      </c>
      <c r="F9">
        <f>ABS(TableBOU[[#This Row],[PP]]-TableBOU[[#This Row],[AP]])</f>
        <v>3.3369967043143767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39</v>
      </c>
      <c r="B2">
        <v>22.168770580935149</v>
      </c>
      <c r="C2">
        <v>30.183486238532112</v>
      </c>
      <c r="D2">
        <f>TableBRE[[#This Row],[ARIMAPP]]*$I$2+TableBRE[[#This Row],[LSTMPP]]*$I$3</f>
        <v>28.034935186663965</v>
      </c>
      <c r="E2">
        <v>30</v>
      </c>
      <c r="F2">
        <f>ABS(TableBRE[[#This Row],[PP]]-TableBRE[[#This Row],[AP]])</f>
        <v>1.9650648133360349</v>
      </c>
      <c r="H2" t="s">
        <v>0</v>
      </c>
      <c r="I2">
        <v>3.7374553208000002E-9</v>
      </c>
    </row>
    <row r="3" spans="1:9" x14ac:dyDescent="0.2">
      <c r="A3" t="s">
        <v>40</v>
      </c>
      <c r="B3">
        <v>30.303030303030312</v>
      </c>
      <c r="C3">
        <v>30.186996982224009</v>
      </c>
      <c r="D3">
        <f>TableBRE[[#This Row],[ARIMAPP]]*$I$2+TableBRE[[#This Row],[LSTMPP]]*$I$3</f>
        <v>28.038196055485141</v>
      </c>
      <c r="E3">
        <v>23</v>
      </c>
      <c r="F3">
        <f>ABS(TableBRE[[#This Row],[PP]]-TableBRE[[#This Row],[AP]])</f>
        <v>5.038196055485141</v>
      </c>
      <c r="H3" t="s">
        <v>1</v>
      </c>
      <c r="I3">
        <v>0.92881699888000002</v>
      </c>
    </row>
    <row r="4" spans="1:9" x14ac:dyDescent="0.2">
      <c r="A4" t="s">
        <v>41</v>
      </c>
      <c r="B4">
        <v>26.66666666666665</v>
      </c>
      <c r="C4">
        <v>27.177419354838719</v>
      </c>
      <c r="D4">
        <f>TableBRE[[#This Row],[ARIMAPP]]*$I$2+TableBRE[[#This Row],[LSTMPP]]*$I$3</f>
        <v>25.242849182129998</v>
      </c>
      <c r="E4">
        <v>21</v>
      </c>
      <c r="F4">
        <f>ABS(TableBRE[[#This Row],[PP]]-TableBRE[[#This Row],[AP]])</f>
        <v>4.2428491821299978</v>
      </c>
    </row>
    <row r="5" spans="1:9" x14ac:dyDescent="0.2">
      <c r="A5" t="s">
        <v>42</v>
      </c>
      <c r="B5">
        <v>31.515655922449639</v>
      </c>
      <c r="C5">
        <v>28.083333333333329</v>
      </c>
      <c r="D5">
        <f>TableBRE[[#This Row],[ARIMAPP]]*$I$2+TableBRE[[#This Row],[LSTMPP]]*$I$3</f>
        <v>26.084277503001687</v>
      </c>
      <c r="E5">
        <v>26</v>
      </c>
      <c r="F5">
        <f>ABS(TableBRE[[#This Row],[PP]]-TableBRE[[#This Row],[AP]])</f>
        <v>8.4277503001686682E-2</v>
      </c>
      <c r="H5" t="s">
        <v>2</v>
      </c>
      <c r="I5">
        <f>SUM(ABS(TableBRE[[#This Row],[PP]]-TableBRE[[#This Row],[AP]]))</f>
        <v>8.4277503001686682E-2</v>
      </c>
    </row>
    <row r="6" spans="1:9" x14ac:dyDescent="0.2">
      <c r="A6" t="s">
        <v>43</v>
      </c>
      <c r="B6">
        <v>41.464153330603892</v>
      </c>
      <c r="C6">
        <v>27.627118644067789</v>
      </c>
      <c r="D6">
        <f>TableBRE[[#This Row],[ARIMAPP]]*$I$2+TableBRE[[#This Row],[LSTMPP]]*$I$3</f>
        <v>25.660537581655159</v>
      </c>
      <c r="E6">
        <v>22</v>
      </c>
      <c r="F6">
        <f>ABS(TableBRE[[#This Row],[PP]]-TableBRE[[#This Row],[AP]])</f>
        <v>3.6605375816551593</v>
      </c>
    </row>
    <row r="7" spans="1:9" x14ac:dyDescent="0.2">
      <c r="A7" t="s">
        <v>44</v>
      </c>
      <c r="B7">
        <v>18.2</v>
      </c>
      <c r="C7">
        <v>24.5</v>
      </c>
      <c r="D7">
        <f>TableBRE[[#This Row],[ARIMAPP]]*$I$2+TableBRE[[#This Row],[LSTMPP]]*$I$3</f>
        <v>22.756016540581687</v>
      </c>
      <c r="E7">
        <v>31</v>
      </c>
      <c r="F7">
        <f>ABS(TableBRE[[#This Row],[PP]]-TableBRE[[#This Row],[AP]])</f>
        <v>8.2439834594183132</v>
      </c>
      <c r="H7" t="s">
        <v>3</v>
      </c>
      <c r="I7">
        <f>AVERAGE(TableBRE[DIFF])/10</f>
        <v>0.3811336436411733</v>
      </c>
    </row>
    <row r="8" spans="1:9" x14ac:dyDescent="0.2">
      <c r="A8" t="s">
        <v>45</v>
      </c>
      <c r="B8">
        <v>29.285714285714288</v>
      </c>
      <c r="C8">
        <v>31.82064224312138</v>
      </c>
      <c r="D8">
        <f>TableBRE[[#This Row],[ARIMAPP]]*$I$2+TableBRE[[#This Row],[LSTMPP]]*$I$3</f>
        <v>29.555553540144203</v>
      </c>
      <c r="E8">
        <v>33</v>
      </c>
      <c r="F8">
        <f>ABS(TableBRE[[#This Row],[PP]]-TableBRE[[#This Row],[AP]])</f>
        <v>3.4444464598557971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46</v>
      </c>
      <c r="B2">
        <v>31.279069767441879</v>
      </c>
      <c r="C2">
        <v>31.448632707539939</v>
      </c>
      <c r="D2">
        <f>TableBHA[[#This Row],[ARIMAPP]]*$I$2+TableBHA[[#This Row],[LSTMPP]]*$I$3</f>
        <v>38.816839208466433</v>
      </c>
      <c r="E2">
        <v>32</v>
      </c>
      <c r="F2">
        <f>ABS(TableBHA[[#This Row],[PP]]-TableBHA[[#This Row],[AP]])</f>
        <v>6.8168392084664333</v>
      </c>
      <c r="H2" t="s">
        <v>0</v>
      </c>
      <c r="I2">
        <v>0.83121000501999998</v>
      </c>
    </row>
    <row r="3" spans="1:9" x14ac:dyDescent="0.2">
      <c r="A3" t="s">
        <v>47</v>
      </c>
      <c r="B3">
        <v>35.283018867924532</v>
      </c>
      <c r="C3">
        <v>33.47242959407459</v>
      </c>
      <c r="D3">
        <f>TableBHA[[#This Row],[ARIMAPP]]*$I$2+TableBHA[[#This Row],[LSTMPP]]*$I$3</f>
        <v>42.969790633719299</v>
      </c>
      <c r="E3">
        <v>48</v>
      </c>
      <c r="F3">
        <f>ABS(TableBHA[[#This Row],[PP]]-TableBHA[[#This Row],[AP]])</f>
        <v>5.030209366280701</v>
      </c>
      <c r="H3" t="s">
        <v>1</v>
      </c>
      <c r="I3">
        <v>0.40756504708000002</v>
      </c>
    </row>
    <row r="4" spans="1:9" x14ac:dyDescent="0.2">
      <c r="A4" t="s">
        <v>48</v>
      </c>
      <c r="B4">
        <v>30</v>
      </c>
      <c r="C4">
        <v>30.542168674698789</v>
      </c>
      <c r="D4">
        <f>TableBHA[[#This Row],[ARIMAPP]]*$I$2+TableBHA[[#This Row],[LSTMPP]]*$I$3</f>
        <v>37.384220564428915</v>
      </c>
      <c r="E4">
        <v>35</v>
      </c>
      <c r="F4">
        <f>ABS(TableBHA[[#This Row],[PP]]-TableBHA[[#This Row],[AP]])</f>
        <v>2.3842205644289152</v>
      </c>
    </row>
    <row r="5" spans="1:9" x14ac:dyDescent="0.2">
      <c r="A5" t="s">
        <v>49</v>
      </c>
      <c r="B5">
        <v>19.197758164539131</v>
      </c>
      <c r="C5">
        <v>23.58695652173914</v>
      </c>
      <c r="D5">
        <f>TableBHA[[#This Row],[ARIMAPP]]*$I$2+TableBHA[[#This Row],[LSTMPP]]*$I$3</f>
        <v>25.570587705575843</v>
      </c>
      <c r="E5">
        <v>20</v>
      </c>
      <c r="F5">
        <f>ABS(TableBHA[[#This Row],[PP]]-TableBHA[[#This Row],[AP]])</f>
        <v>5.5705877055758428</v>
      </c>
      <c r="H5" t="s">
        <v>2</v>
      </c>
      <c r="I5">
        <f>SUM(ABS(TableBHA[[#This Row],[PP]]-TableBHA[[#This Row],[AP]]))</f>
        <v>5.5705877055758428</v>
      </c>
    </row>
    <row r="6" spans="1:9" x14ac:dyDescent="0.2">
      <c r="A6" t="s">
        <v>50</v>
      </c>
      <c r="B6">
        <v>19.920099083028251</v>
      </c>
      <c r="C6">
        <v>25</v>
      </c>
      <c r="D6">
        <f>TableBHA[[#This Row],[ARIMAPP]]*$I$2+TableBHA[[#This Row],[LSTMPP]]*$I$3</f>
        <v>26.746911835802813</v>
      </c>
      <c r="E6">
        <v>41</v>
      </c>
      <c r="F6">
        <f>ABS(TableBHA[[#This Row],[PP]]-TableBHA[[#This Row],[AP]])</f>
        <v>14.253088164197187</v>
      </c>
    </row>
    <row r="7" spans="1:9" x14ac:dyDescent="0.2">
      <c r="A7" t="s">
        <v>51</v>
      </c>
      <c r="B7">
        <v>15.086647067872811</v>
      </c>
      <c r="C7">
        <v>45.469855557264303</v>
      </c>
      <c r="D7">
        <f>TableBHA[[#This Row],[ARIMAPP]]*$I$2+TableBHA[[#This Row],[LSTMPP]]*$I$3</f>
        <v>31.072095805938751</v>
      </c>
      <c r="E7">
        <v>30</v>
      </c>
      <c r="F7">
        <f>ABS(TableBHA[[#This Row],[PP]]-TableBHA[[#This Row],[AP]])</f>
        <v>1.0720958059387513</v>
      </c>
      <c r="H7" t="s">
        <v>3</v>
      </c>
      <c r="I7">
        <f>AVERAGE(TableBHA[DIFF])/10</f>
        <v>0.53711317676751313</v>
      </c>
    </row>
    <row r="8" spans="1:9" x14ac:dyDescent="0.2">
      <c r="A8" t="s">
        <v>52</v>
      </c>
      <c r="B8">
        <v>21.666666666666661</v>
      </c>
      <c r="C8">
        <v>23.214285714285719</v>
      </c>
      <c r="D8">
        <f>TableBHA[[#This Row],[ARIMAPP]]*$I$2+TableBHA[[#This Row],[LSTMPP]]*$I$3</f>
        <v>27.470881558838091</v>
      </c>
      <c r="E8">
        <v>25</v>
      </c>
      <c r="F8">
        <f>ABS(TableBHA[[#This Row],[PP]]-TableBHA[[#This Row],[AP]])</f>
        <v>2.4708815588380908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53</v>
      </c>
      <c r="B2">
        <v>22.61904761904762</v>
      </c>
      <c r="C2">
        <v>26.060606060606059</v>
      </c>
      <c r="D2">
        <f>TableBUR[[#This Row],[ARIMAPP]]*$I$2+TableBUR[[#This Row],[LSTMPP]]*$I$3</f>
        <v>21.912477371598701</v>
      </c>
      <c r="E2">
        <v>21</v>
      </c>
      <c r="F2">
        <f>ABS(TableBUR[[#This Row],[PP]]-TableBUR[[#This Row],[AP]])</f>
        <v>0.91247737159870113</v>
      </c>
      <c r="H2" t="s">
        <v>0</v>
      </c>
      <c r="I2">
        <v>0.69182801705999997</v>
      </c>
    </row>
    <row r="3" spans="1:9" x14ac:dyDescent="0.2">
      <c r="A3" t="s">
        <v>54</v>
      </c>
      <c r="B3">
        <v>25.10089138338742</v>
      </c>
      <c r="C3">
        <v>25.82089552238806</v>
      </c>
      <c r="D3">
        <f>TableBUR[[#This Row],[ARIMAPP]]*$I$2+TableBUR[[#This Row],[LSTMPP]]*$I$3</f>
        <v>23.571869051896911</v>
      </c>
      <c r="E3">
        <v>23</v>
      </c>
      <c r="F3">
        <f>ABS(TableBUR[[#This Row],[PP]]-TableBUR[[#This Row],[AP]])</f>
        <v>0.57186905189691117</v>
      </c>
      <c r="H3" t="s">
        <v>1</v>
      </c>
      <c r="I3">
        <v>0.24036227303999999</v>
      </c>
    </row>
    <row r="4" spans="1:9" x14ac:dyDescent="0.2">
      <c r="A4" t="s">
        <v>55</v>
      </c>
      <c r="B4">
        <v>31.895426795408898</v>
      </c>
      <c r="C4">
        <v>21.666666666666671</v>
      </c>
      <c r="D4">
        <f>TableBUR[[#This Row],[ARIMAPP]]*$I$2+TableBUR[[#This Row],[LSTMPP]]*$I$3</f>
        <v>27.273999122350126</v>
      </c>
      <c r="E4">
        <v>26</v>
      </c>
      <c r="F4">
        <f>ABS(TableBUR[[#This Row],[PP]]-TableBUR[[#This Row],[AP]])</f>
        <v>1.2739991223501264</v>
      </c>
    </row>
    <row r="5" spans="1:9" x14ac:dyDescent="0.2">
      <c r="A5" t="s">
        <v>56</v>
      </c>
      <c r="B5">
        <v>29.285714285714288</v>
      </c>
      <c r="C5">
        <v>25.615020208891011</v>
      </c>
      <c r="D5">
        <f>TableBUR[[#This Row],[ARIMAPP]]*$I$2+TableBUR[[#This Row],[LSTMPP]]*$I$3</f>
        <v>26.417562123846007</v>
      </c>
      <c r="E5">
        <v>29</v>
      </c>
      <c r="F5">
        <f>ABS(TableBUR[[#This Row],[PP]]-TableBUR[[#This Row],[AP]])</f>
        <v>2.5824378761539926</v>
      </c>
      <c r="H5" t="s">
        <v>2</v>
      </c>
      <c r="I5">
        <f>SUM(ABS(TableBUR[[#This Row],[PP]]-TableBUR[[#This Row],[AP]]))</f>
        <v>2.5824378761539926</v>
      </c>
    </row>
    <row r="7" spans="1:9" x14ac:dyDescent="0.2">
      <c r="H7" t="s">
        <v>3</v>
      </c>
      <c r="I7">
        <f>AVERAGE(TableBUR[DIFF])/10</f>
        <v>0.13351958554999327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57</v>
      </c>
      <c r="B2">
        <v>45.493284061341249</v>
      </c>
      <c r="C2">
        <v>59.284796989572577</v>
      </c>
      <c r="D2">
        <f>TableCHE[[#This Row],[ARIMAPP]]*$I$2+TableCHE[[#This Row],[LSTMPP]]*$I$3</f>
        <v>47.242756182753929</v>
      </c>
      <c r="E2">
        <v>33</v>
      </c>
      <c r="F2">
        <f>ABS(TableCHE[[#This Row],[PP]]-TableCHE[[#This Row],[AP]])</f>
        <v>14.242756182753929</v>
      </c>
      <c r="H2" t="s">
        <v>0</v>
      </c>
      <c r="I2">
        <v>1.0384556129</v>
      </c>
    </row>
    <row r="3" spans="1:9" x14ac:dyDescent="0.2">
      <c r="A3" t="s">
        <v>58</v>
      </c>
      <c r="B3">
        <v>29.04909396668128</v>
      </c>
      <c r="C3">
        <v>27.87356321839081</v>
      </c>
      <c r="D3">
        <f>TableCHE[[#This Row],[ARIMAPP]]*$I$2+TableCHE[[#This Row],[LSTMPP]]*$I$3</f>
        <v>30.166194679359702</v>
      </c>
      <c r="E3">
        <v>30</v>
      </c>
      <c r="F3">
        <f>ABS(TableCHE[[#This Row],[PP]]-TableCHE[[#This Row],[AP]])</f>
        <v>0.16619467935970178</v>
      </c>
      <c r="H3" t="s">
        <v>1</v>
      </c>
      <c r="I3">
        <v>0</v>
      </c>
    </row>
    <row r="4" spans="1:9" x14ac:dyDescent="0.2">
      <c r="A4" t="s">
        <v>59</v>
      </c>
      <c r="B4">
        <v>50.979959236663809</v>
      </c>
      <c r="C4">
        <v>23.125</v>
      </c>
      <c r="D4">
        <f>TableCHE[[#This Row],[ARIMAPP]]*$I$2+TableCHE[[#This Row],[LSTMPP]]*$I$3</f>
        <v>52.940424814726732</v>
      </c>
      <c r="E4">
        <v>71</v>
      </c>
      <c r="F4">
        <f>ABS(TableCHE[[#This Row],[PP]]-TableCHE[[#This Row],[AP]])</f>
        <v>18.059575185273268</v>
      </c>
    </row>
    <row r="5" spans="1:9" x14ac:dyDescent="0.2">
      <c r="A5" t="s">
        <v>60</v>
      </c>
      <c r="B5">
        <v>27.998750921758528</v>
      </c>
      <c r="C5">
        <v>33.571719992854149</v>
      </c>
      <c r="D5">
        <f>TableCHE[[#This Row],[ARIMAPP]]*$I$2+TableCHE[[#This Row],[LSTMPP]]*$I$3</f>
        <v>29.075460048889191</v>
      </c>
      <c r="E5">
        <v>29</v>
      </c>
      <c r="F5">
        <f>ABS(TableCHE[[#This Row],[PP]]-TableCHE[[#This Row],[AP]])</f>
        <v>7.5460048889191E-2</v>
      </c>
      <c r="H5" t="s">
        <v>2</v>
      </c>
      <c r="I5">
        <f>SUM(ABS(TableCHE[[#This Row],[PP]]-TableCHE[[#This Row],[AP]]))</f>
        <v>7.5460048889191E-2</v>
      </c>
    </row>
    <row r="6" spans="1:9" x14ac:dyDescent="0.2">
      <c r="A6" t="s">
        <v>61</v>
      </c>
      <c r="B6">
        <v>28.275862068965509</v>
      </c>
      <c r="C6">
        <v>29.884740130332389</v>
      </c>
      <c r="D6">
        <f>TableCHE[[#This Row],[ARIMAPP]]*$I$2+TableCHE[[#This Row],[LSTMPP]]*$I$3</f>
        <v>29.363227675103438</v>
      </c>
      <c r="E6">
        <v>23</v>
      </c>
      <c r="F6">
        <f>ABS(TableCHE[[#This Row],[PP]]-TableCHE[[#This Row],[AP]])</f>
        <v>6.3632276751034382</v>
      </c>
    </row>
    <row r="7" spans="1:9" x14ac:dyDescent="0.2">
      <c r="A7" t="s">
        <v>62</v>
      </c>
      <c r="B7">
        <v>22.307721901337018</v>
      </c>
      <c r="C7">
        <v>23.333333333333329</v>
      </c>
      <c r="D7">
        <f>TableCHE[[#This Row],[ARIMAPP]]*$I$2+TableCHE[[#This Row],[LSTMPP]]*$I$3</f>
        <v>23.165579019455688</v>
      </c>
      <c r="E7">
        <v>30</v>
      </c>
      <c r="F7">
        <f>ABS(TableCHE[[#This Row],[PP]]-TableCHE[[#This Row],[AP]])</f>
        <v>6.8344209805443121</v>
      </c>
      <c r="H7" t="s">
        <v>3</v>
      </c>
      <c r="I7">
        <f>AVERAGE(TableCHE[DIFF])/10</f>
        <v>0.79102951505449537</v>
      </c>
    </row>
    <row r="8" spans="1:9" x14ac:dyDescent="0.2">
      <c r="A8" t="s">
        <v>63</v>
      </c>
      <c r="B8">
        <v>27.241379310344811</v>
      </c>
      <c r="C8">
        <v>25.65217391304348</v>
      </c>
      <c r="D8">
        <f>TableCHE[[#This Row],[ARIMAPP]]*$I$2+TableCHE[[#This Row],[LSTMPP]]*$I$3</f>
        <v>28.288963247965501</v>
      </c>
      <c r="E8">
        <v>23</v>
      </c>
      <c r="F8">
        <f>ABS(TableCHE[[#This Row],[PP]]-TableCHE[[#This Row],[AP]])</f>
        <v>5.2889632479655013</v>
      </c>
    </row>
    <row r="9" spans="1:9" x14ac:dyDescent="0.2">
      <c r="A9" t="s">
        <v>64</v>
      </c>
      <c r="B9">
        <v>35.193236985791678</v>
      </c>
      <c r="C9">
        <v>38.777840488417958</v>
      </c>
      <c r="D9">
        <f>TableCHE[[#This Row],[ARIMAPP]]*$I$2+TableCHE[[#This Row],[LSTMPP]]*$I$3</f>
        <v>36.546614484015244</v>
      </c>
      <c r="E9">
        <v>30</v>
      </c>
      <c r="F9">
        <f>ABS(TableCHE[[#This Row],[PP]]-TableCHE[[#This Row],[AP]])</f>
        <v>6.5466144840152438</v>
      </c>
    </row>
    <row r="10" spans="1:9" x14ac:dyDescent="0.2">
      <c r="A10" t="s">
        <v>65</v>
      </c>
      <c r="B10">
        <v>10</v>
      </c>
      <c r="C10">
        <v>30.909090909090899</v>
      </c>
      <c r="D10">
        <f>TableCHE[[#This Row],[ARIMAPP]]*$I$2+TableCHE[[#This Row],[LSTMPP]]*$I$3</f>
        <v>10.384556129</v>
      </c>
      <c r="E10">
        <v>24</v>
      </c>
      <c r="F10">
        <f>ABS(TableCHE[[#This Row],[PP]]-TableCHE[[#This Row],[AP]])</f>
        <v>13.615443871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66</v>
      </c>
      <c r="B2">
        <v>28.835645230660511</v>
      </c>
      <c r="C2">
        <v>28.50746268656717</v>
      </c>
      <c r="D2">
        <f>TableCRY[[#This Row],[ARIMAPP]]*$I$2+TableCRY[[#This Row],[LSTMPP]]*$I$3</f>
        <v>30.170413745119408</v>
      </c>
      <c r="E2">
        <v>34</v>
      </c>
      <c r="F2">
        <f>ABS(TableCRY[[#This Row],[PP]]-TableCRY[[#This Row],[AP]])</f>
        <v>3.8295862548805921</v>
      </c>
      <c r="H2" t="s">
        <v>0</v>
      </c>
      <c r="I2">
        <v>0</v>
      </c>
    </row>
    <row r="3" spans="1:9" x14ac:dyDescent="0.2">
      <c r="A3" t="s">
        <v>67</v>
      </c>
      <c r="B3">
        <v>36.666666666666671</v>
      </c>
      <c r="C3">
        <v>31.304347826086961</v>
      </c>
      <c r="D3">
        <f>TableCRY[[#This Row],[ARIMAPP]]*$I$2+TableCRY[[#This Row],[LSTMPP]]*$I$3</f>
        <v>33.130452061565222</v>
      </c>
      <c r="E3">
        <v>48</v>
      </c>
      <c r="F3">
        <f>ABS(TableCRY[[#This Row],[PP]]-TableCRY[[#This Row],[AP]])</f>
        <v>14.869547938434778</v>
      </c>
      <c r="H3" t="s">
        <v>1</v>
      </c>
      <c r="I3">
        <v>1.0583338852999999</v>
      </c>
    </row>
    <row r="4" spans="1:9" x14ac:dyDescent="0.2">
      <c r="A4" t="s">
        <v>68</v>
      </c>
      <c r="B4">
        <v>38.490566037735839</v>
      </c>
      <c r="C4">
        <v>33.095238095238088</v>
      </c>
      <c r="D4">
        <f>TableCRY[[#This Row],[ARIMAPP]]*$I$2+TableCRY[[#This Row],[LSTMPP]]*$I$3</f>
        <v>35.025811918261894</v>
      </c>
      <c r="E4">
        <v>22</v>
      </c>
      <c r="F4">
        <f>ABS(TableCRY[[#This Row],[PP]]-TableCRY[[#This Row],[AP]])</f>
        <v>13.025811918261894</v>
      </c>
    </row>
    <row r="5" spans="1:9" x14ac:dyDescent="0.2">
      <c r="A5" t="s">
        <v>69</v>
      </c>
      <c r="B5">
        <v>21.17647058823529</v>
      </c>
      <c r="C5">
        <v>24.351851851851851</v>
      </c>
      <c r="D5">
        <f>TableCRY[[#This Row],[ARIMAPP]]*$I$2+TableCRY[[#This Row],[LSTMPP]]*$I$3</f>
        <v>25.772389984620368</v>
      </c>
      <c r="E5">
        <v>36</v>
      </c>
      <c r="F5">
        <f>ABS(TableCRY[[#This Row],[PP]]-TableCRY[[#This Row],[AP]])</f>
        <v>10.227610015379632</v>
      </c>
      <c r="H5" t="s">
        <v>2</v>
      </c>
      <c r="I5">
        <f>SUM(ABS(TableCRY[[#This Row],[PP]]-TableCRY[[#This Row],[AP]]))</f>
        <v>10.227610015379632</v>
      </c>
    </row>
    <row r="6" spans="1:9" x14ac:dyDescent="0.2">
      <c r="A6" t="s">
        <v>70</v>
      </c>
      <c r="B6">
        <v>29.154929577464799</v>
      </c>
      <c r="C6">
        <v>28.035714285714281</v>
      </c>
      <c r="D6">
        <f>TableCRY[[#This Row],[ARIMAPP]]*$I$2+TableCRY[[#This Row],[LSTMPP]]*$I$3</f>
        <v>29.671146427160707</v>
      </c>
      <c r="E6">
        <v>25</v>
      </c>
      <c r="F6">
        <f>ABS(TableCRY[[#This Row],[PP]]-TableCRY[[#This Row],[AP]])</f>
        <v>4.671146427160707</v>
      </c>
    </row>
    <row r="7" spans="1:9" x14ac:dyDescent="0.2">
      <c r="A7" t="s">
        <v>71</v>
      </c>
      <c r="B7">
        <v>27.23404255319149</v>
      </c>
      <c r="C7">
        <v>28.513513513513509</v>
      </c>
      <c r="D7">
        <f>TableCRY[[#This Row],[ARIMAPP]]*$I$2+TableCRY[[#This Row],[LSTMPP]]*$I$3</f>
        <v>30.176817540310804</v>
      </c>
      <c r="E7">
        <v>21</v>
      </c>
      <c r="F7">
        <f>ABS(TableCRY[[#This Row],[PP]]-TableCRY[[#This Row],[AP]])</f>
        <v>9.1768175403108039</v>
      </c>
      <c r="H7" t="s">
        <v>3</v>
      </c>
      <c r="I7">
        <f>AVERAGE(TableCRY[DIFF])/10</f>
        <v>0.93000866824047335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72</v>
      </c>
      <c r="B2">
        <v>32.30818835650723</v>
      </c>
      <c r="C2">
        <v>30</v>
      </c>
      <c r="D2">
        <f>TableEVE[[#This Row],[ARIMAPP]]*$I$2+TableEVE[[#This Row],[LSTMPP]]*$I$3</f>
        <v>31.291795124012108</v>
      </c>
      <c r="E2">
        <v>43</v>
      </c>
      <c r="F2">
        <f>ABS(TableEVE[[#This Row],[PP]]-TableEVE[[#This Row],[AP]])</f>
        <v>11.708204875987892</v>
      </c>
      <c r="H2" t="s">
        <v>0</v>
      </c>
      <c r="I2">
        <v>1.8908832470999999E-6</v>
      </c>
    </row>
    <row r="3" spans="1:9" x14ac:dyDescent="0.2">
      <c r="A3" t="s">
        <v>73</v>
      </c>
      <c r="B3">
        <v>27.950576822468939</v>
      </c>
      <c r="C3">
        <v>29.440789473684209</v>
      </c>
      <c r="D3">
        <f>TableEVE[[#This Row],[ARIMAPP]]*$I$2+TableEVE[[#This Row],[LSTMPP]]*$I$3</f>
        <v>30.708497982346536</v>
      </c>
      <c r="E3">
        <v>24</v>
      </c>
      <c r="F3">
        <f>ABS(TableEVE[[#This Row],[PP]]-TableEVE[[#This Row],[AP]])</f>
        <v>6.708497982346536</v>
      </c>
      <c r="H3" t="s">
        <v>1</v>
      </c>
      <c r="I3">
        <v>1.0430578011</v>
      </c>
    </row>
    <row r="4" spans="1:9" x14ac:dyDescent="0.2">
      <c r="A4" t="s">
        <v>74</v>
      </c>
      <c r="B4">
        <v>35.2659574468085</v>
      </c>
      <c r="C4">
        <v>32.599999999999987</v>
      </c>
      <c r="D4">
        <f>TableEVE[[#This Row],[ARIMAPP]]*$I$2+TableEVE[[#This Row],[LSTMPP]]*$I$3</f>
        <v>34.003750999668114</v>
      </c>
      <c r="E4">
        <v>37</v>
      </c>
      <c r="F4">
        <f>ABS(TableEVE[[#This Row],[PP]]-TableEVE[[#This Row],[AP]])</f>
        <v>2.9962490003318862</v>
      </c>
    </row>
    <row r="5" spans="1:9" x14ac:dyDescent="0.2">
      <c r="A5" t="s">
        <v>75</v>
      </c>
      <c r="B5">
        <v>23.000000000000011</v>
      </c>
      <c r="C5">
        <v>26.0625</v>
      </c>
      <c r="D5">
        <f>TableEVE[[#This Row],[ARIMAPP]]*$I$2+TableEVE[[#This Row],[LSTMPP]]*$I$3</f>
        <v>27.184737431483434</v>
      </c>
      <c r="E5">
        <v>31</v>
      </c>
      <c r="F5">
        <f>ABS(TableEVE[[#This Row],[PP]]-TableEVE[[#This Row],[AP]])</f>
        <v>3.815262568516566</v>
      </c>
      <c r="H5" t="s">
        <v>2</v>
      </c>
      <c r="I5">
        <f>SUM(ABS(TableEVE[[#This Row],[PP]]-TableEVE[[#This Row],[AP]]))</f>
        <v>3.815262568516566</v>
      </c>
    </row>
    <row r="6" spans="1:9" x14ac:dyDescent="0.2">
      <c r="A6" t="s">
        <v>76</v>
      </c>
      <c r="B6">
        <v>34.986417120067202</v>
      </c>
      <c r="C6">
        <v>33.723338084914893</v>
      </c>
      <c r="D6">
        <f>TableEVE[[#This Row],[ARIMAPP]]*$I$2+TableEVE[[#This Row],[LSTMPP]]*$I$3</f>
        <v>35.175457023833225</v>
      </c>
      <c r="E6">
        <v>21</v>
      </c>
      <c r="F6">
        <f>ABS(TableEVE[[#This Row],[PP]]-TableEVE[[#This Row],[AP]])</f>
        <v>14.175457023833225</v>
      </c>
    </row>
    <row r="7" spans="1:9" x14ac:dyDescent="0.2">
      <c r="A7" t="s">
        <v>77</v>
      </c>
      <c r="B7">
        <v>31.68604651162795</v>
      </c>
      <c r="C7">
        <v>29.23357664233577</v>
      </c>
      <c r="D7">
        <f>TableEVE[[#This Row],[ARIMAPP]]*$I$2+TableEVE[[#This Row],[LSTMPP]]*$I$3</f>
        <v>30.492370085457583</v>
      </c>
      <c r="E7">
        <v>32</v>
      </c>
      <c r="F7">
        <f>ABS(TableEVE[[#This Row],[PP]]-TableEVE[[#This Row],[AP]])</f>
        <v>1.5076299145424166</v>
      </c>
      <c r="H7" t="s">
        <v>3</v>
      </c>
      <c r="I7">
        <f>AVERAGE(TableEVE[DIFF])/10</f>
        <v>0.47392274756495689</v>
      </c>
    </row>
    <row r="8" spans="1:9" x14ac:dyDescent="0.2">
      <c r="A8" t="s">
        <v>78</v>
      </c>
      <c r="B8">
        <v>21.886109906725661</v>
      </c>
      <c r="C8">
        <v>24.42307692307693</v>
      </c>
      <c r="D8">
        <f>TableEVE[[#This Row],[ARIMAPP]]*$I$2+TableEVE[[#This Row],[LSTMPP]]*$I$3</f>
        <v>25.474722295559346</v>
      </c>
      <c r="E8">
        <v>24</v>
      </c>
      <c r="F8">
        <f>ABS(TableEVE[[#This Row],[PP]]-TableEVE[[#This Row],[AP]])</f>
        <v>1.4747222955593458</v>
      </c>
    </row>
    <row r="9" spans="1:9" x14ac:dyDescent="0.2">
      <c r="A9" t="s">
        <v>79</v>
      </c>
      <c r="B9">
        <v>24.34782608695652</v>
      </c>
      <c r="C9">
        <v>24.722222222222221</v>
      </c>
      <c r="D9">
        <f>TableEVE[[#This Row],[ARIMAPP]]*$I$2+TableEVE[[#This Row],[LSTMPP]]*$I$3</f>
        <v>25.786752788313116</v>
      </c>
      <c r="E9">
        <v>30</v>
      </c>
      <c r="F9">
        <f>ABS(TableEVE[[#This Row],[PP]]-TableEVE[[#This Row],[AP]])</f>
        <v>4.213247211686884</v>
      </c>
    </row>
    <row r="10" spans="1:9" x14ac:dyDescent="0.2">
      <c r="A10" t="s">
        <v>80</v>
      </c>
      <c r="B10">
        <v>39.639639639639647</v>
      </c>
      <c r="C10">
        <v>33.522727272727273</v>
      </c>
      <c r="D10">
        <f>TableEVE[[#This Row],[ARIMAPP]]*$I$2+TableEVE[[#This Row],[LSTMPP]]*$I$3</f>
        <v>34.966217149896423</v>
      </c>
      <c r="E10">
        <v>34</v>
      </c>
      <c r="F10">
        <f>ABS(TableEVE[[#This Row],[PP]]-TableEVE[[#This Row],[AP]])</f>
        <v>0.96621714989642271</v>
      </c>
    </row>
    <row r="11" spans="1:9" x14ac:dyDescent="0.2">
      <c r="A11" t="s">
        <v>81</v>
      </c>
      <c r="B11">
        <v>30.365753965761481</v>
      </c>
      <c r="C11">
        <v>27.20930232558139</v>
      </c>
      <c r="D11">
        <f>TableEVE[[#This Row],[ARIMAPP]]*$I$2+TableEVE[[#This Row],[LSTMPP]]*$I$3</f>
        <v>28.380932471281501</v>
      </c>
      <c r="E11">
        <v>27</v>
      </c>
      <c r="F11">
        <f>ABS(TableEVE[[#This Row],[PP]]-TableEVE[[#This Row],[AP]])</f>
        <v>1.3809324712815005</v>
      </c>
    </row>
    <row r="12" spans="1:9" x14ac:dyDescent="0.2">
      <c r="A12" t="s">
        <v>82</v>
      </c>
      <c r="B12">
        <v>23.039940455377259</v>
      </c>
      <c r="C12">
        <v>26.666666666666671</v>
      </c>
      <c r="D12">
        <f>TableEVE[[#This Row],[ARIMAPP]]*$I$2+TableEVE[[#This Row],[LSTMPP]]*$I$3</f>
        <v>27.814918261837427</v>
      </c>
      <c r="E12">
        <v>31</v>
      </c>
      <c r="F12">
        <f>ABS(TableEVE[[#This Row],[PP]]-TableEVE[[#This Row],[AP]])</f>
        <v>3.1850817381625731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2024-03-08T17:32:59Z</dcterms:created>
  <dcterms:modified xsi:type="dcterms:W3CDTF">2024-03-08T18:05:20Z</dcterms:modified>
</cp:coreProperties>
</file>