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2BF0E580-D93E-8744-B6A8-548E5B6CBA36}" xr6:coauthVersionLast="47" xr6:coauthVersionMax="47" xr10:uidLastSave="{00000000-0000-0000-0000-000000000000}"/>
  <bookViews>
    <workbookView xWindow="240" yWindow="760" windowWidth="22440" windowHeight="13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6" i="1" l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95" i="1"/>
  <c r="AH95" i="1"/>
  <c r="AI140" i="1"/>
  <c r="AH140" i="1"/>
  <c r="AI139" i="1"/>
  <c r="AH139" i="1"/>
  <c r="AI138" i="1"/>
  <c r="AH138" i="1"/>
  <c r="AI137" i="1"/>
  <c r="AH137" i="1"/>
  <c r="AI136" i="1"/>
  <c r="AH136" i="1"/>
  <c r="AI97" i="1"/>
  <c r="AH97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28" i="1"/>
  <c r="AH28" i="1"/>
  <c r="AI32" i="1"/>
  <c r="AH32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8" i="1"/>
  <c r="AH8" i="1"/>
  <c r="AI24" i="1"/>
  <c r="AH24" i="1"/>
  <c r="AI96" i="1"/>
  <c r="AH96" i="1"/>
  <c r="AI98" i="1"/>
  <c r="AH98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135" i="1"/>
  <c r="AH135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141" i="1"/>
  <c r="AH141" i="1"/>
  <c r="AO31" i="1"/>
  <c r="AI31" i="1"/>
  <c r="AH31" i="1"/>
  <c r="AO30" i="1"/>
  <c r="AI30" i="1"/>
  <c r="AH30" i="1"/>
  <c r="AO29" i="1"/>
  <c r="AI29" i="1"/>
  <c r="AH29" i="1"/>
  <c r="AO28" i="1"/>
  <c r="AI5" i="1"/>
  <c r="AH5" i="1"/>
  <c r="AO27" i="1"/>
  <c r="AI27" i="1"/>
  <c r="AH27" i="1"/>
  <c r="AO26" i="1"/>
  <c r="AI26" i="1"/>
  <c r="AH26" i="1"/>
  <c r="AO25" i="1"/>
  <c r="AI25" i="1"/>
  <c r="AH25" i="1"/>
  <c r="AO24" i="1"/>
  <c r="AI66" i="1"/>
  <c r="AH66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11" i="1"/>
  <c r="AH11" i="1"/>
  <c r="AI10" i="1"/>
  <c r="AH10" i="1"/>
  <c r="AO9" i="1"/>
  <c r="AI9" i="1"/>
  <c r="AH9" i="1"/>
  <c r="AO8" i="1"/>
  <c r="AI109" i="1"/>
  <c r="AH109" i="1"/>
  <c r="AO7" i="1"/>
  <c r="AI7" i="1"/>
  <c r="AH7" i="1"/>
  <c r="AO6" i="1"/>
  <c r="AI6" i="1"/>
  <c r="AH6" i="1"/>
  <c r="AI108" i="1"/>
  <c r="AH108" i="1"/>
  <c r="AO4" i="1"/>
  <c r="AI4" i="1"/>
  <c r="AH4" i="1"/>
  <c r="AI3" i="1"/>
  <c r="AH3" i="1"/>
  <c r="AI2" i="1"/>
  <c r="AH2" i="1"/>
  <c r="AO2" i="1" s="1"/>
  <c r="AO16" i="1" l="1"/>
</calcChain>
</file>

<file path=xl/sharedStrings.xml><?xml version="1.0" encoding="utf-8"?>
<sst xmlns="http://schemas.openxmlformats.org/spreadsheetml/2006/main" count="844" uniqueCount="367">
  <si>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</si>
  <si>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</si>
  <si>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</si>
  <si>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</si>
  <si>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</si>
  <si>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</si>
  <si>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</si>
  <si>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</si>
  <si>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</si>
  <si>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</si>
  <si>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</si>
  <si>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</si>
  <si>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</si>
  <si>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</si>
  <si>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</si>
  <si>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</si>
  <si>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</si>
  <si>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</si>
  <si>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</si>
  <si>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</si>
  <si>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</si>
  <si>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</si>
  <si>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</si>
  <si>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</si>
  <si>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</si>
  <si>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</si>
  <si>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</si>
  <si>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</si>
  <si>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</si>
  <si>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</si>
  <si>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</si>
  <si>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</si>
  <si>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</si>
  <si>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</si>
  <si>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</si>
  <si>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</si>
  <si>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</si>
  <si>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</si>
  <si>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</si>
  <si>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</si>
  <si>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</si>
  <si>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</si>
  <si>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</si>
  <si>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</si>
  <si>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</si>
  <si>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</si>
  <si>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</si>
  <si>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</si>
  <si>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</si>
  <si>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</si>
  <si>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</si>
  <si>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</si>
  <si>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</si>
  <si>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</si>
  <si>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</si>
  <si>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</si>
  <si>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</si>
  <si>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</si>
  <si>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</si>
  <si>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</si>
  <si>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</si>
  <si>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</si>
  <si>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</si>
  <si>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</si>
  <si>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</si>
  <si>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</si>
  <si>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</si>
  <si>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</si>
  <si>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</si>
  <si>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</si>
  <si>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</si>
  <si>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</si>
  <si>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</si>
  <si>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</si>
  <si>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</si>
  <si>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</si>
  <si>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</si>
  <si>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</si>
  <si>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</si>
  <si>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</si>
  <si>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</si>
  <si>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</si>
  <si>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</si>
  <si>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</si>
  <si>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</si>
  <si>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</si>
  <si>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</si>
  <si>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</si>
  <si>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</si>
  <si>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</si>
  <si>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</si>
  <si>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</si>
  <si>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</si>
  <si>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</si>
  <si>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</si>
  <si>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</si>
  <si>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</si>
  <si>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</si>
  <si>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</si>
  <si>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</si>
  <si>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</si>
  <si>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</si>
  <si>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Illia</t>
  </si>
  <si>
    <t>Zabarnyi</t>
  </si>
  <si>
    <t>Milos</t>
  </si>
  <si>
    <t>Kerkez</t>
  </si>
  <si>
    <t>Nathan</t>
  </si>
  <si>
    <t>Collins</t>
  </si>
  <si>
    <t>Mark</t>
  </si>
  <si>
    <t>Flekken</t>
  </si>
  <si>
    <t>Vitaly</t>
  </si>
  <si>
    <t>Janelt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</si>
  <si>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</si>
  <si>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</si>
  <si>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</si>
  <si>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</si>
  <si>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</si>
  <si>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</si>
  <si>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</si>
  <si>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</si>
  <si>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</si>
  <si>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Neal</t>
  </si>
  <si>
    <t>Maupay</t>
  </si>
  <si>
    <t>Simon</t>
  </si>
  <si>
    <t>Adingra</t>
  </si>
  <si>
    <t>Facundo</t>
  </si>
  <si>
    <t>Buonanotte</t>
  </si>
  <si>
    <t>Dunk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</si>
  <si>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</si>
  <si>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</si>
  <si>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</si>
  <si>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</si>
  <si>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</si>
  <si>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</si>
  <si>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</si>
  <si>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</si>
  <si>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</si>
  <si>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Danny</t>
  </si>
  <si>
    <t>Welbeck</t>
  </si>
  <si>
    <t>Josh</t>
  </si>
  <si>
    <t>Brownhill</t>
  </si>
  <si>
    <t>Levi</t>
  </si>
  <si>
    <t>Colwill</t>
  </si>
  <si>
    <t>Enzo</t>
  </si>
  <si>
    <t>Fernández</t>
  </si>
  <si>
    <t>Conor</t>
  </si>
  <si>
    <t>Gallagher</t>
  </si>
  <si>
    <t>Malo</t>
  </si>
  <si>
    <t>Gusto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</si>
  <si>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</si>
  <si>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</si>
  <si>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</si>
  <si>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</si>
  <si>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</si>
  <si>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</si>
  <si>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</si>
  <si>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</si>
  <si>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</si>
  <si>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</si>
  <si>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</si>
  <si>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</si>
  <si>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Jordan</t>
  </si>
  <si>
    <t>Ayew</t>
  </si>
  <si>
    <t>J.Ayew</t>
  </si>
  <si>
    <t>Eberechi</t>
  </si>
  <si>
    <t>Eze</t>
  </si>
  <si>
    <t>Jefferson</t>
  </si>
  <si>
    <t>Lerma Solís</t>
  </si>
  <si>
    <t>Lerma</t>
  </si>
  <si>
    <t>Jean-Philippe</t>
  </si>
  <si>
    <t>Mateta</t>
  </si>
  <si>
    <t>Jarrad</t>
  </si>
  <si>
    <t>Branthwaite</t>
  </si>
  <si>
    <t>Calvert-Lewin</t>
  </si>
  <si>
    <t>Abdoulaye</t>
  </si>
  <si>
    <t>Doucouré</t>
  </si>
  <si>
    <t>A.Doucoure</t>
  </si>
  <si>
    <t>James</t>
  </si>
  <si>
    <t>Garner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</si>
  <si>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</si>
  <si>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</si>
  <si>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</si>
  <si>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</si>
  <si>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</si>
  <si>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</si>
  <si>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</si>
  <si>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</si>
  <si>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Ashley</t>
  </si>
  <si>
    <t>Young</t>
  </si>
  <si>
    <t>Jack</t>
  </si>
  <si>
    <t>Harrison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</si>
  <si>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</si>
  <si>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</si>
  <si>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</si>
  <si>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</si>
  <si>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</si>
  <si>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</si>
  <si>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</si>
  <si>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</si>
  <si>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</si>
  <si>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</si>
  <si>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</si>
  <si>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</si>
  <si>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</si>
  <si>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Harry</t>
  </si>
  <si>
    <t>Wilson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</si>
  <si>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</si>
  <si>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</si>
  <si>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</si>
  <si>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</si>
  <si>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</si>
  <si>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</si>
  <si>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</si>
  <si>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</si>
  <si>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</si>
  <si>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</si>
  <si>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</si>
  <si>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</si>
  <si>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</si>
  <si>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</si>
  <si>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</si>
  <si>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</si>
  <si>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</si>
  <si>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</si>
  <si>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Cody</t>
  </si>
  <si>
    <t>Gakpo</t>
  </si>
  <si>
    <t>Joe</t>
  </si>
  <si>
    <t>Gomez</t>
  </si>
  <si>
    <t>Curtis</t>
  </si>
  <si>
    <t>Jones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</si>
  <si>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</si>
  <si>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</si>
  <si>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</si>
  <si>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</si>
  <si>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</si>
  <si>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</si>
  <si>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</si>
  <si>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</si>
  <si>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</si>
  <si>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</si>
  <si>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</si>
  <si>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</si>
  <si>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</si>
  <si>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</si>
  <si>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</si>
  <si>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</si>
  <si>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</si>
  <si>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</si>
  <si>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</si>
  <si>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</si>
  <si>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</si>
  <si>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</si>
  <si>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</si>
  <si>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</si>
  <si>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</si>
  <si>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</si>
  <si>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</si>
  <si>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</si>
  <si>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</si>
  <si>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</si>
  <si>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</si>
  <si>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</si>
  <si>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</si>
  <si>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</si>
  <si>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</si>
  <si>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</si>
  <si>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</si>
  <si>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</si>
  <si>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</si>
  <si>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</si>
  <si>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</si>
  <si>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</si>
  <si>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</si>
  <si>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</si>
  <si>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</si>
  <si>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</si>
  <si>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</si>
  <si>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</si>
  <si>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</si>
  <si>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</si>
  <si>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</si>
  <si>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</si>
  <si>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</si>
  <si>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Scott</t>
  </si>
  <si>
    <t>McTominay</t>
  </si>
  <si>
    <t>Marcus</t>
  </si>
  <si>
    <t>Rashford</t>
  </si>
  <si>
    <t>André</t>
  </si>
  <si>
    <t>Rasmus</t>
  </si>
  <si>
    <t>Højlund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</si>
  <si>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</si>
  <si>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</si>
  <si>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</si>
  <si>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</si>
  <si>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</si>
  <si>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</si>
  <si>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</si>
  <si>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</si>
  <si>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</si>
  <si>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</si>
  <si>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</si>
  <si>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</si>
  <si>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</si>
  <si>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</si>
  <si>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Elanga</t>
  </si>
  <si>
    <t>Morgan</t>
  </si>
  <si>
    <t>Gibbs-White</t>
  </si>
  <si>
    <t>Chris</t>
  </si>
  <si>
    <t>Wood</t>
  </si>
  <si>
    <t>Murillo</t>
  </si>
  <si>
    <t>Santiago Costa dos Santos</t>
  </si>
  <si>
    <t>Cameron</t>
  </si>
  <si>
    <t>Archer</t>
  </si>
  <si>
    <t>McAtee</t>
  </si>
  <si>
    <t>Vini</t>
  </si>
  <si>
    <t>de Souza Costa</t>
  </si>
  <si>
    <t>Vini Souza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</si>
  <si>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</si>
  <si>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</si>
  <si>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</si>
  <si>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</si>
  <si>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</si>
  <si>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</si>
  <si>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</si>
  <si>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</si>
  <si>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</si>
  <si>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</si>
  <si>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</si>
  <si>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</si>
  <si>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</si>
  <si>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</si>
  <si>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</si>
  <si>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</si>
  <si>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</si>
  <si>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</si>
  <si>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</si>
  <si>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</si>
  <si>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</si>
  <si>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</si>
  <si>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</si>
  <si>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</si>
  <si>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</si>
  <si>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</si>
  <si>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</si>
  <si>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</si>
  <si>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</si>
  <si>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</si>
  <si>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</si>
  <si>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</si>
  <si>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</si>
  <si>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</si>
  <si>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</si>
  <si>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</si>
  <si>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</si>
  <si>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</si>
  <si>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</si>
  <si>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</si>
  <si>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</si>
  <si>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</si>
  <si>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</si>
  <si>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</si>
  <si>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</si>
  <si>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Pablo</t>
  </si>
  <si>
    <t>Sarabia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</si>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</sst>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6" totalsRowShown="0">
  <autoFilter ref="A1:AL156" xr:uid="{00000000-0009-0000-0100-000001000000}">
    <filterColumn colId="37">
      <filters>
        <filter val="1"/>
      </filters>
    </filterColumn>
  </autoFilter>
  <sortState xmlns:xlrd2="http://schemas.microsoft.com/office/spreadsheetml/2017/richdata2" ref="A5:AL141">
    <sortCondition descending="1" ref="AI1:AI156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6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5.3</v>
      </c>
      <c r="AE2">
        <v>4</v>
      </c>
      <c r="AF2">
        <v>17.691566803440001</v>
      </c>
      <c r="AG2">
        <v>16.319111590089559</v>
      </c>
      <c r="AH2">
        <f>21.6161483657463*1</f>
        <v>21.616148365746302</v>
      </c>
      <c r="AI2">
        <f>6.07792330338803*1</f>
        <v>6.0779233033880304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342.7189120104307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13.405405405405411</v>
      </c>
      <c r="AG3">
        <v>12.99476957353499</v>
      </c>
      <c r="AH3">
        <f>16.6616709072562*1</f>
        <v>16.661670907256202</v>
      </c>
      <c r="AI3">
        <f>4.16541772681405*1</f>
        <v>4.1654177268140504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7.8</v>
      </c>
      <c r="AE4">
        <v>6</v>
      </c>
      <c r="AF4">
        <v>16.202531645569628</v>
      </c>
      <c r="AG4">
        <v>13.824</v>
      </c>
      <c r="AH4">
        <f>19.2933140397308*1</f>
        <v>19.293314039730799</v>
      </c>
      <c r="AI4">
        <f>4.8233285099327*1</f>
        <v>4.8233285099326997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101</v>
      </c>
      <c r="AP4">
        <v>101.8</v>
      </c>
    </row>
    <row r="5" spans="1:42" x14ac:dyDescent="0.2">
      <c r="A5" t="s">
        <v>100</v>
      </c>
      <c r="B5" t="s">
        <v>101</v>
      </c>
      <c r="C5" t="s">
        <v>101</v>
      </c>
      <c r="D5" t="s">
        <v>6</v>
      </c>
      <c r="E5">
        <v>0</v>
      </c>
      <c r="F5">
        <v>0</v>
      </c>
      <c r="G5">
        <v>0</v>
      </c>
      <c r="H5">
        <v>1</v>
      </c>
      <c r="I5" t="s">
        <v>13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7.1</v>
      </c>
      <c r="AE5">
        <v>102</v>
      </c>
      <c r="AF5">
        <v>26.154685909475688</v>
      </c>
      <c r="AG5">
        <v>14.358974358974359</v>
      </c>
      <c r="AH5">
        <f>33.7772653885306*1</f>
        <v>33.777265388530601</v>
      </c>
      <c r="AI5">
        <f>13.4180579605553*1</f>
        <v>13.4180579605553</v>
      </c>
      <c r="AJ5">
        <v>1</v>
      </c>
      <c r="AK5">
        <v>1</v>
      </c>
      <c r="AL5">
        <v>1</v>
      </c>
    </row>
    <row r="6" spans="1:42" hidden="1" x14ac:dyDescent="0.2">
      <c r="A6" t="s">
        <v>52</v>
      </c>
      <c r="B6" t="s">
        <v>53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8.5</v>
      </c>
      <c r="AE6">
        <v>12</v>
      </c>
      <c r="AF6">
        <v>22.475964210686481</v>
      </c>
      <c r="AG6">
        <v>18.344925690645901</v>
      </c>
      <c r="AH6">
        <f>26.3901719747401*1</f>
        <v>26.390171974740099</v>
      </c>
      <c r="AI6">
        <f>6.59754297023412*1</f>
        <v>6.5975429702341204</v>
      </c>
      <c r="AJ6">
        <v>1</v>
      </c>
      <c r="AK6">
        <v>0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9.1999999999999993</v>
      </c>
      <c r="AE7">
        <v>17</v>
      </c>
      <c r="AF7">
        <v>26.176666779408219</v>
      </c>
      <c r="AG7">
        <v>17.126778900718989</v>
      </c>
      <c r="AH7">
        <f>28.8326204381213*1</f>
        <v>28.8326204381213</v>
      </c>
      <c r="AI7">
        <f>7.42638097138528*1</f>
        <v>7.4263809713852798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247</v>
      </c>
      <c r="B8" t="s">
        <v>248</v>
      </c>
      <c r="C8" t="s">
        <v>248</v>
      </c>
      <c r="D8" t="s">
        <v>6</v>
      </c>
      <c r="E8">
        <v>0</v>
      </c>
      <c r="F8">
        <v>0</v>
      </c>
      <c r="G8">
        <v>0</v>
      </c>
      <c r="H8">
        <v>1</v>
      </c>
      <c r="I8" t="s">
        <v>22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5.0999999999999996</v>
      </c>
      <c r="AE8">
        <v>464</v>
      </c>
      <c r="AF8">
        <v>23.25</v>
      </c>
      <c r="AG8">
        <v>18.003884455419399</v>
      </c>
      <c r="AH8">
        <f>28.2530478656795*1</f>
        <v>28.253047865679498</v>
      </c>
      <c r="AI8">
        <f>9.42174647346162*1</f>
        <v>9.4217464734616208</v>
      </c>
      <c r="AJ8">
        <v>1</v>
      </c>
      <c r="AK8">
        <v>1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14.98126140437267</v>
      </c>
      <c r="AG9">
        <v>13.803278688524591</v>
      </c>
      <c r="AH9">
        <f>18.2975209541009*1</f>
        <v>18.2975209541009</v>
      </c>
      <c r="AI9">
        <f>4.22592964739051*1</f>
        <v>4.2259296473905099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5.6</v>
      </c>
      <c r="AE10">
        <v>23</v>
      </c>
      <c r="AF10">
        <v>16.590163934426229</v>
      </c>
      <c r="AG10">
        <v>14.35097002152971</v>
      </c>
      <c r="AH10">
        <f>19.8429837141357*1</f>
        <v>19.842983714135698</v>
      </c>
      <c r="AI10">
        <f>5.00612299456902*1</f>
        <v>5.0061229945690204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25</v>
      </c>
      <c r="AF11">
        <v>13.65137614678898</v>
      </c>
      <c r="AG11">
        <v>12.186046511627911</v>
      </c>
      <c r="AH11">
        <f>16.4973206860595*1</f>
        <v>16.497320686059499</v>
      </c>
      <c r="AI11">
        <f>4.12433017151488*1</f>
        <v>4.1243301715148801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64</v>
      </c>
      <c r="B12" t="s">
        <v>65</v>
      </c>
      <c r="C12" t="s">
        <v>66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26</v>
      </c>
      <c r="AF12">
        <v>16.641975308641982</v>
      </c>
      <c r="AG12">
        <v>15.30451930057504</v>
      </c>
      <c r="AH12">
        <f>20.3128823193601*1</f>
        <v>20.312882319360099</v>
      </c>
      <c r="AI12">
        <f>5.06334168917284*1</f>
        <v>5.06334168917284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</v>
      </c>
      <c r="AE13">
        <v>27</v>
      </c>
      <c r="AF13">
        <v>12.27429929627046</v>
      </c>
      <c r="AG13">
        <v>11.22784810126582</v>
      </c>
      <c r="AH13">
        <f>14.954840758937*1</f>
        <v>14.954840758936999</v>
      </c>
      <c r="AI13">
        <f>3.22792966628032*1</f>
        <v>3.2279296662803199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5.7</v>
      </c>
      <c r="AE14">
        <v>39</v>
      </c>
      <c r="AF14">
        <v>15.87837837837839</v>
      </c>
      <c r="AG14">
        <v>14.396551724137931</v>
      </c>
      <c r="AH14">
        <f>16.4776163759956*1</f>
        <v>16.477616375995598</v>
      </c>
      <c r="AI14">
        <f>3.29552327519912*1</f>
        <v>3.2955232751991201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72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47</v>
      </c>
      <c r="AF15">
        <v>13.00163372320598</v>
      </c>
      <c r="AG15">
        <v>17.194627207689201</v>
      </c>
      <c r="AH15">
        <f>16.9805899187073*1</f>
        <v>16.980589918707299</v>
      </c>
      <c r="AI15">
        <f>3.0811794323329*1</f>
        <v>3.0811794323328998</v>
      </c>
      <c r="AJ15">
        <v>1</v>
      </c>
      <c r="AK15">
        <v>0</v>
      </c>
      <c r="AL15">
        <v>0</v>
      </c>
    </row>
    <row r="16" spans="1:42" hidden="1" x14ac:dyDescent="0.2">
      <c r="A16" t="s">
        <v>73</v>
      </c>
      <c r="B16" t="s">
        <v>74</v>
      </c>
      <c r="C16" t="s">
        <v>73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5.7</v>
      </c>
      <c r="AE16">
        <v>48</v>
      </c>
      <c r="AF16">
        <v>24.857517050611179</v>
      </c>
      <c r="AG16">
        <v>13.84</v>
      </c>
      <c r="AH16">
        <f>20.1836780903588*1</f>
        <v>20.1836780903588</v>
      </c>
      <c r="AI16">
        <f>4.19497814648159*1</f>
        <v>4.1949781464815903</v>
      </c>
      <c r="AJ16">
        <v>1</v>
      </c>
      <c r="AK16">
        <v>0</v>
      </c>
      <c r="AL16">
        <v>0</v>
      </c>
      <c r="AN16" t="s">
        <v>10</v>
      </c>
      <c r="AO16">
        <f>AO2-AO14*5</f>
        <v>342.7189120104307</v>
      </c>
    </row>
    <row r="17" spans="1:42" hidden="1" x14ac:dyDescent="0.2">
      <c r="A17" t="s">
        <v>75</v>
      </c>
      <c r="B17" t="s">
        <v>76</v>
      </c>
      <c r="C17" t="s">
        <v>77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54</v>
      </c>
      <c r="AF17">
        <v>17.416666666666671</v>
      </c>
      <c r="AG17">
        <v>15.26595744680851</v>
      </c>
      <c r="AH17">
        <f>17.7350091325906*1</f>
        <v>17.735009132590601</v>
      </c>
      <c r="AI17">
        <f>3.54700182651812*1</f>
        <v>3.54700182651812</v>
      </c>
      <c r="AJ17">
        <v>1</v>
      </c>
      <c r="AK17">
        <v>0</v>
      </c>
      <c r="AL17">
        <v>0</v>
      </c>
    </row>
    <row r="18" spans="1:42" hidden="1" x14ac:dyDescent="0.2">
      <c r="A18" t="s">
        <v>78</v>
      </c>
      <c r="B18" t="s">
        <v>79</v>
      </c>
      <c r="C18" t="s">
        <v>79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5.4</v>
      </c>
      <c r="AE18">
        <v>55</v>
      </c>
      <c r="AF18">
        <v>15.26143790849672</v>
      </c>
      <c r="AG18">
        <v>14.834710743801651</v>
      </c>
      <c r="AH18">
        <f>16.4810153461795*1</f>
        <v>16.4810153461795</v>
      </c>
      <c r="AI18">
        <f>3.2962030692359*1</f>
        <v>3.2962030692358999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2</v>
      </c>
      <c r="AP18">
        <v>3</v>
      </c>
    </row>
    <row r="19" spans="1:42" hidden="1" x14ac:dyDescent="0.2">
      <c r="A19" t="s">
        <v>80</v>
      </c>
      <c r="B19" t="s">
        <v>81</v>
      </c>
      <c r="C19" t="s">
        <v>81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62</v>
      </c>
      <c r="AF19">
        <v>12.73320110824371</v>
      </c>
      <c r="AG19">
        <v>16.01503759398496</v>
      </c>
      <c r="AH19">
        <f>16.0979670512125*1</f>
        <v>16.0979670512125</v>
      </c>
      <c r="AI19">
        <f>3.2195934102425*1</f>
        <v>3.2195934102425001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82</v>
      </c>
      <c r="B20" t="s">
        <v>83</v>
      </c>
      <c r="C20" t="s">
        <v>83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</v>
      </c>
      <c r="AE20">
        <v>64</v>
      </c>
      <c r="AF20">
        <v>31.96119910454188</v>
      </c>
      <c r="AG20">
        <v>21.927240386245259</v>
      </c>
      <c r="AH20">
        <f>28.6178012749984*1</f>
        <v>28.617801274998399</v>
      </c>
      <c r="AI20">
        <f>5.72636958733686*1</f>
        <v>5.7263695873368601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2</v>
      </c>
      <c r="AP20">
        <v>3</v>
      </c>
    </row>
    <row r="21" spans="1:42" hidden="1" x14ac:dyDescent="0.2">
      <c r="A21" t="s">
        <v>84</v>
      </c>
      <c r="B21" t="s">
        <v>85</v>
      </c>
      <c r="C21" t="s">
        <v>84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4.5999999999999996</v>
      </c>
      <c r="AE21">
        <v>66</v>
      </c>
      <c r="AF21">
        <v>16.578947368421058</v>
      </c>
      <c r="AG21">
        <v>15.318633485908769</v>
      </c>
      <c r="AH21">
        <f>17.3897328834022*1</f>
        <v>17.3897328834022</v>
      </c>
      <c r="AI21">
        <f>3.49607259920131*1</f>
        <v>3.4960725992013102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1</v>
      </c>
      <c r="AP21">
        <v>3</v>
      </c>
    </row>
    <row r="22" spans="1:42" hidden="1" x14ac:dyDescent="0.2">
      <c r="A22" t="s">
        <v>86</v>
      </c>
      <c r="B22" t="s">
        <v>87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83</v>
      </c>
      <c r="AF22">
        <v>11.95819337013967</v>
      </c>
      <c r="AG22">
        <v>11.485507246376811</v>
      </c>
      <c r="AH22">
        <f>15.752035888986*1</f>
        <v>15.752035888986001</v>
      </c>
      <c r="AI22">
        <f>8.10374860391518*1</f>
        <v>8.1037486039151805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0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4.5999999999999996</v>
      </c>
      <c r="AE23">
        <v>89</v>
      </c>
      <c r="AF23">
        <v>14</v>
      </c>
      <c r="AG23">
        <v>14.83333333333333</v>
      </c>
      <c r="AH23">
        <f>18.5286304653201*1</f>
        <v>18.528630465320099</v>
      </c>
      <c r="AI23">
        <f>7.41145218612806*1</f>
        <v>7.4114521861280602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x14ac:dyDescent="0.2">
      <c r="A24" t="s">
        <v>245</v>
      </c>
      <c r="B24" t="s">
        <v>246</v>
      </c>
      <c r="C24" t="s">
        <v>246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22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4.7</v>
      </c>
      <c r="AE24">
        <v>459</v>
      </c>
      <c r="AF24">
        <v>18.272270803523849</v>
      </c>
      <c r="AG24">
        <v>17.82352941176471</v>
      </c>
      <c r="AH24">
        <f>27.970019409319*1</f>
        <v>27.970019409319001</v>
      </c>
      <c r="AI24">
        <f>9.32333955654715*1</f>
        <v>9.3233395565471504</v>
      </c>
      <c r="AJ24">
        <v>1</v>
      </c>
      <c r="AK24">
        <v>1</v>
      </c>
      <c r="AL24">
        <v>1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99</v>
      </c>
      <c r="AF25">
        <v>13.387096774193539</v>
      </c>
      <c r="AG25">
        <v>13.4375</v>
      </c>
      <c r="AH25">
        <f>17.6706352562564*1</f>
        <v>17.6706352562564</v>
      </c>
      <c r="AI25">
        <f>7.06825410250256*1</f>
        <v>7.0682541025025598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96</v>
      </c>
      <c r="B26" t="s">
        <v>97</v>
      </c>
      <c r="C26" t="s">
        <v>97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4.5999999999999996</v>
      </c>
      <c r="AE26">
        <v>100</v>
      </c>
      <c r="AF26">
        <v>12.966780209033089</v>
      </c>
      <c r="AG26">
        <v>12.625</v>
      </c>
      <c r="AH26">
        <f>17.0913205679515*1</f>
        <v>17.091320567951499</v>
      </c>
      <c r="AI26">
        <f>6.85294271821433*1</f>
        <v>6.8529427182143303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1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101</v>
      </c>
      <c r="AF27">
        <v>11.584158415841589</v>
      </c>
      <c r="AG27">
        <v>13.1875</v>
      </c>
      <c r="AH27">
        <f>15.3886624766967*1</f>
        <v>15.3886624766967</v>
      </c>
      <c r="AI27">
        <f>6.15546499067868*1</f>
        <v>6.1554649906786798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x14ac:dyDescent="0.2">
      <c r="A28" t="s">
        <v>270</v>
      </c>
      <c r="B28" t="s">
        <v>271</v>
      </c>
      <c r="C28" t="s">
        <v>271</v>
      </c>
      <c r="D28" t="s">
        <v>6</v>
      </c>
      <c r="E28">
        <v>0</v>
      </c>
      <c r="F28">
        <v>0</v>
      </c>
      <c r="G28">
        <v>0</v>
      </c>
      <c r="H28">
        <v>1</v>
      </c>
      <c r="I28" t="s">
        <v>23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14.5</v>
      </c>
      <c r="AE28">
        <v>509</v>
      </c>
      <c r="AF28">
        <v>31.52941176470587</v>
      </c>
      <c r="AG28">
        <v>29.44754760265095</v>
      </c>
      <c r="AH28">
        <f>33.2683032027212*1</f>
        <v>33.268303202721199</v>
      </c>
      <c r="AI28">
        <f>8.31707579945211*1</f>
        <v>8.3170757994521107</v>
      </c>
      <c r="AJ28">
        <v>1</v>
      </c>
      <c r="AK28">
        <v>1</v>
      </c>
      <c r="AL28">
        <v>1</v>
      </c>
      <c r="AN28" t="s">
        <v>21</v>
      </c>
      <c r="AO28">
        <f>SUMPRODUCT(Table1[Selected],Table1[LIV])</f>
        <v>1</v>
      </c>
      <c r="AP28">
        <v>3</v>
      </c>
    </row>
    <row r="29" spans="1:42" hidden="1" x14ac:dyDescent="0.2">
      <c r="A29" t="s">
        <v>102</v>
      </c>
      <c r="B29" t="s">
        <v>103</v>
      </c>
      <c r="C29" t="s">
        <v>103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4.4000000000000004</v>
      </c>
      <c r="AE29">
        <v>106</v>
      </c>
      <c r="AF29">
        <v>9.9999999999999982</v>
      </c>
      <c r="AG29">
        <v>12.28260869565217</v>
      </c>
      <c r="AH29">
        <f>13.3406058244844*1</f>
        <v>13.340605824484401</v>
      </c>
      <c r="AI29">
        <f>5.33624232979378*1</f>
        <v>5.3362423297937802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2</v>
      </c>
      <c r="AP29">
        <v>3</v>
      </c>
    </row>
    <row r="30" spans="1:42" hidden="1" x14ac:dyDescent="0.2">
      <c r="A30" t="s">
        <v>104</v>
      </c>
      <c r="B30" t="s">
        <v>105</v>
      </c>
      <c r="C30" t="s">
        <v>105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4.4000000000000004</v>
      </c>
      <c r="AE30">
        <v>107</v>
      </c>
      <c r="AF30">
        <v>10.52631578947369</v>
      </c>
      <c r="AG30">
        <v>12.25293354831131</v>
      </c>
      <c r="AH30">
        <f>14.0003210261356*1</f>
        <v>14.0003210261356</v>
      </c>
      <c r="AI30">
        <f>5.60135023253065*1</f>
        <v>5.6013502325306499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3</v>
      </c>
      <c r="AP30">
        <v>3</v>
      </c>
    </row>
    <row r="31" spans="1:42" hidden="1" x14ac:dyDescent="0.2">
      <c r="A31" t="s">
        <v>106</v>
      </c>
      <c r="B31" t="s">
        <v>107</v>
      </c>
      <c r="C31" t="s">
        <v>107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124</v>
      </c>
      <c r="AF31">
        <v>11.953125</v>
      </c>
      <c r="AG31">
        <v>12.7</v>
      </c>
      <c r="AH31">
        <f>11.7959759304502*1</f>
        <v>11.795975930450201</v>
      </c>
      <c r="AI31">
        <f>2.35919518609005*1</f>
        <v>2.3591951860900502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x14ac:dyDescent="0.2">
      <c r="A32" t="s">
        <v>268</v>
      </c>
      <c r="B32" t="s">
        <v>269</v>
      </c>
      <c r="C32" t="s">
        <v>269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23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8.1999999999999993</v>
      </c>
      <c r="AE32">
        <v>507</v>
      </c>
      <c r="AF32">
        <v>25.61993362269882</v>
      </c>
      <c r="AG32">
        <v>13.83928571428571</v>
      </c>
      <c r="AH32">
        <f>27.0329088466965*1</f>
        <v>27.0329088466965</v>
      </c>
      <c r="AI32">
        <f>7.72309893865912*1</f>
        <v>7.7230989386591196</v>
      </c>
      <c r="AJ32">
        <v>1</v>
      </c>
      <c r="AK32">
        <v>1</v>
      </c>
      <c r="AL32">
        <v>1</v>
      </c>
      <c r="AN32" t="s">
        <v>25</v>
      </c>
      <c r="AO32">
        <f>SUMPRODUCT(Table1[Selected],Table1[NEW])</f>
        <v>0</v>
      </c>
      <c r="AP32">
        <v>3</v>
      </c>
    </row>
    <row r="33" spans="1:42" hidden="1" x14ac:dyDescent="0.2">
      <c r="A33" t="s">
        <v>110</v>
      </c>
      <c r="B33" t="s">
        <v>111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5.3</v>
      </c>
      <c r="AE33">
        <v>133</v>
      </c>
      <c r="AF33">
        <v>11.98470559673788</v>
      </c>
      <c r="AG33">
        <v>13.92349418889161</v>
      </c>
      <c r="AH33">
        <f>12.9323781312417*1</f>
        <v>12.9323781312417</v>
      </c>
      <c r="AI33">
        <f>2.58646851517178*1</f>
        <v>2.5864685151717799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5.3</v>
      </c>
      <c r="AE34">
        <v>138</v>
      </c>
      <c r="AF34">
        <v>14.67105263157895</v>
      </c>
      <c r="AG34">
        <v>15.194042749308309</v>
      </c>
      <c r="AH34">
        <f>14.1124852420993*1</f>
        <v>14.1124852420993</v>
      </c>
      <c r="AI34">
        <f>2.82249704841991*1</f>
        <v>2.8224970484199101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140</v>
      </c>
      <c r="AF35">
        <v>15.370370370370379</v>
      </c>
      <c r="AG35">
        <v>15.078125</v>
      </c>
      <c r="AH35">
        <f>14.0048188686835*1</f>
        <v>14.0048188686835</v>
      </c>
      <c r="AI35">
        <f>2.80096377373671*1</f>
        <v>2.8009637737367101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2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118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4.4000000000000004</v>
      </c>
      <c r="AE36">
        <v>141</v>
      </c>
      <c r="AF36">
        <v>10.16666666666667</v>
      </c>
      <c r="AG36">
        <v>12.12765957446809</v>
      </c>
      <c r="AH36">
        <f>11.2643764073932*1</f>
        <v>11.2643764073932</v>
      </c>
      <c r="AI36">
        <f>2.25287528147864*1</f>
        <v>2.2528752814786399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5.6</v>
      </c>
      <c r="AE37">
        <v>146</v>
      </c>
      <c r="AF37">
        <v>16.111735921554668</v>
      </c>
      <c r="AG37">
        <v>15.03731343283582</v>
      </c>
      <c r="AH37">
        <f>13.9669123941213*1</f>
        <v>13.9669123941213</v>
      </c>
      <c r="AI37">
        <f>2.79338248219042*1</f>
        <v>2.7933824821904198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0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6</v>
      </c>
      <c r="E38">
        <v>0</v>
      </c>
      <c r="F38">
        <v>0</v>
      </c>
      <c r="G38">
        <v>0</v>
      </c>
      <c r="H38">
        <v>1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149</v>
      </c>
      <c r="AF38">
        <v>12.49744548798436</v>
      </c>
      <c r="AG38">
        <v>14.870689655172409</v>
      </c>
      <c r="AH38">
        <f>13.8121493835017*1</f>
        <v>13.8121493835017</v>
      </c>
      <c r="AI38">
        <f>2.76242987670034*1</f>
        <v>2.7624298767003399</v>
      </c>
      <c r="AJ38">
        <v>1</v>
      </c>
      <c r="AK38">
        <v>0</v>
      </c>
      <c r="AL38">
        <v>0</v>
      </c>
    </row>
    <row r="39" spans="1:42" hidden="1" x14ac:dyDescent="0.2">
      <c r="A39" t="s">
        <v>123</v>
      </c>
      <c r="B39" t="s">
        <v>124</v>
      </c>
      <c r="C39" t="s">
        <v>124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160</v>
      </c>
      <c r="AF39">
        <v>11.58385628595574</v>
      </c>
      <c r="AG39">
        <v>13.44165742811556</v>
      </c>
      <c r="AH39">
        <f>15.1069669841233*1</f>
        <v>15.1069669841233</v>
      </c>
      <c r="AI39">
        <f>0.0305870453138632*1</f>
        <v>3.05870453138632E-2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126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4.7</v>
      </c>
      <c r="AE40">
        <v>163</v>
      </c>
      <c r="AF40">
        <v>9.1428571428571423</v>
      </c>
      <c r="AG40">
        <v>9.1428571428571423</v>
      </c>
      <c r="AH40">
        <f>11.3259433334857*1</f>
        <v>11.3259433334857</v>
      </c>
      <c r="AI40">
        <f>2.83148583337142*1</f>
        <v>2.8314858333714201</v>
      </c>
      <c r="AJ40">
        <v>1</v>
      </c>
      <c r="AK40">
        <v>0</v>
      </c>
      <c r="AL40">
        <v>0</v>
      </c>
    </row>
    <row r="41" spans="1:42" hidden="1" x14ac:dyDescent="0.2">
      <c r="A41" t="s">
        <v>86</v>
      </c>
      <c r="B41" t="s">
        <v>127</v>
      </c>
      <c r="C41" t="s">
        <v>127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5.0999999999999996</v>
      </c>
      <c r="AE41">
        <v>166</v>
      </c>
      <c r="AF41">
        <v>12.52747252747252</v>
      </c>
      <c r="AG41">
        <v>12.33333333333333</v>
      </c>
      <c r="AH41">
        <f>15.4395960831016*1</f>
        <v>15.4395960831016</v>
      </c>
      <c r="AI41">
        <f>3.85989902077542*1</f>
        <v>3.85989902077542</v>
      </c>
      <c r="AJ41">
        <v>1</v>
      </c>
      <c r="AK41">
        <v>0</v>
      </c>
      <c r="AL41">
        <v>0</v>
      </c>
    </row>
    <row r="42" spans="1:42" hidden="1" x14ac:dyDescent="0.2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4.9000000000000004</v>
      </c>
      <c r="AE42">
        <v>170</v>
      </c>
      <c r="AF42">
        <v>7.7912411457770876</v>
      </c>
      <c r="AG42">
        <v>9.8867924528301891</v>
      </c>
      <c r="AH42">
        <f>10.5056686234013*1</f>
        <v>10.5056686234013</v>
      </c>
      <c r="AI42">
        <f>2.62977510361756*1</f>
        <v>2.6297751036175598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132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6.6</v>
      </c>
      <c r="AE43">
        <v>171</v>
      </c>
      <c r="AF43">
        <v>17.843465151963741</v>
      </c>
      <c r="AG43">
        <v>13.382388098982259</v>
      </c>
      <c r="AH43">
        <f>20.2858603941425*1</f>
        <v>20.2858603941425</v>
      </c>
      <c r="AI43">
        <f>5.07146509543094*1</f>
        <v>5.0714650954309404</v>
      </c>
      <c r="AJ43">
        <v>1</v>
      </c>
      <c r="AK43">
        <v>0</v>
      </c>
      <c r="AL43">
        <v>0</v>
      </c>
    </row>
    <row r="44" spans="1:42" hidden="1" x14ac:dyDescent="0.2">
      <c r="A44" t="s">
        <v>133</v>
      </c>
      <c r="B44" t="s">
        <v>134</v>
      </c>
      <c r="C44" t="s">
        <v>133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5.2</v>
      </c>
      <c r="AE44">
        <v>172</v>
      </c>
      <c r="AF44">
        <v>20.639969709864619</v>
      </c>
      <c r="AG44">
        <v>10.195121951219511</v>
      </c>
      <c r="AH44">
        <f>21.3113246841843*1</f>
        <v>21.311324684184299</v>
      </c>
      <c r="AI44">
        <f>2.86776638458295*1</f>
        <v>2.86776638458295</v>
      </c>
      <c r="AJ44">
        <v>1</v>
      </c>
      <c r="AK44">
        <v>0</v>
      </c>
      <c r="AL44">
        <v>0</v>
      </c>
    </row>
    <row r="45" spans="1:42" hidden="1" x14ac:dyDescent="0.2">
      <c r="A45" t="s">
        <v>135</v>
      </c>
      <c r="B45" t="s">
        <v>136</v>
      </c>
      <c r="C45" t="s">
        <v>136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6.4</v>
      </c>
      <c r="AE45">
        <v>180</v>
      </c>
      <c r="AF45">
        <v>9.9203024090473733</v>
      </c>
      <c r="AG45">
        <v>17.92827462963384</v>
      </c>
      <c r="AH45">
        <f>15.552792708714*1</f>
        <v>15.552792708714</v>
      </c>
      <c r="AI45">
        <f>2.61244681608701*1</f>
        <v>2.6124468160870098</v>
      </c>
      <c r="AJ45">
        <v>1</v>
      </c>
      <c r="AK45">
        <v>0</v>
      </c>
      <c r="AL45">
        <v>0</v>
      </c>
    </row>
    <row r="46" spans="1:42" hidden="1" x14ac:dyDescent="0.2">
      <c r="A46" t="s">
        <v>137</v>
      </c>
      <c r="B46" t="s">
        <v>138</v>
      </c>
      <c r="C46" t="s">
        <v>138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5.7</v>
      </c>
      <c r="AE46">
        <v>190</v>
      </c>
      <c r="AF46">
        <v>12.73497459701789</v>
      </c>
      <c r="AG46">
        <v>13.653998067424981</v>
      </c>
      <c r="AH46">
        <f>16.1503306638971*1</f>
        <v>16.150330663897101</v>
      </c>
      <c r="AI46">
        <f>4.20065570338734*1</f>
        <v>4.2006557033873397</v>
      </c>
      <c r="AJ46">
        <v>1</v>
      </c>
      <c r="AK46">
        <v>0</v>
      </c>
      <c r="AL46">
        <v>0</v>
      </c>
    </row>
    <row r="47" spans="1:42" hidden="1" x14ac:dyDescent="0.2">
      <c r="A47" t="s">
        <v>139</v>
      </c>
      <c r="B47" t="s">
        <v>140</v>
      </c>
      <c r="C47" t="s">
        <v>140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4.7</v>
      </c>
      <c r="AE47">
        <v>209</v>
      </c>
      <c r="AF47">
        <v>12.45773387937005</v>
      </c>
      <c r="AG47">
        <v>13.108108108108111</v>
      </c>
      <c r="AH47">
        <f>11.7693039869446*1</f>
        <v>11.7693039869446</v>
      </c>
      <c r="AI47">
        <f>2.58862683953856*1</f>
        <v>2.5886268395385601</v>
      </c>
      <c r="AJ47">
        <v>1</v>
      </c>
      <c r="AK47">
        <v>0</v>
      </c>
      <c r="AL47">
        <v>0</v>
      </c>
    </row>
    <row r="48" spans="1:42" hidden="1" x14ac:dyDescent="0.2">
      <c r="A48" t="s">
        <v>141</v>
      </c>
      <c r="B48" t="s">
        <v>142</v>
      </c>
      <c r="C48" t="s">
        <v>142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4.7</v>
      </c>
      <c r="AE48">
        <v>261</v>
      </c>
      <c r="AF48">
        <v>10.76923076923077</v>
      </c>
      <c r="AG48">
        <v>11.33333333333333</v>
      </c>
      <c r="AH48">
        <f>11.183368138923*1</f>
        <v>11.183368138923001</v>
      </c>
      <c r="AI48">
        <f>2.79584203473076*1</f>
        <v>2.79584203473076</v>
      </c>
      <c r="AJ48">
        <v>1</v>
      </c>
      <c r="AK48">
        <v>0</v>
      </c>
      <c r="AL48">
        <v>0</v>
      </c>
    </row>
    <row r="49" spans="1:38" hidden="1" x14ac:dyDescent="0.2">
      <c r="A49" t="s">
        <v>143</v>
      </c>
      <c r="B49" t="s">
        <v>144</v>
      </c>
      <c r="C49" t="s">
        <v>143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263</v>
      </c>
      <c r="AF49">
        <v>10.461538461538471</v>
      </c>
      <c r="AG49">
        <v>11.4</v>
      </c>
      <c r="AH49">
        <f>10.8638433349538*1</f>
        <v>10.863843334953801</v>
      </c>
      <c r="AI49">
        <f>2.71596083373846*1</f>
        <v>2.71596083373846</v>
      </c>
      <c r="AJ49">
        <v>1</v>
      </c>
      <c r="AK49">
        <v>0</v>
      </c>
      <c r="AL49">
        <v>0</v>
      </c>
    </row>
    <row r="50" spans="1:38" hidden="1" x14ac:dyDescent="0.2">
      <c r="A50" t="s">
        <v>145</v>
      </c>
      <c r="B50" t="s">
        <v>146</v>
      </c>
      <c r="C50" t="s">
        <v>146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5.4</v>
      </c>
      <c r="AE50">
        <v>265</v>
      </c>
      <c r="AF50">
        <v>12.23425444895369</v>
      </c>
      <c r="AG50">
        <v>11.297872340425529</v>
      </c>
      <c r="AH50">
        <f>12.7047302021627*1</f>
        <v>12.7047302021627</v>
      </c>
      <c r="AI50">
        <f>4.56883491139825*1</f>
        <v>4.56883491139825</v>
      </c>
      <c r="AJ50">
        <v>1</v>
      </c>
      <c r="AK50">
        <v>0</v>
      </c>
      <c r="AL50">
        <v>0</v>
      </c>
    </row>
    <row r="51" spans="1:38" hidden="1" x14ac:dyDescent="0.2">
      <c r="A51" t="s">
        <v>147</v>
      </c>
      <c r="B51" t="s">
        <v>148</v>
      </c>
      <c r="C51" t="s">
        <v>148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4.2</v>
      </c>
      <c r="AE51">
        <v>266</v>
      </c>
      <c r="AF51">
        <v>10.94736842105263</v>
      </c>
      <c r="AG51">
        <v>11.428571428571431</v>
      </c>
      <c r="AH51">
        <f>11.3683561833263*1</f>
        <v>11.3683561833263</v>
      </c>
      <c r="AI51">
        <f>2.84208904583157*1</f>
        <v>2.8420890458315702</v>
      </c>
      <c r="AJ51">
        <v>1</v>
      </c>
      <c r="AK51">
        <v>0</v>
      </c>
      <c r="AL51">
        <v>0</v>
      </c>
    </row>
    <row r="52" spans="1:38" hidden="1" x14ac:dyDescent="0.2">
      <c r="A52" t="s">
        <v>149</v>
      </c>
      <c r="B52" t="s">
        <v>150</v>
      </c>
      <c r="C52" t="s">
        <v>150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6.3</v>
      </c>
      <c r="AE52">
        <v>270</v>
      </c>
      <c r="AF52">
        <v>10.437169657721091</v>
      </c>
      <c r="AG52">
        <v>11.04</v>
      </c>
      <c r="AH52">
        <f>10.83853741385*1</f>
        <v>10.83853741385</v>
      </c>
      <c r="AI52">
        <f>3.0247765122301*1</f>
        <v>3.0247765122300998</v>
      </c>
      <c r="AJ52">
        <v>1</v>
      </c>
      <c r="AK52">
        <v>0</v>
      </c>
      <c r="AL52">
        <v>0</v>
      </c>
    </row>
    <row r="53" spans="1:38" hidden="1" x14ac:dyDescent="0.2">
      <c r="A53" t="s">
        <v>151</v>
      </c>
      <c r="B53" t="s">
        <v>152</v>
      </c>
      <c r="C53" t="s">
        <v>153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6.8</v>
      </c>
      <c r="AE53">
        <v>271</v>
      </c>
      <c r="AF53">
        <v>13.739130434782609</v>
      </c>
      <c r="AG53">
        <v>14.904607374148361</v>
      </c>
      <c r="AH53">
        <f>14.2674771163652*1</f>
        <v>14.2674771163652</v>
      </c>
      <c r="AI53">
        <f>3.5668692790913*1</f>
        <v>3.5668692790912999</v>
      </c>
      <c r="AJ53">
        <v>1</v>
      </c>
      <c r="AK53">
        <v>0</v>
      </c>
      <c r="AL53">
        <v>0</v>
      </c>
    </row>
    <row r="54" spans="1:38" hidden="1" x14ac:dyDescent="0.2">
      <c r="A54" t="s">
        <v>154</v>
      </c>
      <c r="B54" t="s">
        <v>155</v>
      </c>
      <c r="C54" t="s">
        <v>155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6.9</v>
      </c>
      <c r="AE54">
        <v>276</v>
      </c>
      <c r="AF54">
        <v>16.952210420175351</v>
      </c>
      <c r="AG54">
        <v>16.877697841726619</v>
      </c>
      <c r="AH54">
        <f>17.6041180618929*1</f>
        <v>17.604118061892901</v>
      </c>
      <c r="AI54">
        <f>5.20128157982473*1</f>
        <v>5.2012815798247303</v>
      </c>
      <c r="AJ54">
        <v>1</v>
      </c>
      <c r="AK54">
        <v>1</v>
      </c>
      <c r="AL54">
        <v>0</v>
      </c>
    </row>
    <row r="55" spans="1:38" hidden="1" x14ac:dyDescent="0.2">
      <c r="A55" t="s">
        <v>156</v>
      </c>
      <c r="B55" t="s">
        <v>157</v>
      </c>
      <c r="C55" t="s">
        <v>158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277</v>
      </c>
      <c r="AF55">
        <v>13.28205128205127</v>
      </c>
      <c r="AG55">
        <v>12.77828160503805</v>
      </c>
      <c r="AH55">
        <f>13.7928207046717*1</f>
        <v>13.7928207046717</v>
      </c>
      <c r="AI55">
        <f>3.44820517616794*1</f>
        <v>3.44820517616794</v>
      </c>
      <c r="AJ55">
        <v>1</v>
      </c>
      <c r="AK55">
        <v>0</v>
      </c>
      <c r="AL55">
        <v>0</v>
      </c>
    </row>
    <row r="56" spans="1:38" x14ac:dyDescent="0.2">
      <c r="A56" t="s">
        <v>159</v>
      </c>
      <c r="B56" t="s">
        <v>160</v>
      </c>
      <c r="C56" t="s">
        <v>160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5.7</v>
      </c>
      <c r="AE56">
        <v>279</v>
      </c>
      <c r="AF56">
        <v>22.705090246743019</v>
      </c>
      <c r="AG56">
        <v>12.124104531226489</v>
      </c>
      <c r="AH56">
        <f>23.5782284081313*1</f>
        <v>23.578228408131299</v>
      </c>
      <c r="AI56">
        <f>7.11547408640892*1</f>
        <v>7.1154740864089199</v>
      </c>
      <c r="AJ56">
        <v>1</v>
      </c>
      <c r="AK56">
        <v>1</v>
      </c>
      <c r="AL56">
        <v>1</v>
      </c>
    </row>
    <row r="57" spans="1:38" hidden="1" x14ac:dyDescent="0.2">
      <c r="A57" t="s">
        <v>161</v>
      </c>
      <c r="B57" t="s">
        <v>162</v>
      </c>
      <c r="C57" t="s">
        <v>163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5.4</v>
      </c>
      <c r="AE57">
        <v>304</v>
      </c>
      <c r="AF57">
        <v>11.123595505617979</v>
      </c>
      <c r="AG57">
        <v>11.347517730496451</v>
      </c>
      <c r="AH57">
        <f>12.0094625282269*1</f>
        <v>12.0094625282269</v>
      </c>
      <c r="AI57">
        <f>3.00236563205673*1</f>
        <v>3.0023656320567298</v>
      </c>
      <c r="AJ57">
        <v>1</v>
      </c>
      <c r="AK57">
        <v>0</v>
      </c>
      <c r="AL57">
        <v>0</v>
      </c>
    </row>
    <row r="58" spans="1:38" hidden="1" x14ac:dyDescent="0.2">
      <c r="A58" t="s">
        <v>164</v>
      </c>
      <c r="B58" t="s">
        <v>165</v>
      </c>
      <c r="C58" t="s">
        <v>165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</v>
      </c>
      <c r="AE58">
        <v>309</v>
      </c>
      <c r="AF58">
        <v>15.134020618556701</v>
      </c>
      <c r="AG58">
        <v>12.94736842105263</v>
      </c>
      <c r="AH58">
        <f>13.7026387254631*1</f>
        <v>13.7026387254631</v>
      </c>
      <c r="AI58">
        <f>3.42565968136578*1</f>
        <v>3.4256596813657798</v>
      </c>
      <c r="AJ58">
        <v>1</v>
      </c>
      <c r="AK58">
        <v>0</v>
      </c>
      <c r="AL58">
        <v>0</v>
      </c>
    </row>
    <row r="59" spans="1:38" hidden="1" x14ac:dyDescent="0.2">
      <c r="A59" t="s">
        <v>166</v>
      </c>
      <c r="B59" t="s">
        <v>167</v>
      </c>
      <c r="C59" t="s">
        <v>168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4.7</v>
      </c>
      <c r="AE59">
        <v>314</v>
      </c>
      <c r="AF59">
        <v>11.04035172112043</v>
      </c>
      <c r="AG59">
        <v>11.27272727272727</v>
      </c>
      <c r="AH59">
        <f>11.9303092524727*1</f>
        <v>11.9303092524727</v>
      </c>
      <c r="AI59">
        <f>2.98257731311818*1</f>
        <v>2.9825773131181799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170</v>
      </c>
      <c r="D60" t="s">
        <v>6</v>
      </c>
      <c r="E60">
        <v>0</v>
      </c>
      <c r="F60">
        <v>0</v>
      </c>
      <c r="G60">
        <v>0</v>
      </c>
      <c r="H60">
        <v>1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4.9000000000000004</v>
      </c>
      <c r="AE60">
        <v>315</v>
      </c>
      <c r="AF60">
        <v>9.2307692307692246</v>
      </c>
      <c r="AG60">
        <v>9.9016393442622945</v>
      </c>
      <c r="AH60">
        <f>10.4792404380524*1</f>
        <v>10.4792404380524</v>
      </c>
      <c r="AI60">
        <f>2.61981010951311*1</f>
        <v>2.6198101095131099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172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4.2</v>
      </c>
      <c r="AE61">
        <v>340</v>
      </c>
      <c r="AF61">
        <v>9.5286634265219234</v>
      </c>
      <c r="AG61">
        <v>10.8</v>
      </c>
      <c r="AH61">
        <f>11.26504226947*1</f>
        <v>11.265042269469999</v>
      </c>
      <c r="AI61">
        <f>2.81625933017484*1</f>
        <v>2.81625933017484</v>
      </c>
      <c r="AJ61">
        <v>1</v>
      </c>
      <c r="AK61">
        <v>0</v>
      </c>
      <c r="AL61">
        <v>0</v>
      </c>
    </row>
    <row r="62" spans="1:38" hidden="1" x14ac:dyDescent="0.2">
      <c r="A62" t="s">
        <v>100</v>
      </c>
      <c r="B62" t="s">
        <v>173</v>
      </c>
      <c r="C62" t="s">
        <v>173</v>
      </c>
      <c r="D62" t="s">
        <v>6</v>
      </c>
      <c r="E62">
        <v>0</v>
      </c>
      <c r="F62">
        <v>0</v>
      </c>
      <c r="G62">
        <v>0</v>
      </c>
      <c r="H62">
        <v>1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5.8</v>
      </c>
      <c r="AE62">
        <v>341</v>
      </c>
      <c r="AF62">
        <v>13.15223050722706</v>
      </c>
      <c r="AG62">
        <v>13.040650406504071</v>
      </c>
      <c r="AH62">
        <f>13.6021770072542*1</f>
        <v>13.6021770072542</v>
      </c>
      <c r="AI62">
        <f>3.40054375072815*1</f>
        <v>3.4005437507281502</v>
      </c>
      <c r="AJ62">
        <v>1</v>
      </c>
      <c r="AK62">
        <v>0</v>
      </c>
      <c r="AL62">
        <v>0</v>
      </c>
    </row>
    <row r="63" spans="1:38" hidden="1" x14ac:dyDescent="0.2">
      <c r="A63" t="s">
        <v>174</v>
      </c>
      <c r="B63" t="s">
        <v>175</v>
      </c>
      <c r="C63" t="s">
        <v>176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5.5</v>
      </c>
      <c r="AE63">
        <v>344</v>
      </c>
      <c r="AF63">
        <v>11.733219773524629</v>
      </c>
      <c r="AG63">
        <v>11.75757575757576</v>
      </c>
      <c r="AH63">
        <f>12.2638533021123*1</f>
        <v>12.263853302112301</v>
      </c>
      <c r="AI63">
        <f>3.06596281467023*1</f>
        <v>3.0659628146702298</v>
      </c>
      <c r="AJ63">
        <v>1</v>
      </c>
      <c r="AK63">
        <v>0</v>
      </c>
      <c r="AL63">
        <v>0</v>
      </c>
    </row>
    <row r="64" spans="1:38" hidden="1" x14ac:dyDescent="0.2">
      <c r="A64" t="s">
        <v>177</v>
      </c>
      <c r="B64" t="s">
        <v>178</v>
      </c>
      <c r="C64" t="s">
        <v>178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345</v>
      </c>
      <c r="AF64">
        <v>8.5581395348837219</v>
      </c>
      <c r="AG64">
        <v>9.6969696969696972</v>
      </c>
      <c r="AH64">
        <f>10.1145160718972*1</f>
        <v>10.114516071897199</v>
      </c>
      <c r="AI64">
        <f>2.5286290179743*1</f>
        <v>2.5286290179742998</v>
      </c>
      <c r="AJ64">
        <v>1</v>
      </c>
      <c r="AK64">
        <v>0</v>
      </c>
      <c r="AL64">
        <v>0</v>
      </c>
    </row>
    <row r="65" spans="1:38" hidden="1" x14ac:dyDescent="0.2">
      <c r="A65" t="s">
        <v>179</v>
      </c>
      <c r="B65" t="s">
        <v>180</v>
      </c>
      <c r="C65" t="s">
        <v>180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351</v>
      </c>
      <c r="AF65">
        <v>12.681318681318659</v>
      </c>
      <c r="AG65">
        <v>11.66666666666667</v>
      </c>
      <c r="AH65">
        <f>12.169031658393*1</f>
        <v>12.169031658392999</v>
      </c>
      <c r="AI65">
        <f>3.04225791459826*1</f>
        <v>3.04225791459826</v>
      </c>
      <c r="AJ65">
        <v>1</v>
      </c>
      <c r="AK65">
        <v>0</v>
      </c>
      <c r="AL65">
        <v>0</v>
      </c>
    </row>
    <row r="66" spans="1:38" x14ac:dyDescent="0.2">
      <c r="A66" t="s">
        <v>91</v>
      </c>
      <c r="B66" t="s">
        <v>92</v>
      </c>
      <c r="C66" t="s">
        <v>93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13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4.5999999999999996</v>
      </c>
      <c r="AE66">
        <v>94</v>
      </c>
      <c r="AF66">
        <v>16.482274687749211</v>
      </c>
      <c r="AG66">
        <v>15.85526315789474</v>
      </c>
      <c r="AH66">
        <f>21.7129593918817*1</f>
        <v>21.7129593918817</v>
      </c>
      <c r="AI66">
        <f>6.60055546104057*1</f>
        <v>6.6005554610405701</v>
      </c>
      <c r="AJ66">
        <v>1</v>
      </c>
      <c r="AK66">
        <v>1</v>
      </c>
      <c r="AL66">
        <v>1</v>
      </c>
    </row>
    <row r="67" spans="1:38" hidden="1" x14ac:dyDescent="0.2">
      <c r="A67" t="s">
        <v>183</v>
      </c>
      <c r="B67" t="s">
        <v>184</v>
      </c>
      <c r="C67" t="s">
        <v>184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4.7</v>
      </c>
      <c r="AE67">
        <v>353</v>
      </c>
      <c r="AF67">
        <v>9.3426370298633046</v>
      </c>
      <c r="AG67">
        <v>10.55</v>
      </c>
      <c r="AH67">
        <f>11.0042774674408*1</f>
        <v>11.004277467440801</v>
      </c>
      <c r="AI67">
        <f>2.75106862765722*1</f>
        <v>2.75106862765722</v>
      </c>
      <c r="AJ67">
        <v>1</v>
      </c>
      <c r="AK67">
        <v>0</v>
      </c>
      <c r="AL67">
        <v>0</v>
      </c>
    </row>
    <row r="68" spans="1:38" hidden="1" x14ac:dyDescent="0.2">
      <c r="A68" t="s">
        <v>161</v>
      </c>
      <c r="B68" t="s">
        <v>185</v>
      </c>
      <c r="C68" t="s">
        <v>185</v>
      </c>
      <c r="D68" t="s">
        <v>3</v>
      </c>
      <c r="E68">
        <v>1</v>
      </c>
      <c r="F68">
        <v>0</v>
      </c>
      <c r="G68">
        <v>0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4.5999999999999996</v>
      </c>
      <c r="AE68">
        <v>355</v>
      </c>
      <c r="AF68">
        <v>14.14141414141414</v>
      </c>
      <c r="AG68">
        <v>13.922672328143721</v>
      </c>
      <c r="AH68">
        <f>14.5221787237924*1</f>
        <v>14.5221787237924</v>
      </c>
      <c r="AI68">
        <f>3.51523827615251*1</f>
        <v>3.5152382761525098</v>
      </c>
      <c r="AJ68">
        <v>1</v>
      </c>
      <c r="AK68">
        <v>0</v>
      </c>
      <c r="AL68">
        <v>0</v>
      </c>
    </row>
    <row r="69" spans="1:38" hidden="1" x14ac:dyDescent="0.2">
      <c r="A69" t="s">
        <v>177</v>
      </c>
      <c r="B69" t="s">
        <v>186</v>
      </c>
      <c r="C69" t="s">
        <v>186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4.5999999999999996</v>
      </c>
      <c r="AE69">
        <v>357</v>
      </c>
      <c r="AF69">
        <v>13.003678893642929</v>
      </c>
      <c r="AG69">
        <v>11.811320754716981</v>
      </c>
      <c r="AH69">
        <f>12.3199148429404*1</f>
        <v>12.319914842940401</v>
      </c>
      <c r="AI69">
        <f>3.07997919574125*1</f>
        <v>3.0799791957412501</v>
      </c>
      <c r="AJ69">
        <v>1</v>
      </c>
      <c r="AK69">
        <v>0</v>
      </c>
      <c r="AL69">
        <v>0</v>
      </c>
    </row>
    <row r="70" spans="1:38" hidden="1" x14ac:dyDescent="0.2">
      <c r="A70" t="s">
        <v>187</v>
      </c>
      <c r="B70" t="s">
        <v>188</v>
      </c>
      <c r="C70" t="s">
        <v>188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4.4000000000000004</v>
      </c>
      <c r="AE70">
        <v>360</v>
      </c>
      <c r="AF70">
        <v>9.490909090909085</v>
      </c>
      <c r="AG70">
        <v>10.597701149425291</v>
      </c>
      <c r="AH70">
        <f>11.0540328038354*1</f>
        <v>11.054032803835399</v>
      </c>
      <c r="AI70">
        <f>2.76350820095887*1</f>
        <v>2.7635082009588698</v>
      </c>
      <c r="AJ70">
        <v>1</v>
      </c>
      <c r="AK70">
        <v>0</v>
      </c>
      <c r="AL70">
        <v>0</v>
      </c>
    </row>
    <row r="71" spans="1:38" hidden="1" x14ac:dyDescent="0.2">
      <c r="A71" t="s">
        <v>189</v>
      </c>
      <c r="B71" t="s">
        <v>190</v>
      </c>
      <c r="C71" t="s">
        <v>190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5.5</v>
      </c>
      <c r="AE71">
        <v>366</v>
      </c>
      <c r="AF71">
        <v>15.669421487603289</v>
      </c>
      <c r="AG71">
        <v>15.77767323858094</v>
      </c>
      <c r="AH71">
        <f>16.4570547837551*1</f>
        <v>16.457054783755101</v>
      </c>
      <c r="AI71">
        <f>4.11426369593878*1</f>
        <v>4.1142636959387797</v>
      </c>
      <c r="AJ71">
        <v>1</v>
      </c>
      <c r="AK71">
        <v>0</v>
      </c>
      <c r="AL71">
        <v>0</v>
      </c>
    </row>
    <row r="72" spans="1:38" hidden="1" x14ac:dyDescent="0.2">
      <c r="A72" t="s">
        <v>191</v>
      </c>
      <c r="B72" t="s">
        <v>192</v>
      </c>
      <c r="C72" t="s">
        <v>192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5.3</v>
      </c>
      <c r="AE72">
        <v>372</v>
      </c>
      <c r="AF72">
        <v>13.647058823529401</v>
      </c>
      <c r="AG72">
        <v>13.925925925925929</v>
      </c>
      <c r="AH72">
        <f>13.2560240270785*1</f>
        <v>13.256024027078499</v>
      </c>
      <c r="AI72">
        <f>2.6512048054157*1</f>
        <v>2.6512048054156998</v>
      </c>
      <c r="AJ72">
        <v>1</v>
      </c>
      <c r="AK72">
        <v>0</v>
      </c>
      <c r="AL72">
        <v>0</v>
      </c>
    </row>
    <row r="73" spans="1:38" hidden="1" x14ac:dyDescent="0.2">
      <c r="A73" t="s">
        <v>193</v>
      </c>
      <c r="B73" t="s">
        <v>194</v>
      </c>
      <c r="C73" t="s">
        <v>193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373</v>
      </c>
      <c r="AF73">
        <v>17.5</v>
      </c>
      <c r="AG73">
        <v>17.419580493174109</v>
      </c>
      <c r="AH73">
        <f>16.5816175374917*1</f>
        <v>16.581617537491699</v>
      </c>
      <c r="AI73">
        <f>3.31632350749834*1</f>
        <v>3.3163235074983399</v>
      </c>
      <c r="AJ73">
        <v>1</v>
      </c>
      <c r="AK73">
        <v>0</v>
      </c>
      <c r="AL73">
        <v>0</v>
      </c>
    </row>
    <row r="74" spans="1:38" hidden="1" x14ac:dyDescent="0.2">
      <c r="A74" t="s">
        <v>195</v>
      </c>
      <c r="B74" t="s">
        <v>196</v>
      </c>
      <c r="C74" t="s">
        <v>196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376</v>
      </c>
      <c r="AF74">
        <v>15.34997575527046</v>
      </c>
      <c r="AG74">
        <v>13.555555555555561</v>
      </c>
      <c r="AH74">
        <f>12.9034701965711*1</f>
        <v>12.903470196571099</v>
      </c>
      <c r="AI74">
        <f>2.58069403931422*1</f>
        <v>2.5806940393142201</v>
      </c>
      <c r="AJ74">
        <v>1</v>
      </c>
      <c r="AK74">
        <v>0</v>
      </c>
      <c r="AL74">
        <v>0</v>
      </c>
    </row>
    <row r="75" spans="1:38" hidden="1" x14ac:dyDescent="0.2">
      <c r="A75" t="s">
        <v>197</v>
      </c>
      <c r="B75" t="s">
        <v>198</v>
      </c>
      <c r="C75" t="s">
        <v>198</v>
      </c>
      <c r="D75" t="s">
        <v>3</v>
      </c>
      <c r="E75">
        <v>1</v>
      </c>
      <c r="F75">
        <v>0</v>
      </c>
      <c r="G75">
        <v>0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4.8</v>
      </c>
      <c r="AE75">
        <v>381</v>
      </c>
      <c r="AF75">
        <v>17.692132822794079</v>
      </c>
      <c r="AG75">
        <v>16.399999999999999</v>
      </c>
      <c r="AH75">
        <f>15.6110836148679*1</f>
        <v>15.6110836148679</v>
      </c>
      <c r="AI75">
        <f>3.12221672297359*1</f>
        <v>3.1222167229735902</v>
      </c>
      <c r="AJ75">
        <v>1</v>
      </c>
      <c r="AK75">
        <v>0</v>
      </c>
      <c r="AL75">
        <v>0</v>
      </c>
    </row>
    <row r="76" spans="1:38" hidden="1" x14ac:dyDescent="0.2">
      <c r="A76" t="s">
        <v>199</v>
      </c>
      <c r="B76" t="s">
        <v>200</v>
      </c>
      <c r="C76" t="s">
        <v>201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</v>
      </c>
      <c r="AE76">
        <v>386</v>
      </c>
      <c r="AF76">
        <v>12.90831409635571</v>
      </c>
      <c r="AG76">
        <v>13.54651162790698</v>
      </c>
      <c r="AH76">
        <f>12.8948613239656*1</f>
        <v>12.8948613239656</v>
      </c>
      <c r="AI76">
        <f>2.57897226479313*1</f>
        <v>2.5789722647931299</v>
      </c>
      <c r="AJ76">
        <v>1</v>
      </c>
      <c r="AK76">
        <v>0</v>
      </c>
      <c r="AL76">
        <v>0</v>
      </c>
    </row>
    <row r="77" spans="1:38" hidden="1" x14ac:dyDescent="0.2">
      <c r="A77" t="s">
        <v>202</v>
      </c>
      <c r="B77" t="s">
        <v>203</v>
      </c>
      <c r="C77" t="s">
        <v>203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389</v>
      </c>
      <c r="AF77">
        <v>12.52941176470588</v>
      </c>
      <c r="AG77">
        <v>13.246268656716421</v>
      </c>
      <c r="AH77">
        <f>12.60906143811*1</f>
        <v>12.60906143811</v>
      </c>
      <c r="AI77">
        <f>2.52181228762201*1</f>
        <v>2.5218122876220099</v>
      </c>
      <c r="AJ77">
        <v>1</v>
      </c>
      <c r="AK77">
        <v>0</v>
      </c>
      <c r="AL77">
        <v>0</v>
      </c>
    </row>
    <row r="78" spans="1:38" hidden="1" x14ac:dyDescent="0.2">
      <c r="A78" t="s">
        <v>204</v>
      </c>
      <c r="B78" t="s">
        <v>205</v>
      </c>
      <c r="C78" t="s">
        <v>205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5.3</v>
      </c>
      <c r="AE78">
        <v>394</v>
      </c>
      <c r="AF78">
        <v>13.414634146341459</v>
      </c>
      <c r="AG78">
        <v>13.5546875</v>
      </c>
      <c r="AH78">
        <f>12.9026438985308*1</f>
        <v>12.902643898530799</v>
      </c>
      <c r="AI78">
        <f>2.58052877970617*1</f>
        <v>2.58052877970617</v>
      </c>
      <c r="AJ78">
        <v>1</v>
      </c>
      <c r="AK78">
        <v>0</v>
      </c>
      <c r="AL78">
        <v>0</v>
      </c>
    </row>
    <row r="79" spans="1:38" hidden="1" x14ac:dyDescent="0.2">
      <c r="A79" t="s">
        <v>206</v>
      </c>
      <c r="B79" t="s">
        <v>207</v>
      </c>
      <c r="C79" t="s">
        <v>206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395</v>
      </c>
      <c r="AF79">
        <v>16.116230335025499</v>
      </c>
      <c r="AG79">
        <v>20.65587290488244</v>
      </c>
      <c r="AH79">
        <f>19.6622292107442*1</f>
        <v>19.662229210744201</v>
      </c>
      <c r="AI79">
        <f>3.92922621684162*1</f>
        <v>3.9292262168416201</v>
      </c>
      <c r="AJ79">
        <v>1</v>
      </c>
      <c r="AK79">
        <v>0</v>
      </c>
      <c r="AL79">
        <v>0</v>
      </c>
    </row>
    <row r="80" spans="1:38" hidden="1" x14ac:dyDescent="0.2">
      <c r="A80" t="s">
        <v>208</v>
      </c>
      <c r="B80" t="s">
        <v>209</v>
      </c>
      <c r="C80" t="s">
        <v>208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396</v>
      </c>
      <c r="AF80">
        <v>20.43127724906174</v>
      </c>
      <c r="AG80">
        <v>16.418918918918919</v>
      </c>
      <c r="AH80">
        <f>15.6290924456695*1</f>
        <v>15.6290924456695</v>
      </c>
      <c r="AI80">
        <f>3.12581848913391*1</f>
        <v>3.12581848913391</v>
      </c>
      <c r="AJ80">
        <v>1</v>
      </c>
      <c r="AK80">
        <v>0</v>
      </c>
      <c r="AL80">
        <v>0</v>
      </c>
    </row>
    <row r="81" spans="1:38" hidden="1" x14ac:dyDescent="0.2">
      <c r="A81" t="s">
        <v>210</v>
      </c>
      <c r="B81" t="s">
        <v>211</v>
      </c>
      <c r="C81" t="s">
        <v>211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</v>
      </c>
      <c r="AE81">
        <v>403</v>
      </c>
      <c r="AF81">
        <v>16.166233771038119</v>
      </c>
      <c r="AG81">
        <v>15.17647058823529</v>
      </c>
      <c r="AH81">
        <f>14.4464116665564*1</f>
        <v>14.446411666556401</v>
      </c>
      <c r="AI81">
        <f>2.88928233331129*1</f>
        <v>2.8892823333112898</v>
      </c>
      <c r="AJ81">
        <v>1</v>
      </c>
      <c r="AK81">
        <v>0</v>
      </c>
      <c r="AL81">
        <v>0</v>
      </c>
    </row>
    <row r="82" spans="1:38" hidden="1" x14ac:dyDescent="0.2">
      <c r="A82" t="s">
        <v>212</v>
      </c>
      <c r="B82" t="s">
        <v>213</v>
      </c>
      <c r="C82" t="s">
        <v>213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8.5</v>
      </c>
      <c r="AE82">
        <v>410</v>
      </c>
      <c r="AF82">
        <v>21.01464875192222</v>
      </c>
      <c r="AG82">
        <v>17.432602295346449</v>
      </c>
      <c r="AH82">
        <f>0*0</f>
        <v>0</v>
      </c>
      <c r="AI82">
        <f>5.01240352663963*0</f>
        <v>0</v>
      </c>
      <c r="AJ82">
        <v>0</v>
      </c>
      <c r="AK82">
        <v>0</v>
      </c>
      <c r="AL82">
        <v>0</v>
      </c>
    </row>
    <row r="83" spans="1:38" hidden="1" x14ac:dyDescent="0.2">
      <c r="A83" t="s">
        <v>214</v>
      </c>
      <c r="B83" t="s">
        <v>215</v>
      </c>
      <c r="C83" t="s">
        <v>216</v>
      </c>
      <c r="D83" t="s">
        <v>3</v>
      </c>
      <c r="E83">
        <v>1</v>
      </c>
      <c r="F83">
        <v>0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5.8</v>
      </c>
      <c r="AE83">
        <v>411</v>
      </c>
      <c r="AF83">
        <v>17.312030058864149</v>
      </c>
      <c r="AG83">
        <v>15.02545631285375</v>
      </c>
      <c r="AH83">
        <f>18.0909282580428*1</f>
        <v>18.090928258042801</v>
      </c>
      <c r="AI83">
        <f>4.4056276392319*1</f>
        <v>4.4056276392319003</v>
      </c>
      <c r="AJ83">
        <v>1</v>
      </c>
      <c r="AK83">
        <v>0</v>
      </c>
      <c r="AL83">
        <v>0</v>
      </c>
    </row>
    <row r="84" spans="1:38" hidden="1" x14ac:dyDescent="0.2">
      <c r="A84" t="s">
        <v>217</v>
      </c>
      <c r="B84" t="s">
        <v>218</v>
      </c>
      <c r="C84" t="s">
        <v>217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7.5</v>
      </c>
      <c r="AE84">
        <v>413</v>
      </c>
      <c r="AF84">
        <v>15.69230769230769</v>
      </c>
      <c r="AG84">
        <v>14.847229758266691</v>
      </c>
      <c r="AH84">
        <f>17.5721195961896*1</f>
        <v>17.572119596189602</v>
      </c>
      <c r="AI84">
        <f>4.39949417106922*1</f>
        <v>4.3994941710692199</v>
      </c>
      <c r="AJ84">
        <v>1</v>
      </c>
      <c r="AK84">
        <v>0</v>
      </c>
      <c r="AL84">
        <v>0</v>
      </c>
    </row>
    <row r="85" spans="1:38" hidden="1" x14ac:dyDescent="0.2">
      <c r="A85" t="s">
        <v>219</v>
      </c>
      <c r="B85" t="s">
        <v>220</v>
      </c>
      <c r="C85" t="s">
        <v>221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</v>
      </c>
      <c r="AE85">
        <v>414</v>
      </c>
      <c r="AF85">
        <v>17.473684210526319</v>
      </c>
      <c r="AG85">
        <v>12.767246283737689</v>
      </c>
      <c r="AH85">
        <f>15.9664125986925*1</f>
        <v>15.9664125986925</v>
      </c>
      <c r="AI85">
        <f>3.99154309047066*1</f>
        <v>3.9915430904706599</v>
      </c>
      <c r="AJ85">
        <v>1</v>
      </c>
      <c r="AK85">
        <v>0</v>
      </c>
      <c r="AL85">
        <v>0</v>
      </c>
    </row>
    <row r="86" spans="1:38" hidden="1" x14ac:dyDescent="0.2">
      <c r="A86" t="s">
        <v>222</v>
      </c>
      <c r="B86" t="s">
        <v>223</v>
      </c>
      <c r="C86" t="s">
        <v>223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4.8</v>
      </c>
      <c r="AE86">
        <v>415</v>
      </c>
      <c r="AF86">
        <v>8.2905545688563969</v>
      </c>
      <c r="AG86">
        <v>8.875</v>
      </c>
      <c r="AH86">
        <f>10.2694522065541*1</f>
        <v>10.269452206554099</v>
      </c>
      <c r="AI86">
        <f>2.54510129314652*1</f>
        <v>2.5451012931465198</v>
      </c>
      <c r="AJ86">
        <v>1</v>
      </c>
      <c r="AK86">
        <v>0</v>
      </c>
      <c r="AL86">
        <v>0</v>
      </c>
    </row>
    <row r="87" spans="1:38" hidden="1" x14ac:dyDescent="0.2">
      <c r="A87" t="s">
        <v>224</v>
      </c>
      <c r="B87" t="s">
        <v>225</v>
      </c>
      <c r="C87" t="s">
        <v>225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7.2</v>
      </c>
      <c r="AE87">
        <v>417</v>
      </c>
      <c r="AF87">
        <v>12.761904761904759</v>
      </c>
      <c r="AG87">
        <v>13.535036147894781</v>
      </c>
      <c r="AH87">
        <f>15.6871016923223*1</f>
        <v>15.687101692322299</v>
      </c>
      <c r="AI87">
        <f>4.03279980557445*1</f>
        <v>4.0327998055744496</v>
      </c>
      <c r="AJ87">
        <v>1</v>
      </c>
      <c r="AK87">
        <v>0</v>
      </c>
      <c r="AL87">
        <v>0</v>
      </c>
    </row>
    <row r="88" spans="1:38" hidden="1" x14ac:dyDescent="0.2">
      <c r="A88" t="s">
        <v>226</v>
      </c>
      <c r="B88" t="s">
        <v>227</v>
      </c>
      <c r="C88" t="s">
        <v>227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4.5999999999999996</v>
      </c>
      <c r="AE88">
        <v>418</v>
      </c>
      <c r="AF88">
        <v>11.27272727272727</v>
      </c>
      <c r="AG88">
        <v>10.125</v>
      </c>
      <c r="AH88">
        <f>12.1061362436469*1</f>
        <v>12.106136243646899</v>
      </c>
      <c r="AI88">
        <f>3.02653406091173*1</f>
        <v>3.0265340609117302</v>
      </c>
      <c r="AJ88">
        <v>1</v>
      </c>
      <c r="AK88">
        <v>0</v>
      </c>
      <c r="AL88">
        <v>0</v>
      </c>
    </row>
    <row r="89" spans="1:38" hidden="1" x14ac:dyDescent="0.2">
      <c r="A89" t="s">
        <v>228</v>
      </c>
      <c r="B89" t="s">
        <v>229</v>
      </c>
      <c r="C89" t="s">
        <v>229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4.9000000000000004</v>
      </c>
      <c r="AE89">
        <v>420</v>
      </c>
      <c r="AF89">
        <v>8.9350649350649363</v>
      </c>
      <c r="AG89">
        <v>10.366666666666671</v>
      </c>
      <c r="AH89">
        <f>11.8344035871316*1</f>
        <v>11.8344035871316</v>
      </c>
      <c r="AI89">
        <f>2.9586008967829*1</f>
        <v>2.9586008967829001</v>
      </c>
      <c r="AJ89">
        <v>1</v>
      </c>
      <c r="AK89">
        <v>0</v>
      </c>
      <c r="AL89">
        <v>0</v>
      </c>
    </row>
    <row r="90" spans="1:38" hidden="1" x14ac:dyDescent="0.2">
      <c r="A90" t="s">
        <v>230</v>
      </c>
      <c r="B90" t="s">
        <v>231</v>
      </c>
      <c r="C90" t="s">
        <v>231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4.9000000000000004</v>
      </c>
      <c r="AE90">
        <v>422</v>
      </c>
      <c r="AF90">
        <v>11.565217391304349</v>
      </c>
      <c r="AG90">
        <v>11.56662675749447</v>
      </c>
      <c r="AH90">
        <f>13.547522989283*1</f>
        <v>13.547522989282999</v>
      </c>
      <c r="AI90">
        <f>3.36979809951899*1</f>
        <v>3.3697980995189898</v>
      </c>
      <c r="AJ90">
        <v>1</v>
      </c>
      <c r="AK90">
        <v>0</v>
      </c>
      <c r="AL90">
        <v>0</v>
      </c>
    </row>
    <row r="91" spans="1:38" hidden="1" x14ac:dyDescent="0.2">
      <c r="A91" t="s">
        <v>232</v>
      </c>
      <c r="B91" t="s">
        <v>233</v>
      </c>
      <c r="C91" t="s">
        <v>234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7.5</v>
      </c>
      <c r="AE91">
        <v>423</v>
      </c>
      <c r="AF91">
        <v>14.431372549019599</v>
      </c>
      <c r="AG91">
        <v>12.1</v>
      </c>
      <c r="AH91">
        <f>14.6740185749671*1</f>
        <v>14.6740185749671</v>
      </c>
      <c r="AI91">
        <f>3.66850464374178*1</f>
        <v>3.6685046437417799</v>
      </c>
      <c r="AJ91">
        <v>1</v>
      </c>
      <c r="AK91">
        <v>0</v>
      </c>
      <c r="AL91">
        <v>0</v>
      </c>
    </row>
    <row r="92" spans="1:38" hidden="1" x14ac:dyDescent="0.2">
      <c r="A92" t="s">
        <v>235</v>
      </c>
      <c r="B92" t="s">
        <v>236</v>
      </c>
      <c r="C92" t="s">
        <v>236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5.8</v>
      </c>
      <c r="AE92">
        <v>424</v>
      </c>
      <c r="AF92">
        <v>11.6</v>
      </c>
      <c r="AG92">
        <v>11.86206896551724</v>
      </c>
      <c r="AH92">
        <f>13.8375044323426*1</f>
        <v>13.8375044323426</v>
      </c>
      <c r="AI92">
        <f>3.45937610808565*1</f>
        <v>3.45937610808565</v>
      </c>
      <c r="AJ92">
        <v>1</v>
      </c>
      <c r="AK92">
        <v>0</v>
      </c>
      <c r="AL92">
        <v>0</v>
      </c>
    </row>
    <row r="93" spans="1:38" hidden="1" x14ac:dyDescent="0.2">
      <c r="A93" t="s">
        <v>237</v>
      </c>
      <c r="B93" t="s">
        <v>238</v>
      </c>
      <c r="C93" t="s">
        <v>238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13</v>
      </c>
      <c r="AE93">
        <v>428</v>
      </c>
      <c r="AF93">
        <v>27.834196891191741</v>
      </c>
      <c r="AG93">
        <v>27.281092515927352</v>
      </c>
      <c r="AH93">
        <f>32.0729257574083*1</f>
        <v>32.072925757408299</v>
      </c>
      <c r="AI93">
        <f>8.01823153240592*1</f>
        <v>8.0182315324059203</v>
      </c>
      <c r="AJ93">
        <v>1</v>
      </c>
      <c r="AK93">
        <v>0</v>
      </c>
      <c r="AL93">
        <v>0</v>
      </c>
    </row>
    <row r="94" spans="1:38" hidden="1" x14ac:dyDescent="0.2">
      <c r="A94" t="s">
        <v>239</v>
      </c>
      <c r="B94" t="s">
        <v>240</v>
      </c>
      <c r="C94" t="s">
        <v>240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7.1</v>
      </c>
      <c r="AE94">
        <v>429</v>
      </c>
      <c r="AF94">
        <v>16.39178745663629</v>
      </c>
      <c r="AG94">
        <v>16.52180407239068</v>
      </c>
      <c r="AH94">
        <f>19.3237896020621*1</f>
        <v>19.323789602062099</v>
      </c>
      <c r="AI94">
        <f>4.92624153697909*1</f>
        <v>4.9262415369790897</v>
      </c>
      <c r="AJ94">
        <v>1</v>
      </c>
      <c r="AK94">
        <v>0</v>
      </c>
      <c r="AL94">
        <v>0</v>
      </c>
    </row>
    <row r="95" spans="1:38" x14ac:dyDescent="0.2">
      <c r="A95" t="s">
        <v>333</v>
      </c>
      <c r="B95" t="s">
        <v>334</v>
      </c>
      <c r="C95" t="s">
        <v>333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9.8000000000000007</v>
      </c>
      <c r="AE95">
        <v>739</v>
      </c>
      <c r="AF95">
        <v>25.77586206896552</v>
      </c>
      <c r="AG95">
        <v>24.567798840274921</v>
      </c>
      <c r="AH95">
        <f>31.5191550252739*1</f>
        <v>31.5191550252739</v>
      </c>
      <c r="AI95">
        <f>6.30382969214289*1</f>
        <v>6.30382969214289</v>
      </c>
      <c r="AJ95">
        <v>1</v>
      </c>
      <c r="AK95">
        <v>0</v>
      </c>
      <c r="AL95">
        <v>1</v>
      </c>
    </row>
    <row r="96" spans="1:38" hidden="1" x14ac:dyDescent="0.2">
      <c r="A96" t="s">
        <v>243</v>
      </c>
      <c r="B96" t="s">
        <v>244</v>
      </c>
      <c r="C96" t="s">
        <v>244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4.9000000000000004</v>
      </c>
      <c r="AE96">
        <v>452</v>
      </c>
      <c r="AF96">
        <v>21.54545454545454</v>
      </c>
      <c r="AG96">
        <v>16.6875</v>
      </c>
      <c r="AH96">
        <f>26.1872784951003*1</f>
        <v>26.187278495100301</v>
      </c>
      <c r="AI96">
        <f>8.72909283170011*1</f>
        <v>8.7290928317001093</v>
      </c>
      <c r="AJ96">
        <v>1</v>
      </c>
      <c r="AK96">
        <v>0</v>
      </c>
      <c r="AL96">
        <v>0</v>
      </c>
    </row>
    <row r="97" spans="1:38" x14ac:dyDescent="0.2">
      <c r="A97" t="s">
        <v>321</v>
      </c>
      <c r="B97" t="s">
        <v>322</v>
      </c>
      <c r="C97" t="s">
        <v>322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6.8</v>
      </c>
      <c r="AE97">
        <v>725</v>
      </c>
      <c r="AF97">
        <v>19.77941176470587</v>
      </c>
      <c r="AG97">
        <v>19.82208557286307</v>
      </c>
      <c r="AH97">
        <f>25.4306619879636*1</f>
        <v>25.4306619879636</v>
      </c>
      <c r="AI97">
        <f>5.08613239759273*1</f>
        <v>5.0861323975927304</v>
      </c>
      <c r="AJ97">
        <v>1</v>
      </c>
      <c r="AK97">
        <v>1</v>
      </c>
      <c r="AL97">
        <v>1</v>
      </c>
    </row>
    <row r="98" spans="1:38" x14ac:dyDescent="0.2">
      <c r="A98" t="s">
        <v>241</v>
      </c>
      <c r="B98" t="s">
        <v>242</v>
      </c>
      <c r="C98" t="s">
        <v>241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6.4</v>
      </c>
      <c r="AE98">
        <v>433</v>
      </c>
      <c r="AF98">
        <v>18.836721090147542</v>
      </c>
      <c r="AG98">
        <v>15.679389312977101</v>
      </c>
      <c r="AH98">
        <f>19.0441639314228*1</f>
        <v>19.044163931422801</v>
      </c>
      <c r="AI98">
        <f>4.633269020832*1</f>
        <v>4.6332690208320004</v>
      </c>
      <c r="AJ98">
        <v>1</v>
      </c>
      <c r="AK98">
        <v>1</v>
      </c>
      <c r="AL98">
        <v>1</v>
      </c>
    </row>
    <row r="99" spans="1:38" hidden="1" x14ac:dyDescent="0.2">
      <c r="A99" t="s">
        <v>249</v>
      </c>
      <c r="B99" t="s">
        <v>250</v>
      </c>
      <c r="C99" t="s">
        <v>250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4.9000000000000004</v>
      </c>
      <c r="AE99">
        <v>466</v>
      </c>
      <c r="AF99">
        <v>16.173913043478262</v>
      </c>
      <c r="AG99">
        <v>14.47058823529412</v>
      </c>
      <c r="AH99">
        <f>22.7083330904626*1</f>
        <v>22.708333090462599</v>
      </c>
      <c r="AI99">
        <f>7.56944436348755*1</f>
        <v>7.5694443634875501</v>
      </c>
      <c r="AJ99">
        <v>1</v>
      </c>
      <c r="AK99">
        <v>0</v>
      </c>
      <c r="AL99">
        <v>0</v>
      </c>
    </row>
    <row r="100" spans="1:38" hidden="1" x14ac:dyDescent="0.2">
      <c r="A100" t="s">
        <v>251</v>
      </c>
      <c r="B100" t="s">
        <v>252</v>
      </c>
      <c r="C100" t="s">
        <v>252</v>
      </c>
      <c r="D100" t="s">
        <v>3</v>
      </c>
      <c r="E100">
        <v>1</v>
      </c>
      <c r="F100">
        <v>0</v>
      </c>
      <c r="G100">
        <v>0</v>
      </c>
      <c r="H100">
        <v>0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4.5</v>
      </c>
      <c r="AE100">
        <v>485</v>
      </c>
      <c r="AF100">
        <v>14.25</v>
      </c>
      <c r="AG100">
        <v>15.5</v>
      </c>
      <c r="AH100">
        <f>24.3237621402809*1</f>
        <v>24.323762140280898</v>
      </c>
      <c r="AI100">
        <f>8.10792071342698*1</f>
        <v>8.1079207134269797</v>
      </c>
      <c r="AJ100">
        <v>1</v>
      </c>
      <c r="AK100">
        <v>0</v>
      </c>
      <c r="AL100">
        <v>0</v>
      </c>
    </row>
    <row r="101" spans="1:38" hidden="1" x14ac:dyDescent="0.2">
      <c r="A101" t="s">
        <v>253</v>
      </c>
      <c r="B101" t="s">
        <v>254</v>
      </c>
      <c r="C101" t="s">
        <v>254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</v>
      </c>
      <c r="AE101">
        <v>486</v>
      </c>
      <c r="AF101">
        <v>17.226078941586358</v>
      </c>
      <c r="AG101">
        <v>16.987012987012989</v>
      </c>
      <c r="AH101">
        <f>26.6572950126453*1</f>
        <v>26.657295012645299</v>
      </c>
      <c r="AI101">
        <f>8.88576489286233*1</f>
        <v>8.8857648928623298</v>
      </c>
      <c r="AJ101">
        <v>1</v>
      </c>
      <c r="AK101">
        <v>0</v>
      </c>
      <c r="AL101">
        <v>0</v>
      </c>
    </row>
    <row r="102" spans="1:38" hidden="1" x14ac:dyDescent="0.2">
      <c r="A102" t="s">
        <v>255</v>
      </c>
      <c r="B102" t="s">
        <v>256</v>
      </c>
      <c r="C102" t="s">
        <v>256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4.9000000000000004</v>
      </c>
      <c r="AE102">
        <v>496</v>
      </c>
      <c r="AF102">
        <v>12.744186046511629</v>
      </c>
      <c r="AG102">
        <v>11.393939393939389</v>
      </c>
      <c r="AH102">
        <f>13.4470458361372*1</f>
        <v>13.4470458361372</v>
      </c>
      <c r="AI102">
        <f>3.36176145903432*1</f>
        <v>3.3617614590343199</v>
      </c>
      <c r="AJ102">
        <v>1</v>
      </c>
      <c r="AK102">
        <v>0</v>
      </c>
      <c r="AL102">
        <v>0</v>
      </c>
    </row>
    <row r="103" spans="1:38" hidden="1" x14ac:dyDescent="0.2">
      <c r="A103" t="s">
        <v>106</v>
      </c>
      <c r="B103" t="s">
        <v>257</v>
      </c>
      <c r="C103" t="s">
        <v>257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5.0999999999999996</v>
      </c>
      <c r="AE103">
        <v>497</v>
      </c>
      <c r="AF103">
        <v>13.11764705882352</v>
      </c>
      <c r="AG103">
        <v>11.888888888888889</v>
      </c>
      <c r="AH103">
        <f>13.8411037515011*1</f>
        <v>13.8411037515011</v>
      </c>
      <c r="AI103">
        <f>3.46027593787528*1</f>
        <v>3.4602759378752799</v>
      </c>
      <c r="AJ103">
        <v>1</v>
      </c>
      <c r="AK103">
        <v>0</v>
      </c>
      <c r="AL103">
        <v>0</v>
      </c>
    </row>
    <row r="104" spans="1:38" hidden="1" x14ac:dyDescent="0.2">
      <c r="A104" t="s">
        <v>258</v>
      </c>
      <c r="B104" t="s">
        <v>259</v>
      </c>
      <c r="C104" t="s">
        <v>260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6.5</v>
      </c>
      <c r="AE104">
        <v>498</v>
      </c>
      <c r="AF104">
        <v>15.407407407407399</v>
      </c>
      <c r="AG104">
        <v>14.72269260497068</v>
      </c>
      <c r="AH104">
        <f>16.2571476184292*1</f>
        <v>16.257147618429201</v>
      </c>
      <c r="AI104">
        <f>4.06428690458438*1</f>
        <v>4.0642869045843799</v>
      </c>
      <c r="AJ104">
        <v>1</v>
      </c>
      <c r="AK104">
        <v>0</v>
      </c>
      <c r="AL104">
        <v>0</v>
      </c>
    </row>
    <row r="105" spans="1:38" hidden="1" x14ac:dyDescent="0.2">
      <c r="A105" t="s">
        <v>261</v>
      </c>
      <c r="B105" t="s">
        <v>262</v>
      </c>
      <c r="C105" t="s">
        <v>261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6.3</v>
      </c>
      <c r="AE105">
        <v>499</v>
      </c>
      <c r="AF105">
        <v>15.30769230769231</v>
      </c>
      <c r="AG105">
        <v>13.05</v>
      </c>
      <c r="AH105">
        <f>16.151933062961*1</f>
        <v>16.151933062961</v>
      </c>
      <c r="AI105">
        <f>4.03798326574025*1</f>
        <v>4.0379832657402499</v>
      </c>
      <c r="AJ105">
        <v>1</v>
      </c>
      <c r="AK105">
        <v>0</v>
      </c>
      <c r="AL105">
        <v>0</v>
      </c>
    </row>
    <row r="106" spans="1:38" hidden="1" x14ac:dyDescent="0.2">
      <c r="A106" t="s">
        <v>263</v>
      </c>
      <c r="B106" t="s">
        <v>264</v>
      </c>
      <c r="C106" t="s">
        <v>263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505</v>
      </c>
      <c r="AF106">
        <v>11.64444444444444</v>
      </c>
      <c r="AG106">
        <v>11.6</v>
      </c>
      <c r="AH106">
        <f>12.2866519583626*1</f>
        <v>12.286651958362601</v>
      </c>
      <c r="AI106">
        <f>3.07166298959065*1</f>
        <v>3.0716629895906502</v>
      </c>
      <c r="AJ106">
        <v>1</v>
      </c>
      <c r="AK106">
        <v>0</v>
      </c>
      <c r="AL106">
        <v>0</v>
      </c>
    </row>
    <row r="107" spans="1:38" hidden="1" x14ac:dyDescent="0.2">
      <c r="A107" t="s">
        <v>265</v>
      </c>
      <c r="B107" t="s">
        <v>266</v>
      </c>
      <c r="C107" t="s">
        <v>267</v>
      </c>
      <c r="D107" t="s">
        <v>3</v>
      </c>
      <c r="E107">
        <v>1</v>
      </c>
      <c r="F107">
        <v>0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5.5</v>
      </c>
      <c r="AE107">
        <v>506</v>
      </c>
      <c r="AF107">
        <v>15.58762886597937</v>
      </c>
      <c r="AG107">
        <v>13.81818181818182</v>
      </c>
      <c r="AH107">
        <f>16.4473085253322*1</f>
        <v>16.4473085253322</v>
      </c>
      <c r="AI107">
        <f>4.11182713133306*1</f>
        <v>4.1118271313330599</v>
      </c>
      <c r="AJ107">
        <v>1</v>
      </c>
      <c r="AK107">
        <v>0</v>
      </c>
      <c r="AL107">
        <v>0</v>
      </c>
    </row>
    <row r="108" spans="1:38" x14ac:dyDescent="0.2">
      <c r="A108" t="s">
        <v>44</v>
      </c>
      <c r="B108" t="s">
        <v>50</v>
      </c>
      <c r="C108" t="s">
        <v>51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11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7.7</v>
      </c>
      <c r="AE108">
        <v>10</v>
      </c>
      <c r="AF108">
        <v>19.72413793103448</v>
      </c>
      <c r="AG108">
        <v>18.924885480037421</v>
      </c>
      <c r="AH108">
        <f>18.3207784962127*0.75</f>
        <v>13.740583872159526</v>
      </c>
      <c r="AI108">
        <f>6.10692621043798*0.75</f>
        <v>4.5801946578284847</v>
      </c>
      <c r="AJ108">
        <v>0.75</v>
      </c>
      <c r="AK108">
        <v>1</v>
      </c>
      <c r="AL108">
        <v>1</v>
      </c>
    </row>
    <row r="109" spans="1:38" x14ac:dyDescent="0.2">
      <c r="A109" t="s">
        <v>56</v>
      </c>
      <c r="B109" t="s">
        <v>57</v>
      </c>
      <c r="C109" t="s">
        <v>57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11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5.8</v>
      </c>
      <c r="AE109">
        <v>18</v>
      </c>
      <c r="AF109">
        <v>16.07033244676553</v>
      </c>
      <c r="AG109">
        <v>13.95</v>
      </c>
      <c r="AH109">
        <f>19.2430903277678*1</f>
        <v>19.243090327767799</v>
      </c>
      <c r="AI109">
        <f>4.31704269003922*1</f>
        <v>4.3170426900392203</v>
      </c>
      <c r="AJ109">
        <v>1</v>
      </c>
      <c r="AK109">
        <v>1</v>
      </c>
      <c r="AL109">
        <v>1</v>
      </c>
    </row>
    <row r="110" spans="1:38" hidden="1" x14ac:dyDescent="0.2">
      <c r="A110" t="s">
        <v>272</v>
      </c>
      <c r="B110" t="s">
        <v>273</v>
      </c>
      <c r="C110" t="s">
        <v>272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5.6</v>
      </c>
      <c r="AE110">
        <v>516</v>
      </c>
      <c r="AF110">
        <v>14.26037384712258</v>
      </c>
      <c r="AG110">
        <v>11.633333333333329</v>
      </c>
      <c r="AH110">
        <f>15.0468535074629*1</f>
        <v>15.046853507462901</v>
      </c>
      <c r="AI110">
        <f>2.81757831523748*1</f>
        <v>2.8175783152374798</v>
      </c>
      <c r="AJ110">
        <v>1</v>
      </c>
      <c r="AK110">
        <v>0</v>
      </c>
      <c r="AL110">
        <v>0</v>
      </c>
    </row>
    <row r="111" spans="1:38" x14ac:dyDescent="0.2">
      <c r="A111" t="s">
        <v>274</v>
      </c>
      <c r="B111" t="s">
        <v>275</v>
      </c>
      <c r="C111" t="s">
        <v>275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5.5</v>
      </c>
      <c r="AE111">
        <v>520</v>
      </c>
      <c r="AF111">
        <v>12.89597147643871</v>
      </c>
      <c r="AG111">
        <v>14.60234364775731</v>
      </c>
      <c r="AH111">
        <f>13.6072024998512*1</f>
        <v>13.6072024998512</v>
      </c>
      <c r="AI111">
        <f>3.40180062466377*1</f>
        <v>3.4018006246637702</v>
      </c>
      <c r="AJ111">
        <v>1</v>
      </c>
      <c r="AK111">
        <v>1</v>
      </c>
      <c r="AL111">
        <v>1</v>
      </c>
    </row>
    <row r="112" spans="1:38" hidden="1" x14ac:dyDescent="0.2">
      <c r="A112" t="s">
        <v>276</v>
      </c>
      <c r="B112" t="s">
        <v>277</v>
      </c>
      <c r="C112" t="s">
        <v>278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8.1999999999999993</v>
      </c>
      <c r="AE112">
        <v>531</v>
      </c>
      <c r="AF112">
        <v>16.21052631578948</v>
      </c>
      <c r="AG112">
        <v>14.40909090909091</v>
      </c>
      <c r="AH112">
        <f>13.9106632039277*1</f>
        <v>13.910663203927699</v>
      </c>
      <c r="AI112">
        <f>3.47766580098194*1</f>
        <v>3.4776658009819399</v>
      </c>
      <c r="AJ112">
        <v>1</v>
      </c>
      <c r="AK112">
        <v>0</v>
      </c>
      <c r="AL112">
        <v>0</v>
      </c>
    </row>
    <row r="113" spans="1:38" hidden="1" x14ac:dyDescent="0.2">
      <c r="A113" t="s">
        <v>219</v>
      </c>
      <c r="B113" t="s">
        <v>279</v>
      </c>
      <c r="C113" t="s">
        <v>280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5.2</v>
      </c>
      <c r="AE113">
        <v>535</v>
      </c>
      <c r="AF113">
        <v>14.000000000000011</v>
      </c>
      <c r="AG113">
        <v>13.60378167691427</v>
      </c>
      <c r="AH113">
        <f>13.133208865593*1</f>
        <v>13.133208865593</v>
      </c>
      <c r="AI113">
        <f>3.29014312737185*1</f>
        <v>3.29014312737185</v>
      </c>
      <c r="AJ113">
        <v>1</v>
      </c>
      <c r="AK113">
        <v>0</v>
      </c>
      <c r="AL113">
        <v>0</v>
      </c>
    </row>
    <row r="114" spans="1:38" hidden="1" x14ac:dyDescent="0.2">
      <c r="A114" t="s">
        <v>281</v>
      </c>
      <c r="B114" t="s">
        <v>282</v>
      </c>
      <c r="C114" t="s">
        <v>282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</v>
      </c>
      <c r="AE114">
        <v>539</v>
      </c>
      <c r="AF114">
        <v>24.576678773328581</v>
      </c>
      <c r="AG114">
        <v>9.806451612903226</v>
      </c>
      <c r="AH114">
        <f>9.46725253390419*1</f>
        <v>9.4672525339041904</v>
      </c>
      <c r="AI114">
        <f>2.36682279035345*1</f>
        <v>2.3668227903534498</v>
      </c>
      <c r="AJ114">
        <v>1</v>
      </c>
      <c r="AK114">
        <v>0</v>
      </c>
      <c r="AL114">
        <v>0</v>
      </c>
    </row>
    <row r="115" spans="1:38" hidden="1" x14ac:dyDescent="0.2">
      <c r="A115" t="s">
        <v>283</v>
      </c>
      <c r="B115" t="s">
        <v>284</v>
      </c>
      <c r="C115" t="s">
        <v>284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4.5999999999999996</v>
      </c>
      <c r="AE115">
        <v>548</v>
      </c>
      <c r="AF115">
        <v>10.44444444444443</v>
      </c>
      <c r="AG115">
        <v>10.57894736842105</v>
      </c>
      <c r="AH115">
        <f>10.21300699643*1</f>
        <v>10.21300699643</v>
      </c>
      <c r="AI115">
        <f>2.5532517491075*1</f>
        <v>2.5532517491075</v>
      </c>
      <c r="AJ115">
        <v>1</v>
      </c>
      <c r="AK115">
        <v>0</v>
      </c>
      <c r="AL115">
        <v>0</v>
      </c>
    </row>
    <row r="116" spans="1:38" hidden="1" x14ac:dyDescent="0.2">
      <c r="A116" t="s">
        <v>285</v>
      </c>
      <c r="B116" t="s">
        <v>286</v>
      </c>
      <c r="C116" t="s">
        <v>286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8.4</v>
      </c>
      <c r="AE116">
        <v>551</v>
      </c>
      <c r="AF116">
        <v>17.972124918109639</v>
      </c>
      <c r="AG116">
        <v>18.407619998379591</v>
      </c>
      <c r="AH116">
        <f>17.770874783615*1</f>
        <v>17.770874783615</v>
      </c>
      <c r="AI116">
        <f>4.44271822412383*1</f>
        <v>4.4427182241238299</v>
      </c>
      <c r="AJ116">
        <v>1</v>
      </c>
      <c r="AK116">
        <v>0</v>
      </c>
      <c r="AL116">
        <v>0</v>
      </c>
    </row>
    <row r="117" spans="1:38" hidden="1" x14ac:dyDescent="0.2">
      <c r="A117" t="s">
        <v>287</v>
      </c>
      <c r="B117" t="s">
        <v>184</v>
      </c>
      <c r="C117" t="s">
        <v>184</v>
      </c>
      <c r="D117" t="s">
        <v>3</v>
      </c>
      <c r="E117">
        <v>1</v>
      </c>
      <c r="F117">
        <v>0</v>
      </c>
      <c r="G117">
        <v>0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4.8</v>
      </c>
      <c r="AE117">
        <v>557</v>
      </c>
      <c r="AF117">
        <v>14.15384615384615</v>
      </c>
      <c r="AG117">
        <v>13</v>
      </c>
      <c r="AH117">
        <f>12.5503138160126*1</f>
        <v>12.550313816012601</v>
      </c>
      <c r="AI117">
        <f>3.13757845400316*1</f>
        <v>3.1375784540031599</v>
      </c>
      <c r="AJ117">
        <v>1</v>
      </c>
      <c r="AK117">
        <v>0</v>
      </c>
      <c r="AL117">
        <v>0</v>
      </c>
    </row>
    <row r="118" spans="1:38" hidden="1" x14ac:dyDescent="0.2">
      <c r="A118" t="s">
        <v>288</v>
      </c>
      <c r="B118" t="s">
        <v>289</v>
      </c>
      <c r="C118" t="s">
        <v>289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7.1</v>
      </c>
      <c r="AE118">
        <v>558</v>
      </c>
      <c r="AF118">
        <v>52</v>
      </c>
      <c r="AG118">
        <v>58.43847998140005</v>
      </c>
      <c r="AH118">
        <f>0*0</f>
        <v>0</v>
      </c>
      <c r="AI118">
        <f>9.84749184400461*0</f>
        <v>0</v>
      </c>
      <c r="AJ118">
        <v>0</v>
      </c>
      <c r="AK118">
        <v>0</v>
      </c>
      <c r="AL118">
        <v>0</v>
      </c>
    </row>
    <row r="119" spans="1:38" hidden="1" x14ac:dyDescent="0.2">
      <c r="A119" t="s">
        <v>276</v>
      </c>
      <c r="B119" t="s">
        <v>290</v>
      </c>
      <c r="C119" t="s">
        <v>291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5.8</v>
      </c>
      <c r="AE119">
        <v>575</v>
      </c>
      <c r="AF119">
        <v>13.913043478260869</v>
      </c>
      <c r="AG119">
        <v>13.540606896719069</v>
      </c>
      <c r="AH119">
        <f>12.7102024301855*1</f>
        <v>12.7102024301855</v>
      </c>
      <c r="AI119">
        <f>3.1775506075463*1</f>
        <v>3.1775506075463</v>
      </c>
      <c r="AJ119">
        <v>1</v>
      </c>
      <c r="AK119">
        <v>0</v>
      </c>
      <c r="AL119">
        <v>0</v>
      </c>
    </row>
    <row r="120" spans="1:38" hidden="1" x14ac:dyDescent="0.2">
      <c r="A120" t="s">
        <v>292</v>
      </c>
      <c r="B120" t="s">
        <v>293</v>
      </c>
      <c r="C120" t="s">
        <v>293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4.4000000000000004</v>
      </c>
      <c r="AE120">
        <v>576</v>
      </c>
      <c r="AF120">
        <v>11.88811188811189</v>
      </c>
      <c r="AG120">
        <v>11.805309734513269</v>
      </c>
      <c r="AH120">
        <f>10.9583887561254*1</f>
        <v>10.9583887561254</v>
      </c>
      <c r="AI120">
        <f>2.73959718903135*1</f>
        <v>2.73959718903135</v>
      </c>
      <c r="AJ120">
        <v>1</v>
      </c>
      <c r="AK120">
        <v>0</v>
      </c>
      <c r="AL120">
        <v>0</v>
      </c>
    </row>
    <row r="121" spans="1:38" hidden="1" x14ac:dyDescent="0.2">
      <c r="A121" t="s">
        <v>294</v>
      </c>
      <c r="B121" t="s">
        <v>295</v>
      </c>
      <c r="C121" t="s">
        <v>295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6.1</v>
      </c>
      <c r="AE121">
        <v>581</v>
      </c>
      <c r="AF121">
        <v>19.90865501031066</v>
      </c>
      <c r="AG121">
        <v>10.68354430379747</v>
      </c>
      <c r="AH121">
        <f>14.5672578464447*1</f>
        <v>14.567257846444701</v>
      </c>
      <c r="AI121">
        <f>3.64181446161119*1</f>
        <v>3.6418144616111898</v>
      </c>
      <c r="AJ121">
        <v>1</v>
      </c>
      <c r="AK121">
        <v>0</v>
      </c>
      <c r="AL121">
        <v>0</v>
      </c>
    </row>
    <row r="122" spans="1:38" hidden="1" x14ac:dyDescent="0.2">
      <c r="A122" t="s">
        <v>296</v>
      </c>
      <c r="B122" t="s">
        <v>297</v>
      </c>
      <c r="C122" t="s">
        <v>297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7.5</v>
      </c>
      <c r="AE122">
        <v>584</v>
      </c>
      <c r="AF122">
        <v>18.94736842105263</v>
      </c>
      <c r="AG122">
        <v>18.842353072480851</v>
      </c>
      <c r="AH122">
        <f>17.4767948753791*1</f>
        <v>17.476794875379099</v>
      </c>
      <c r="AI122">
        <f>4.36484424828258*1</f>
        <v>4.36484424828258</v>
      </c>
      <c r="AJ122">
        <v>1</v>
      </c>
      <c r="AK122">
        <v>0</v>
      </c>
      <c r="AL122">
        <v>0</v>
      </c>
    </row>
    <row r="123" spans="1:38" hidden="1" x14ac:dyDescent="0.2">
      <c r="A123" t="s">
        <v>298</v>
      </c>
      <c r="B123" t="s">
        <v>299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4.8</v>
      </c>
      <c r="AE123">
        <v>590</v>
      </c>
      <c r="AF123">
        <v>12.09700168785827</v>
      </c>
      <c r="AG123">
        <v>10.38461538461539</v>
      </c>
      <c r="AH123">
        <f>10.472841631326*1</f>
        <v>10.472841631326</v>
      </c>
      <c r="AI123">
        <f>2.61821040783151*1</f>
        <v>2.6182104078315098</v>
      </c>
      <c r="AJ123">
        <v>1</v>
      </c>
      <c r="AK123">
        <v>0</v>
      </c>
      <c r="AL123">
        <v>0</v>
      </c>
    </row>
    <row r="124" spans="1:38" hidden="1" x14ac:dyDescent="0.2">
      <c r="A124" t="s">
        <v>300</v>
      </c>
      <c r="B124" t="s">
        <v>301</v>
      </c>
      <c r="C124" t="s">
        <v>301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5.4</v>
      </c>
      <c r="AE124">
        <v>596</v>
      </c>
      <c r="AF124">
        <v>12.246678312296989</v>
      </c>
      <c r="AG124">
        <v>12.18965517241379</v>
      </c>
      <c r="AH124">
        <f>11.3006899749731*1</f>
        <v>11.3006899749731</v>
      </c>
      <c r="AI124">
        <f>2.56929142360311*1</f>
        <v>2.5692914236031101</v>
      </c>
      <c r="AJ124">
        <v>1</v>
      </c>
      <c r="AK124">
        <v>0</v>
      </c>
      <c r="AL124">
        <v>0</v>
      </c>
    </row>
    <row r="125" spans="1:38" hidden="1" x14ac:dyDescent="0.2">
      <c r="A125" t="s">
        <v>302</v>
      </c>
      <c r="B125" t="s">
        <v>303</v>
      </c>
      <c r="C125" t="s">
        <v>303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6.8</v>
      </c>
      <c r="AE125">
        <v>599</v>
      </c>
      <c r="AF125">
        <v>18.103617821792621</v>
      </c>
      <c r="AG125">
        <v>14.944444444444439</v>
      </c>
      <c r="AH125">
        <f>15.4245550739185*1</f>
        <v>15.4245550739185</v>
      </c>
      <c r="AI125">
        <f>3.49208459836465*1</f>
        <v>3.49208459836465</v>
      </c>
      <c r="AJ125">
        <v>1</v>
      </c>
      <c r="AK125">
        <v>0</v>
      </c>
      <c r="AL125">
        <v>0</v>
      </c>
    </row>
    <row r="126" spans="1:38" hidden="1" x14ac:dyDescent="0.2">
      <c r="A126" t="s">
        <v>294</v>
      </c>
      <c r="B126" t="s">
        <v>304</v>
      </c>
      <c r="C126" t="s">
        <v>304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5.0999999999999996</v>
      </c>
      <c r="AE126">
        <v>617</v>
      </c>
      <c r="AF126">
        <v>14.333333333333339</v>
      </c>
      <c r="AG126">
        <v>13.19148936170213</v>
      </c>
      <c r="AH126">
        <f>18.2853139095014*1</f>
        <v>18.285313909501401</v>
      </c>
      <c r="AI126">
        <f>3.65706278190028*1</f>
        <v>3.6570627819002799</v>
      </c>
      <c r="AJ126">
        <v>1</v>
      </c>
      <c r="AK126">
        <v>0</v>
      </c>
      <c r="AL126">
        <v>0</v>
      </c>
    </row>
    <row r="127" spans="1:38" hidden="1" x14ac:dyDescent="0.2">
      <c r="A127" t="s">
        <v>305</v>
      </c>
      <c r="B127" t="s">
        <v>306</v>
      </c>
      <c r="C127" t="s">
        <v>306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5.7</v>
      </c>
      <c r="AE127">
        <v>631</v>
      </c>
      <c r="AF127">
        <v>15.551436359611049</v>
      </c>
      <c r="AG127">
        <v>14.077380952380951</v>
      </c>
      <c r="AH127">
        <f>19.5132906128688*1</f>
        <v>19.513290612868801</v>
      </c>
      <c r="AI127">
        <f>3.90265812257377*1</f>
        <v>3.90265812257377</v>
      </c>
      <c r="AJ127">
        <v>1</v>
      </c>
      <c r="AK127">
        <v>0</v>
      </c>
      <c r="AL127">
        <v>0</v>
      </c>
    </row>
    <row r="128" spans="1:38" hidden="1" x14ac:dyDescent="0.2">
      <c r="A128" t="s">
        <v>307</v>
      </c>
      <c r="B128" t="s">
        <v>308</v>
      </c>
      <c r="C128" t="s">
        <v>308</v>
      </c>
      <c r="D128" t="s">
        <v>6</v>
      </c>
      <c r="E128">
        <v>0</v>
      </c>
      <c r="F128">
        <v>0</v>
      </c>
      <c r="G128">
        <v>0</v>
      </c>
      <c r="H128">
        <v>1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4.8</v>
      </c>
      <c r="AE128">
        <v>651</v>
      </c>
      <c r="AF128">
        <v>16.793067035552799</v>
      </c>
      <c r="AG128">
        <v>16.267857142857139</v>
      </c>
      <c r="AH128">
        <f>22.549595626367*1</f>
        <v>22.549595626367001</v>
      </c>
      <c r="AI128">
        <f>4.50991549244251*1</f>
        <v>4.5099154924425102</v>
      </c>
      <c r="AJ128">
        <v>1</v>
      </c>
      <c r="AK128">
        <v>0</v>
      </c>
      <c r="AL128">
        <v>0</v>
      </c>
    </row>
    <row r="129" spans="1:38" hidden="1" x14ac:dyDescent="0.2">
      <c r="A129" t="s">
        <v>309</v>
      </c>
      <c r="B129" t="s">
        <v>310</v>
      </c>
      <c r="C129" t="s">
        <v>309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4.5</v>
      </c>
      <c r="AE129">
        <v>658</v>
      </c>
      <c r="AF129">
        <v>10.75</v>
      </c>
      <c r="AG129">
        <v>12.33333333333333</v>
      </c>
      <c r="AH129">
        <f>17.0957572750139*1</f>
        <v>17.095757275013899</v>
      </c>
      <c r="AI129">
        <f>3.41915145500279*1</f>
        <v>3.4191514550027899</v>
      </c>
      <c r="AJ129">
        <v>1</v>
      </c>
      <c r="AK129">
        <v>0</v>
      </c>
      <c r="AL129">
        <v>0</v>
      </c>
    </row>
    <row r="130" spans="1:38" hidden="1" x14ac:dyDescent="0.2">
      <c r="A130" t="s">
        <v>311</v>
      </c>
      <c r="B130" t="s">
        <v>312</v>
      </c>
      <c r="C130" t="s">
        <v>312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4.2</v>
      </c>
      <c r="AE130">
        <v>671</v>
      </c>
      <c r="AF130">
        <v>9.8686087104946143</v>
      </c>
      <c r="AG130">
        <v>9.9166666666666661</v>
      </c>
      <c r="AH130">
        <f>11.0126875040628*1</f>
        <v>11.0126875040628</v>
      </c>
      <c r="AI130">
        <f>2.75317187670526*1</f>
        <v>2.75317187670526</v>
      </c>
      <c r="AJ130">
        <v>1</v>
      </c>
      <c r="AK130">
        <v>0</v>
      </c>
      <c r="AL130">
        <v>0</v>
      </c>
    </row>
    <row r="131" spans="1:38" hidden="1" x14ac:dyDescent="0.2">
      <c r="A131" t="s">
        <v>177</v>
      </c>
      <c r="B131" t="s">
        <v>313</v>
      </c>
      <c r="C131" t="s">
        <v>313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4.4000000000000004</v>
      </c>
      <c r="AE131">
        <v>673</v>
      </c>
      <c r="AF131">
        <v>10.66666666666667</v>
      </c>
      <c r="AG131">
        <v>10.444444444444439</v>
      </c>
      <c r="AH131">
        <f>11.5987969456525*1</f>
        <v>11.5987969456525</v>
      </c>
      <c r="AI131">
        <f>2.89969923641313*1</f>
        <v>2.89969923641313</v>
      </c>
      <c r="AJ131">
        <v>1</v>
      </c>
      <c r="AK131">
        <v>0</v>
      </c>
      <c r="AL131">
        <v>0</v>
      </c>
    </row>
    <row r="132" spans="1:38" hidden="1" x14ac:dyDescent="0.2">
      <c r="A132" t="s">
        <v>314</v>
      </c>
      <c r="B132" t="s">
        <v>315</v>
      </c>
      <c r="C132" t="s">
        <v>316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5</v>
      </c>
      <c r="AE132">
        <v>697</v>
      </c>
      <c r="AF132">
        <v>9.1199999999999992</v>
      </c>
      <c r="AG132">
        <v>9.7894736842105257</v>
      </c>
      <c r="AH132">
        <f>10.8714367061211*1</f>
        <v>10.8714367061211</v>
      </c>
      <c r="AI132">
        <f>2.71785917653027*1</f>
        <v>2.7178591765302702</v>
      </c>
      <c r="AJ132">
        <v>1</v>
      </c>
      <c r="AK132">
        <v>0</v>
      </c>
      <c r="AL132">
        <v>0</v>
      </c>
    </row>
    <row r="133" spans="1:38" hidden="1" x14ac:dyDescent="0.2">
      <c r="A133" t="s">
        <v>317</v>
      </c>
      <c r="B133" t="s">
        <v>318</v>
      </c>
      <c r="C133" t="s">
        <v>318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4.9000000000000004</v>
      </c>
      <c r="AE133">
        <v>702</v>
      </c>
      <c r="AF133">
        <v>9.1949122188347587</v>
      </c>
      <c r="AG133">
        <v>11.66666666666667</v>
      </c>
      <c r="AH133">
        <f>12.9561027458437*1</f>
        <v>12.956102745843699</v>
      </c>
      <c r="AI133">
        <f>3.23902565335961*1</f>
        <v>3.2390256533596098</v>
      </c>
      <c r="AJ133">
        <v>1</v>
      </c>
      <c r="AK133">
        <v>0</v>
      </c>
      <c r="AL133">
        <v>0</v>
      </c>
    </row>
    <row r="134" spans="1:38" hidden="1" x14ac:dyDescent="0.2">
      <c r="A134" t="s">
        <v>319</v>
      </c>
      <c r="B134" t="s">
        <v>320</v>
      </c>
      <c r="C134" t="s">
        <v>320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5.8</v>
      </c>
      <c r="AE134">
        <v>714</v>
      </c>
      <c r="AF134">
        <v>14.30308316205678</v>
      </c>
      <c r="AG134">
        <v>14.787234042553189</v>
      </c>
      <c r="AH134">
        <f>18.9712202225531*1</f>
        <v>18.9712202225531</v>
      </c>
      <c r="AI134">
        <f>3.79424404451063*1</f>
        <v>3.7942440445106298</v>
      </c>
      <c r="AJ134">
        <v>1</v>
      </c>
      <c r="AK134">
        <v>0</v>
      </c>
      <c r="AL134">
        <v>0</v>
      </c>
    </row>
    <row r="135" spans="1:38" x14ac:dyDescent="0.2">
      <c r="A135" t="s">
        <v>181</v>
      </c>
      <c r="B135" t="s">
        <v>182</v>
      </c>
      <c r="C135" t="s">
        <v>182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19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4.5999999999999996</v>
      </c>
      <c r="AE135">
        <v>352</v>
      </c>
      <c r="AF135">
        <v>11.215345226151401</v>
      </c>
      <c r="AG135">
        <v>11.655225556192489</v>
      </c>
      <c r="AH135">
        <f>12.157095146875*1</f>
        <v>12.157095146874999</v>
      </c>
      <c r="AI135">
        <f>3.23893436340864*1</f>
        <v>3.23893436340864</v>
      </c>
      <c r="AJ135">
        <v>1</v>
      </c>
      <c r="AK135">
        <v>1</v>
      </c>
      <c r="AL135">
        <v>1</v>
      </c>
    </row>
    <row r="136" spans="1:38" hidden="1" x14ac:dyDescent="0.2">
      <c r="A136" t="s">
        <v>177</v>
      </c>
      <c r="B136" t="s">
        <v>323</v>
      </c>
      <c r="C136" t="s">
        <v>323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7.9</v>
      </c>
      <c r="AE136">
        <v>728</v>
      </c>
      <c r="AF136">
        <v>22.146731770363491</v>
      </c>
      <c r="AG136">
        <v>22.518538945179699</v>
      </c>
      <c r="AH136">
        <f>28.8900655923738*1</f>
        <v>28.890065592373801</v>
      </c>
      <c r="AI136">
        <f>5.77801311847474*1</f>
        <v>5.7780131184747399</v>
      </c>
      <c r="AJ136">
        <v>1</v>
      </c>
      <c r="AK136">
        <v>0</v>
      </c>
      <c r="AL136">
        <v>0</v>
      </c>
    </row>
    <row r="137" spans="1:38" hidden="1" x14ac:dyDescent="0.2">
      <c r="A137" t="s">
        <v>324</v>
      </c>
      <c r="B137" t="s">
        <v>325</v>
      </c>
      <c r="C137" t="s">
        <v>326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5.7</v>
      </c>
      <c r="AE137">
        <v>730</v>
      </c>
      <c r="AF137">
        <v>19.21052631578948</v>
      </c>
      <c r="AG137">
        <v>17.00521581204649</v>
      </c>
      <c r="AH137">
        <f>21.8167706803046*1</f>
        <v>21.8167706803046</v>
      </c>
      <c r="AI137">
        <f>4.30658900352678*1</f>
        <v>4.3065890035267804</v>
      </c>
      <c r="AJ137">
        <v>1</v>
      </c>
      <c r="AK137">
        <v>0</v>
      </c>
      <c r="AL137">
        <v>0</v>
      </c>
    </row>
    <row r="138" spans="1:38" hidden="1" x14ac:dyDescent="0.2">
      <c r="A138" t="s">
        <v>327</v>
      </c>
      <c r="B138" t="s">
        <v>328</v>
      </c>
      <c r="C138" t="s">
        <v>327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7</v>
      </c>
      <c r="AE138">
        <v>732</v>
      </c>
      <c r="AF138">
        <v>19.68571428571429</v>
      </c>
      <c r="AG138">
        <v>17.338129496402878</v>
      </c>
      <c r="AH138">
        <f>22.2438809027338*1</f>
        <v>22.2438809027338</v>
      </c>
      <c r="AI138">
        <f>4.44877618054676*1</f>
        <v>4.4487761805467603</v>
      </c>
      <c r="AJ138">
        <v>1</v>
      </c>
      <c r="AK138">
        <v>0</v>
      </c>
      <c r="AL138">
        <v>0</v>
      </c>
    </row>
    <row r="139" spans="1:38" hidden="1" x14ac:dyDescent="0.2">
      <c r="A139" t="s">
        <v>329</v>
      </c>
      <c r="B139" t="s">
        <v>330</v>
      </c>
      <c r="C139" t="s">
        <v>330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5</v>
      </c>
      <c r="AE139">
        <v>734</v>
      </c>
      <c r="AF139">
        <v>15.37313432835821</v>
      </c>
      <c r="AG139">
        <v>14.23076923076923</v>
      </c>
      <c r="AH139">
        <f>18.2573060138461*1</f>
        <v>18.257306013846101</v>
      </c>
      <c r="AI139">
        <f>3.65146120276923*1</f>
        <v>3.6514612027692301</v>
      </c>
      <c r="AJ139">
        <v>1</v>
      </c>
      <c r="AK139">
        <v>0</v>
      </c>
      <c r="AL139">
        <v>0</v>
      </c>
    </row>
    <row r="140" spans="1:38" hidden="1" x14ac:dyDescent="0.2">
      <c r="A140" t="s">
        <v>331</v>
      </c>
      <c r="B140" t="s">
        <v>332</v>
      </c>
      <c r="C140" t="s">
        <v>332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4.4000000000000004</v>
      </c>
      <c r="AE140">
        <v>736</v>
      </c>
      <c r="AF140">
        <v>11.96969696969696</v>
      </c>
      <c r="AG140">
        <v>12</v>
      </c>
      <c r="AH140">
        <f>15.3953499359999*1</f>
        <v>15.395349935999899</v>
      </c>
      <c r="AI140">
        <f>3.07906998719999*1</f>
        <v>3.0790699871999898</v>
      </c>
      <c r="AJ140">
        <v>1</v>
      </c>
      <c r="AK140">
        <v>0</v>
      </c>
      <c r="AL140">
        <v>0</v>
      </c>
    </row>
    <row r="141" spans="1:38" x14ac:dyDescent="0.2">
      <c r="A141" t="s">
        <v>108</v>
      </c>
      <c r="B141" t="s">
        <v>109</v>
      </c>
      <c r="C141" t="s">
        <v>109</v>
      </c>
      <c r="D141" t="s">
        <v>3</v>
      </c>
      <c r="E141">
        <v>1</v>
      </c>
      <c r="F141">
        <v>0</v>
      </c>
      <c r="G141">
        <v>0</v>
      </c>
      <c r="H141">
        <v>0</v>
      </c>
      <c r="I141" t="s">
        <v>14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4.5</v>
      </c>
      <c r="AE141">
        <v>129</v>
      </c>
      <c r="AF141">
        <v>14.561736382885471</v>
      </c>
      <c r="AG141">
        <v>13.33333333333333</v>
      </c>
      <c r="AH141">
        <f>12.3842267061571*1</f>
        <v>12.384226706157101</v>
      </c>
      <c r="AI141">
        <f>2.47684533948936*1</f>
        <v>2.4768453394893601</v>
      </c>
      <c r="AJ141">
        <v>1</v>
      </c>
      <c r="AK141">
        <v>1</v>
      </c>
      <c r="AL141">
        <v>1</v>
      </c>
    </row>
    <row r="142" spans="1:38" hidden="1" x14ac:dyDescent="0.2">
      <c r="A142" t="s">
        <v>335</v>
      </c>
      <c r="B142" t="s">
        <v>336</v>
      </c>
      <c r="C142" t="s">
        <v>336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4.9000000000000004</v>
      </c>
      <c r="AE142">
        <v>742</v>
      </c>
      <c r="AF142">
        <v>15</v>
      </c>
      <c r="AG142">
        <v>14.0625</v>
      </c>
      <c r="AH142">
        <f>18.04142570625*1</f>
        <v>18.041425706249999</v>
      </c>
      <c r="AI142">
        <f>3.60828514124999*1</f>
        <v>3.6082851412499899</v>
      </c>
      <c r="AJ142">
        <v>1</v>
      </c>
      <c r="AK142">
        <v>0</v>
      </c>
      <c r="AL142">
        <v>0</v>
      </c>
    </row>
    <row r="143" spans="1:38" hidden="1" x14ac:dyDescent="0.2">
      <c r="A143" t="s">
        <v>337</v>
      </c>
      <c r="B143" t="s">
        <v>338</v>
      </c>
      <c r="C143" t="s">
        <v>338</v>
      </c>
      <c r="D143" t="s">
        <v>3</v>
      </c>
      <c r="E143">
        <v>1</v>
      </c>
      <c r="F143">
        <v>0</v>
      </c>
      <c r="G143">
        <v>0</v>
      </c>
      <c r="H143">
        <v>0</v>
      </c>
      <c r="I143" t="s">
        <v>28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5.3</v>
      </c>
      <c r="AE143">
        <v>743</v>
      </c>
      <c r="AF143">
        <v>12.45316528948408</v>
      </c>
      <c r="AG143">
        <v>15.625</v>
      </c>
      <c r="AH143">
        <f>20.0460285625*1</f>
        <v>20.046028562499998</v>
      </c>
      <c r="AI143">
        <f>4.0092057125*1</f>
        <v>4.0092057125</v>
      </c>
      <c r="AJ143">
        <v>1</v>
      </c>
      <c r="AK143">
        <v>0</v>
      </c>
      <c r="AL143">
        <v>0</v>
      </c>
    </row>
    <row r="144" spans="1:38" hidden="1" x14ac:dyDescent="0.2">
      <c r="A144" t="s">
        <v>339</v>
      </c>
      <c r="B144" t="s">
        <v>340</v>
      </c>
      <c r="C144" t="s">
        <v>340</v>
      </c>
      <c r="D144" t="s">
        <v>3</v>
      </c>
      <c r="E144">
        <v>1</v>
      </c>
      <c r="F144">
        <v>0</v>
      </c>
      <c r="G144">
        <v>0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4.2</v>
      </c>
      <c r="AE144">
        <v>758</v>
      </c>
      <c r="AF144">
        <v>17.338709677419349</v>
      </c>
      <c r="AG144">
        <v>16.020759135175151</v>
      </c>
      <c r="AH144">
        <f>17.7199520991445*1</f>
        <v>17.7199520991445</v>
      </c>
      <c r="AI144">
        <f>3.54399054410214*1</f>
        <v>3.5439905441021402</v>
      </c>
      <c r="AJ144">
        <v>1</v>
      </c>
      <c r="AK144">
        <v>0</v>
      </c>
      <c r="AL144">
        <v>0</v>
      </c>
    </row>
    <row r="145" spans="1:38" hidden="1" x14ac:dyDescent="0.2">
      <c r="A145" t="s">
        <v>341</v>
      </c>
      <c r="B145" t="s">
        <v>342</v>
      </c>
      <c r="C145" t="s">
        <v>342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7.9</v>
      </c>
      <c r="AE145">
        <v>760</v>
      </c>
      <c r="AF145">
        <v>22.19178082191781</v>
      </c>
      <c r="AG145">
        <v>21.766484282701811</v>
      </c>
      <c r="AH145">
        <f>24.0750800634294*1</f>
        <v>24.0750800634294</v>
      </c>
      <c r="AI145">
        <f>4.81501601268588*1</f>
        <v>4.8150160126858799</v>
      </c>
      <c r="AJ145">
        <v>1</v>
      </c>
      <c r="AK145">
        <v>0</v>
      </c>
      <c r="AL145">
        <v>0</v>
      </c>
    </row>
    <row r="146" spans="1:38" hidden="1" x14ac:dyDescent="0.2">
      <c r="A146" t="s">
        <v>71</v>
      </c>
      <c r="B146" t="s">
        <v>343</v>
      </c>
      <c r="C146" t="s">
        <v>344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6</v>
      </c>
      <c r="AE146">
        <v>773</v>
      </c>
      <c r="AF146">
        <v>17.555555555555561</v>
      </c>
      <c r="AG146">
        <v>15.642857142857141</v>
      </c>
      <c r="AH146">
        <f>17.3019690843857*1</f>
        <v>17.3019690843857</v>
      </c>
      <c r="AI146">
        <f>3.46039381687714*1</f>
        <v>3.46039381687714</v>
      </c>
      <c r="AJ146">
        <v>1</v>
      </c>
      <c r="AK146">
        <v>0</v>
      </c>
      <c r="AL146">
        <v>0</v>
      </c>
    </row>
    <row r="147" spans="1:38" hidden="1" x14ac:dyDescent="0.2">
      <c r="A147" t="s">
        <v>345</v>
      </c>
      <c r="B147" t="s">
        <v>346</v>
      </c>
      <c r="C147" t="s">
        <v>346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4.9000000000000004</v>
      </c>
      <c r="AE147">
        <v>775</v>
      </c>
      <c r="AF147">
        <v>17.399999999999999</v>
      </c>
      <c r="AG147">
        <v>16.891793605463409</v>
      </c>
      <c r="AH147">
        <f>18.6833701843914*1</f>
        <v>18.6833701843914</v>
      </c>
      <c r="AI147">
        <f>3.73654088003189*1</f>
        <v>3.7365408800318902</v>
      </c>
      <c r="AJ147">
        <v>1</v>
      </c>
      <c r="AK147">
        <v>0</v>
      </c>
      <c r="AL147">
        <v>0</v>
      </c>
    </row>
    <row r="148" spans="1:38" hidden="1" x14ac:dyDescent="0.2">
      <c r="A148" t="s">
        <v>347</v>
      </c>
      <c r="B148" t="s">
        <v>348</v>
      </c>
      <c r="C148" t="s">
        <v>348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4.5</v>
      </c>
      <c r="AE148">
        <v>777</v>
      </c>
      <c r="AF148">
        <v>15.560319161027451</v>
      </c>
      <c r="AG148">
        <v>15.58333333333333</v>
      </c>
      <c r="AH148">
        <f>17.2361320635166*1</f>
        <v>17.2361320635166</v>
      </c>
      <c r="AI148">
        <f>3.44722641270333*1</f>
        <v>3.4472264127033299</v>
      </c>
      <c r="AJ148">
        <v>1</v>
      </c>
      <c r="AK148">
        <v>0</v>
      </c>
      <c r="AL148">
        <v>0</v>
      </c>
    </row>
    <row r="149" spans="1:38" hidden="1" x14ac:dyDescent="0.2">
      <c r="A149" t="s">
        <v>349</v>
      </c>
      <c r="B149" t="s">
        <v>350</v>
      </c>
      <c r="C149" t="s">
        <v>259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5</v>
      </c>
      <c r="AE149">
        <v>779</v>
      </c>
      <c r="AF149">
        <v>11.36363636363636</v>
      </c>
      <c r="AG149">
        <v>12.34375</v>
      </c>
      <c r="AH149">
        <f>13.6529522027187*1</f>
        <v>13.6529522027187</v>
      </c>
      <c r="AI149">
        <f>2.73059044054375*1</f>
        <v>2.7305904405437502</v>
      </c>
      <c r="AJ149">
        <v>1</v>
      </c>
      <c r="AK149">
        <v>0</v>
      </c>
      <c r="AL149">
        <v>0</v>
      </c>
    </row>
    <row r="150" spans="1:38" hidden="1" x14ac:dyDescent="0.2">
      <c r="A150" t="s">
        <v>177</v>
      </c>
      <c r="B150" t="s">
        <v>351</v>
      </c>
      <c r="C150" t="s">
        <v>351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5.9</v>
      </c>
      <c r="AE150">
        <v>781</v>
      </c>
      <c r="AF150">
        <v>19.673717937328892</v>
      </c>
      <c r="AG150">
        <v>19.1670586329694</v>
      </c>
      <c r="AH150">
        <f>21.1999542588467*1</f>
        <v>21.199954258846699</v>
      </c>
      <c r="AI150">
        <f>4.23999085176934*1</f>
        <v>4.2399908517693401</v>
      </c>
      <c r="AJ150">
        <v>1</v>
      </c>
      <c r="AK150">
        <v>0</v>
      </c>
      <c r="AL150">
        <v>0</v>
      </c>
    </row>
    <row r="151" spans="1:38" hidden="1" x14ac:dyDescent="0.2">
      <c r="A151" t="s">
        <v>352</v>
      </c>
      <c r="B151" t="s">
        <v>353</v>
      </c>
      <c r="C151" t="s">
        <v>353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6.8</v>
      </c>
      <c r="AE151">
        <v>783</v>
      </c>
      <c r="AF151">
        <v>21.42857142857142</v>
      </c>
      <c r="AG151">
        <v>22.960171794384181</v>
      </c>
      <c r="AH151">
        <f>25.3953724010076*1</f>
        <v>25.395372401007599</v>
      </c>
      <c r="AI151">
        <f>5.07932043801876*1</f>
        <v>5.07932043801876</v>
      </c>
      <c r="AJ151">
        <v>1</v>
      </c>
      <c r="AK151">
        <v>0</v>
      </c>
      <c r="AL151">
        <v>0</v>
      </c>
    </row>
    <row r="152" spans="1:38" hidden="1" x14ac:dyDescent="0.2">
      <c r="A152" t="s">
        <v>354</v>
      </c>
      <c r="B152" t="s">
        <v>355</v>
      </c>
      <c r="C152" t="s">
        <v>356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5.5</v>
      </c>
      <c r="AE152">
        <v>801</v>
      </c>
      <c r="AF152">
        <v>22.031557410740469</v>
      </c>
      <c r="AG152">
        <v>11.783783783783781</v>
      </c>
      <c r="AH152">
        <f>20.4145605904504*1</f>
        <v>20.4145605904504</v>
      </c>
      <c r="AI152">
        <f>5.45095317421621*1</f>
        <v>5.4509531742162096</v>
      </c>
      <c r="AJ152">
        <v>1</v>
      </c>
      <c r="AK152">
        <v>0</v>
      </c>
      <c r="AL152">
        <v>0</v>
      </c>
    </row>
    <row r="153" spans="1:38" hidden="1" x14ac:dyDescent="0.2">
      <c r="A153" t="s">
        <v>357</v>
      </c>
      <c r="B153" t="s">
        <v>358</v>
      </c>
      <c r="C153" t="s">
        <v>359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4.9000000000000004</v>
      </c>
      <c r="AE153">
        <v>802</v>
      </c>
      <c r="AF153">
        <v>21.029749473480742</v>
      </c>
      <c r="AG153">
        <v>9.2799999999999994</v>
      </c>
      <c r="AH153">
        <f>18.2605373906296*1</f>
        <v>18.260537390629601</v>
      </c>
      <c r="AI153">
        <f>2.08970449926934*1</f>
        <v>2.0897044992693399</v>
      </c>
      <c r="AJ153">
        <v>1</v>
      </c>
      <c r="AK153">
        <v>0</v>
      </c>
      <c r="AL153">
        <v>0</v>
      </c>
    </row>
    <row r="154" spans="1:38" hidden="1" x14ac:dyDescent="0.2">
      <c r="A154" t="s">
        <v>360</v>
      </c>
      <c r="B154" t="s">
        <v>361</v>
      </c>
      <c r="C154" t="s">
        <v>361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4.5</v>
      </c>
      <c r="AE154">
        <v>806</v>
      </c>
      <c r="AF154">
        <v>12.000000000000011</v>
      </c>
      <c r="AG154">
        <v>11.93258426966292</v>
      </c>
      <c r="AH154">
        <f>14.5538302934413*1</f>
        <v>14.553830293441299</v>
      </c>
      <c r="AI154">
        <f>3.63845757336033*1</f>
        <v>3.6384575733603302</v>
      </c>
      <c r="AJ154">
        <v>1</v>
      </c>
      <c r="AK154">
        <v>0</v>
      </c>
      <c r="AL154">
        <v>0</v>
      </c>
    </row>
    <row r="155" spans="1:38" hidden="1" x14ac:dyDescent="0.2">
      <c r="A155" t="s">
        <v>362</v>
      </c>
      <c r="B155" t="s">
        <v>363</v>
      </c>
      <c r="C155" t="s">
        <v>363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4.7</v>
      </c>
      <c r="AE155">
        <v>812</v>
      </c>
      <c r="AF155">
        <v>12.27025788053883</v>
      </c>
      <c r="AG155">
        <v>10.5003360482273</v>
      </c>
      <c r="AH155">
        <f>13.8221437970378*1</f>
        <v>13.8221437970378</v>
      </c>
      <c r="AI155">
        <f>3.68720746845611*1</f>
        <v>3.6872074684561098</v>
      </c>
      <c r="AJ155">
        <v>1</v>
      </c>
      <c r="AK155">
        <v>0</v>
      </c>
      <c r="AL155">
        <v>0</v>
      </c>
    </row>
    <row r="156" spans="1:38" hidden="1" x14ac:dyDescent="0.2">
      <c r="A156" t="s">
        <v>364</v>
      </c>
      <c r="B156" t="s">
        <v>365</v>
      </c>
      <c r="C156" t="s">
        <v>366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5.5</v>
      </c>
      <c r="AE156">
        <v>817</v>
      </c>
      <c r="AF156">
        <v>23.9783443435552</v>
      </c>
      <c r="AG156">
        <v>13.04805724497132</v>
      </c>
      <c r="AH156">
        <f>0*0</f>
        <v>0</v>
      </c>
      <c r="AI156">
        <f>3.70512290699816*0</f>
        <v>0</v>
      </c>
      <c r="AJ156">
        <v>0</v>
      </c>
      <c r="AK156">
        <v>0</v>
      </c>
      <c r="AL156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2024-03-08T18:58:51Z</dcterms:created>
  <dcterms:modified xsi:type="dcterms:W3CDTF">2024-03-08T19:00:32Z</dcterms:modified>
</cp:coreProperties>
</file>