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A082E16E-B451-1443-8BAF-1F88D572393C}" xr6:coauthVersionLast="47" xr6:coauthVersionMax="47" xr10:uidLastSave="{00000000-0000-0000-0000-000000000000}"/>
  <bookViews>
    <workbookView xWindow="8780" yWindow="376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0" l="1"/>
  <c r="F10" i="20" s="1"/>
  <c r="F9" i="20"/>
  <c r="D9" i="20"/>
  <c r="F8" i="20"/>
  <c r="D8" i="20"/>
  <c r="D7" i="20"/>
  <c r="F7" i="20" s="1"/>
  <c r="D6" i="20"/>
  <c r="F6" i="20" s="1"/>
  <c r="I5" i="20"/>
  <c r="F5" i="20"/>
  <c r="D5" i="20"/>
  <c r="F4" i="20"/>
  <c r="D4" i="20"/>
  <c r="F3" i="20"/>
  <c r="D3" i="20"/>
  <c r="F2" i="20"/>
  <c r="D2" i="20"/>
  <c r="D10" i="19"/>
  <c r="F10" i="19" s="1"/>
  <c r="F9" i="19"/>
  <c r="D9" i="19"/>
  <c r="F8" i="19"/>
  <c r="D8" i="19"/>
  <c r="D7" i="19"/>
  <c r="F7" i="19" s="1"/>
  <c r="F6" i="19"/>
  <c r="D6" i="19"/>
  <c r="I5" i="19"/>
  <c r="F5" i="19"/>
  <c r="D5" i="19"/>
  <c r="F4" i="19"/>
  <c r="D4" i="19"/>
  <c r="F3" i="19"/>
  <c r="D3" i="19"/>
  <c r="D2" i="19"/>
  <c r="F2" i="19" s="1"/>
  <c r="D11" i="18"/>
  <c r="F11" i="18" s="1"/>
  <c r="D10" i="18"/>
  <c r="F10" i="18" s="1"/>
  <c r="F9" i="18"/>
  <c r="D9" i="18"/>
  <c r="F8" i="18"/>
  <c r="D8" i="18"/>
  <c r="F7" i="18"/>
  <c r="D7" i="18"/>
  <c r="F6" i="18"/>
  <c r="D6" i="18"/>
  <c r="I5" i="18"/>
  <c r="F5" i="18"/>
  <c r="D5" i="18"/>
  <c r="F4" i="18"/>
  <c r="D4" i="18"/>
  <c r="D3" i="18"/>
  <c r="F3" i="18" s="1"/>
  <c r="D2" i="18"/>
  <c r="F2" i="18" s="1"/>
  <c r="I5" i="17"/>
  <c r="F4" i="17"/>
  <c r="D4" i="17"/>
  <c r="F3" i="17"/>
  <c r="D3" i="17"/>
  <c r="D2" i="17"/>
  <c r="F2" i="17" s="1"/>
  <c r="I7" i="17" s="1"/>
  <c r="F6" i="16"/>
  <c r="D6" i="16"/>
  <c r="I5" i="16"/>
  <c r="F5" i="16"/>
  <c r="D5" i="16"/>
  <c r="F4" i="16"/>
  <c r="D4" i="16"/>
  <c r="D3" i="16"/>
  <c r="F3" i="16" s="1"/>
  <c r="D2" i="16"/>
  <c r="F2" i="16" s="1"/>
  <c r="I7" i="16" s="1"/>
  <c r="D8" i="15"/>
  <c r="F8" i="15" s="1"/>
  <c r="D7" i="15"/>
  <c r="F7" i="15" s="1"/>
  <c r="D6" i="15"/>
  <c r="F6" i="15" s="1"/>
  <c r="I5" i="15"/>
  <c r="D5" i="15"/>
  <c r="F5" i="15" s="1"/>
  <c r="D4" i="15"/>
  <c r="F4" i="15" s="1"/>
  <c r="F3" i="15"/>
  <c r="D3" i="15"/>
  <c r="F2" i="15"/>
  <c r="D2" i="15"/>
  <c r="D7" i="14"/>
  <c r="F7" i="14" s="1"/>
  <c r="F6" i="14"/>
  <c r="D6" i="14"/>
  <c r="I5" i="14"/>
  <c r="F5" i="14"/>
  <c r="D5" i="14"/>
  <c r="F4" i="14"/>
  <c r="D4" i="14"/>
  <c r="D3" i="14"/>
  <c r="F3" i="14" s="1"/>
  <c r="F2" i="14"/>
  <c r="D2" i="14"/>
  <c r="D11" i="13"/>
  <c r="F11" i="13" s="1"/>
  <c r="F10" i="13"/>
  <c r="D10" i="13"/>
  <c r="F9" i="13"/>
  <c r="D9" i="13"/>
  <c r="D8" i="13"/>
  <c r="F8" i="13" s="1"/>
  <c r="F7" i="13"/>
  <c r="D7" i="13"/>
  <c r="F6" i="13"/>
  <c r="D6" i="13"/>
  <c r="I5" i="13"/>
  <c r="F5" i="13"/>
  <c r="D5" i="13"/>
  <c r="D4" i="13"/>
  <c r="F4" i="13" s="1"/>
  <c r="F3" i="13"/>
  <c r="D3" i="13"/>
  <c r="D2" i="13"/>
  <c r="F2" i="13" s="1"/>
  <c r="I5" i="12"/>
  <c r="F5" i="12"/>
  <c r="D5" i="12"/>
  <c r="D4" i="12"/>
  <c r="F4" i="12" s="1"/>
  <c r="F3" i="12"/>
  <c r="D3" i="12"/>
  <c r="D2" i="12"/>
  <c r="F2" i="12" s="1"/>
  <c r="I7" i="12" s="1"/>
  <c r="F12" i="11"/>
  <c r="D12" i="11"/>
  <c r="F11" i="11"/>
  <c r="D11" i="11"/>
  <c r="D10" i="11"/>
  <c r="F10" i="11" s="1"/>
  <c r="F9" i="11"/>
  <c r="D9" i="11"/>
  <c r="D8" i="11"/>
  <c r="F8" i="11" s="1"/>
  <c r="D7" i="11"/>
  <c r="F7" i="11" s="1"/>
  <c r="D6" i="11"/>
  <c r="F6" i="11" s="1"/>
  <c r="I5" i="11"/>
  <c r="F5" i="11"/>
  <c r="D5" i="11"/>
  <c r="D4" i="11"/>
  <c r="F4" i="11" s="1"/>
  <c r="F3" i="11"/>
  <c r="D3" i="11"/>
  <c r="F2" i="11"/>
  <c r="D2" i="11"/>
  <c r="D11" i="10"/>
  <c r="F11" i="10" s="1"/>
  <c r="F10" i="10"/>
  <c r="D10" i="10"/>
  <c r="D9" i="10"/>
  <c r="F9" i="10" s="1"/>
  <c r="F8" i="10"/>
  <c r="D8" i="10"/>
  <c r="D7" i="10"/>
  <c r="F7" i="10" s="1"/>
  <c r="D6" i="10"/>
  <c r="F6" i="10" s="1"/>
  <c r="D5" i="10"/>
  <c r="I5" i="10" s="1"/>
  <c r="F4" i="10"/>
  <c r="D4" i="10"/>
  <c r="F3" i="10"/>
  <c r="D3" i="10"/>
  <c r="D2" i="10"/>
  <c r="F2" i="10" s="1"/>
  <c r="F9" i="9"/>
  <c r="D9" i="9"/>
  <c r="D8" i="9"/>
  <c r="F8" i="9" s="1"/>
  <c r="D7" i="9"/>
  <c r="F7" i="9" s="1"/>
  <c r="D6" i="9"/>
  <c r="F6" i="9" s="1"/>
  <c r="I5" i="9"/>
  <c r="F5" i="9"/>
  <c r="D5" i="9"/>
  <c r="D4" i="9"/>
  <c r="F4" i="9" s="1"/>
  <c r="F3" i="9"/>
  <c r="D3" i="9"/>
  <c r="F2" i="9"/>
  <c r="D2" i="9"/>
  <c r="D9" i="8"/>
  <c r="F9" i="8" s="1"/>
  <c r="F8" i="8"/>
  <c r="D8" i="8"/>
  <c r="D7" i="8"/>
  <c r="F7" i="8" s="1"/>
  <c r="F6" i="8"/>
  <c r="D6" i="8"/>
  <c r="D5" i="8"/>
  <c r="I5" i="8" s="1"/>
  <c r="F4" i="8"/>
  <c r="D4" i="8"/>
  <c r="D3" i="8"/>
  <c r="F3" i="8" s="1"/>
  <c r="F2" i="8"/>
  <c r="D2" i="8"/>
  <c r="F9" i="7"/>
  <c r="D9" i="7"/>
  <c r="D8" i="7"/>
  <c r="F8" i="7" s="1"/>
  <c r="F7" i="7"/>
  <c r="D7" i="7"/>
  <c r="D6" i="7"/>
  <c r="F6" i="7" s="1"/>
  <c r="I5" i="7"/>
  <c r="F5" i="7"/>
  <c r="D5" i="7"/>
  <c r="F4" i="7"/>
  <c r="D4" i="7"/>
  <c r="F3" i="7"/>
  <c r="D3" i="7"/>
  <c r="D2" i="7"/>
  <c r="F2" i="7" s="1"/>
  <c r="I5" i="6"/>
  <c r="F5" i="6"/>
  <c r="D5" i="6"/>
  <c r="D4" i="6"/>
  <c r="F4" i="6" s="1"/>
  <c r="F3" i="6"/>
  <c r="D3" i="6"/>
  <c r="D2" i="6"/>
  <c r="F2" i="6" s="1"/>
  <c r="I7" i="6" s="1"/>
  <c r="D8" i="5"/>
  <c r="F8" i="5" s="1"/>
  <c r="D7" i="5"/>
  <c r="F7" i="5" s="1"/>
  <c r="D6" i="5"/>
  <c r="F6" i="5" s="1"/>
  <c r="D5" i="5"/>
  <c r="I5" i="5" s="1"/>
  <c r="D4" i="5"/>
  <c r="F4" i="5" s="1"/>
  <c r="F3" i="5"/>
  <c r="D3" i="5"/>
  <c r="D2" i="5"/>
  <c r="F2" i="5" s="1"/>
  <c r="F12" i="4"/>
  <c r="D12" i="4"/>
  <c r="D11" i="4"/>
  <c r="F11" i="4" s="1"/>
  <c r="D10" i="4"/>
  <c r="F10" i="4" s="1"/>
  <c r="F9" i="4"/>
  <c r="D9" i="4"/>
  <c r="D8" i="4"/>
  <c r="F8" i="4" s="1"/>
  <c r="F7" i="4"/>
  <c r="D7" i="4"/>
  <c r="D6" i="4"/>
  <c r="F6" i="4" s="1"/>
  <c r="I5" i="4"/>
  <c r="F5" i="4"/>
  <c r="D5" i="4"/>
  <c r="D4" i="4"/>
  <c r="F4" i="4" s="1"/>
  <c r="F3" i="4"/>
  <c r="D3" i="4"/>
  <c r="D2" i="4"/>
  <c r="F2" i="4" s="1"/>
  <c r="D12" i="3"/>
  <c r="F12" i="3" s="1"/>
  <c r="F11" i="3"/>
  <c r="D11" i="3"/>
  <c r="D10" i="3"/>
  <c r="F10" i="3" s="1"/>
  <c r="F9" i="3"/>
  <c r="D9" i="3"/>
  <c r="D8" i="3"/>
  <c r="F8" i="3" s="1"/>
  <c r="D7" i="3"/>
  <c r="F7" i="3" s="1"/>
  <c r="D6" i="3"/>
  <c r="F6" i="3" s="1"/>
  <c r="I5" i="3"/>
  <c r="F5" i="3"/>
  <c r="D5" i="3"/>
  <c r="D4" i="3"/>
  <c r="F4" i="3" s="1"/>
  <c r="D3" i="3"/>
  <c r="F3" i="3" s="1"/>
  <c r="F2" i="3"/>
  <c r="D2" i="3"/>
  <c r="D11" i="2"/>
  <c r="F11" i="2" s="1"/>
  <c r="F10" i="2"/>
  <c r="D10" i="2"/>
  <c r="D9" i="2"/>
  <c r="F9" i="2" s="1"/>
  <c r="D8" i="2"/>
  <c r="F8" i="2" s="1"/>
  <c r="D7" i="2"/>
  <c r="F7" i="2" s="1"/>
  <c r="D6" i="2"/>
  <c r="F6" i="2" s="1"/>
  <c r="D5" i="2"/>
  <c r="I5" i="2" s="1"/>
  <c r="D4" i="2"/>
  <c r="F4" i="2" s="1"/>
  <c r="F3" i="2"/>
  <c r="D3" i="2"/>
  <c r="D2" i="2"/>
  <c r="F2" i="2" s="1"/>
  <c r="F13" i="1"/>
  <c r="D13" i="1"/>
  <c r="D12" i="1"/>
  <c r="F12" i="1" s="1"/>
  <c r="D11" i="1"/>
  <c r="F11" i="1" s="1"/>
  <c r="F10" i="1"/>
  <c r="D10" i="1"/>
  <c r="D9" i="1"/>
  <c r="F9" i="1" s="1"/>
  <c r="F8" i="1"/>
  <c r="D8" i="1"/>
  <c r="D7" i="1"/>
  <c r="F7" i="1" s="1"/>
  <c r="D6" i="1"/>
  <c r="F6" i="1" s="1"/>
  <c r="D5" i="1"/>
  <c r="I5" i="1" s="1"/>
  <c r="F4" i="1"/>
  <c r="D4" i="1"/>
  <c r="D3" i="1"/>
  <c r="F3" i="1" s="1"/>
  <c r="D2" i="1"/>
  <c r="F2" i="1" s="1"/>
  <c r="I7" i="7" l="1"/>
  <c r="I7" i="18"/>
  <c r="I7" i="3"/>
  <c r="I7" i="14"/>
  <c r="I7" i="5"/>
  <c r="I7" i="8"/>
  <c r="I7" i="11"/>
  <c r="I7" i="15"/>
  <c r="I7" i="20"/>
  <c r="I7" i="4"/>
  <c r="I7" i="13"/>
  <c r="I7" i="19"/>
  <c r="I7" i="9"/>
  <c r="F5" i="1"/>
  <c r="I7" i="1" s="1"/>
  <c r="F5" i="8"/>
  <c r="F5" i="2"/>
  <c r="I7" i="2" s="1"/>
  <c r="F5" i="5"/>
  <c r="F5" i="10"/>
  <c r="I7" i="10" s="1"/>
</calcChain>
</file>

<file path=xl/sharedStrings.xml><?xml version="1.0" encoding="utf-8"?>
<sst xmlns="http://schemas.openxmlformats.org/spreadsheetml/2006/main" count="363" uniqueCount="173">
  <si>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</si>
  <si>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</si>
  <si>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</si>
  <si>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</si>
  <si>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</si>
  <si>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</si>
  <si>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</si>
  <si>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</si>
  <si>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</si>
  <si>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</si>
  <si>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</si>
  <si>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</si>
  <si>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</si>
  <si>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</si>
  <si>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</si>
  <si>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</si>
  <si>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</si>
  <si>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</si>
  <si>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</si>
  <si>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</si>
  <si>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</si>
  <si>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</si>
  <si>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</si>
  <si>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</si>
  <si>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</si>
  <si>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</si>
  <si>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</si>
  <si>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</si>
  <si>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</si>
  <si>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</si>
  <si>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</si>
  <si>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Pau</t>
  </si>
  <si>
    <t>Smith</t>
  </si>
  <si>
    <t>L.Cook</t>
  </si>
  <si>
    <t>Solanke</t>
  </si>
  <si>
    <t>Christie</t>
  </si>
  <si>
    <t>Tavernier</t>
  </si>
  <si>
    <t>Senesi</t>
  </si>
  <si>
    <t>Neto</t>
  </si>
  <si>
    <t>Semenyo</t>
  </si>
  <si>
    <t>Zabarnyi</t>
  </si>
  <si>
    <t>Kluivert</t>
  </si>
  <si>
    <t>Kerkez</t>
  </si>
  <si>
    <t>Nørgaard</t>
  </si>
  <si>
    <t>Pinnock</t>
  </si>
  <si>
    <t>Janelt</t>
  </si>
  <si>
    <t>Mbeumo</t>
  </si>
  <si>
    <t>Ajer</t>
  </si>
  <si>
    <t>Wissa</t>
  </si>
  <si>
    <t>Jensen</t>
  </si>
  <si>
    <t>Roerslev</t>
  </si>
  <si>
    <t>Collins</t>
  </si>
  <si>
    <t>Lewis-Potter</t>
  </si>
  <si>
    <t>Flekken</t>
  </si>
  <si>
    <t>Dunk</t>
  </si>
  <si>
    <t>Gross</t>
  </si>
  <si>
    <t>Welbeck</t>
  </si>
  <si>
    <t>João Pedro</t>
  </si>
  <si>
    <t>Van Hecke</t>
  </si>
  <si>
    <t>Buonanotte</t>
  </si>
  <si>
    <t>Adingra</t>
  </si>
  <si>
    <t>Brownhill</t>
  </si>
  <si>
    <t>O'Shea</t>
  </si>
  <si>
    <t>Bruun Larsen</t>
  </si>
  <si>
    <t>Odobert</t>
  </si>
  <si>
    <t>Sterling</t>
  </si>
  <si>
    <t>Gallagher</t>
  </si>
  <si>
    <t>Palmer</t>
  </si>
  <si>
    <t>T.Silva</t>
  </si>
  <si>
    <t>Colwill</t>
  </si>
  <si>
    <t>Mudryk</t>
  </si>
  <si>
    <t>Enzo</t>
  </si>
  <si>
    <t>N.Jackson</t>
  </si>
  <si>
    <t>Schlupp</t>
  </si>
  <si>
    <t>Hughes</t>
  </si>
  <si>
    <t>J.Ayew</t>
  </si>
  <si>
    <t>Mitchell</t>
  </si>
  <si>
    <t>Eze</t>
  </si>
  <si>
    <t>Andersen</t>
  </si>
  <si>
    <t>Mateta</t>
  </si>
  <si>
    <t>Lerma</t>
  </si>
  <si>
    <t>A.Doucoure</t>
  </si>
  <si>
    <t>Tarkowski</t>
  </si>
  <si>
    <t>Pickford</t>
  </si>
  <si>
    <t>Young</t>
  </si>
  <si>
    <t>Calvert-Lewin</t>
  </si>
  <si>
    <t>McNeil</t>
  </si>
  <si>
    <t>Garner</t>
  </si>
  <si>
    <t>Branthwaite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</si>
  <si>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</si>
  <si>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</si>
  <si>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</si>
  <si>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</si>
  <si>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</si>
  <si>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</si>
  <si>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</si>
  <si>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</si>
  <si>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</si>
  <si>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Bassey</t>
  </si>
  <si>
    <t>A.Becker</t>
  </si>
  <si>
    <t>Salah</t>
  </si>
  <si>
    <t>Alexander-Arnold</t>
  </si>
  <si>
    <t>Virgil</t>
  </si>
  <si>
    <t>Elliott</t>
  </si>
  <si>
    <t>Mac Allister</t>
  </si>
  <si>
    <t>Luis Díaz</t>
  </si>
  <si>
    <t>Darwin</t>
  </si>
  <si>
    <t>Gakpo</t>
  </si>
  <si>
    <t>Szoboszlai</t>
  </si>
  <si>
    <t>Gomez</t>
  </si>
  <si>
    <t>Barkley</t>
  </si>
  <si>
    <t>Chong</t>
  </si>
  <si>
    <t>Ogbene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</si>
  <si>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</si>
  <si>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</si>
  <si>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</si>
  <si>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</si>
  <si>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</si>
  <si>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</si>
  <si>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</si>
  <si>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</si>
  <si>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</si>
  <si>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Rúben</t>
  </si>
  <si>
    <t>Akanji</t>
  </si>
  <si>
    <t>Rashford</t>
  </si>
  <si>
    <t>McTominay</t>
  </si>
  <si>
    <t>B.Fernandes</t>
  </si>
  <si>
    <t>Dalot</t>
  </si>
  <si>
    <t>Garnacho</t>
  </si>
  <si>
    <t>Onana</t>
  </si>
  <si>
    <t>Trippier</t>
  </si>
  <si>
    <t>Schär</t>
  </si>
  <si>
    <t>Longstaff</t>
  </si>
  <si>
    <t>Burn</t>
  </si>
  <si>
    <t>Gordon</t>
  </si>
  <si>
    <t>Bruno G.</t>
  </si>
  <si>
    <t>Isak</t>
  </si>
  <si>
    <t>Wood</t>
  </si>
  <si>
    <t>Gibbs-White</t>
  </si>
  <si>
    <t>Hudson-Odoi</t>
  </si>
  <si>
    <t>Elanga</t>
  </si>
  <si>
    <t>Danilo</t>
  </si>
  <si>
    <t>Archer</t>
  </si>
  <si>
    <t>Vini Souza</t>
  </si>
  <si>
    <t>Hamer</t>
  </si>
  <si>
    <t>Maddison</t>
  </si>
  <si>
    <t>Richarlison</t>
  </si>
  <si>
    <t>Romero</t>
  </si>
  <si>
    <t>Kulusevski</t>
  </si>
  <si>
    <t>Johnson</t>
  </si>
  <si>
    <t>Son</t>
  </si>
  <si>
    <t>Sarr</t>
  </si>
  <si>
    <t>Pedro Porro</t>
  </si>
  <si>
    <t>Udogie</t>
  </si>
  <si>
    <t>Vicario</t>
  </si>
  <si>
    <t>Ward-Prowse</t>
  </si>
  <si>
    <t>Zouma</t>
  </si>
  <si>
    <t>Emerson</t>
  </si>
  <si>
    <t>Bowen</t>
  </si>
  <si>
    <t>Areola</t>
  </si>
  <si>
    <t>L.Paquetá</t>
  </si>
  <si>
    <t>Souček</t>
  </si>
  <si>
    <t>Álvarez</t>
  </si>
  <si>
    <t>Kudus</t>
  </si>
  <si>
    <t>Mario Jr.</t>
  </si>
  <si>
    <t>Dawson</t>
  </si>
  <si>
    <t>José Sá</t>
  </si>
  <si>
    <t>Toti</t>
  </si>
  <si>
    <t>Hee Chan</t>
  </si>
  <si>
    <t>Aït-Nouri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</si>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</sst>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1" totalsRowShown="0">
  <autoFilter ref="A1:F11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2" totalsRowShown="0">
  <autoFilter ref="A1:F12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5" totalsRowShown="0">
  <autoFilter ref="A1:F5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1" totalsRowShown="0">
  <autoFilter ref="A1:F11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7" totalsRowShown="0">
  <autoFilter ref="A1:F7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8" totalsRowShown="0">
  <autoFilter ref="A1:F8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6" totalsRowShown="0">
  <autoFilter ref="A1:F6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4" totalsRowShown="0">
  <autoFilter ref="A1:F4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1" totalsRowShown="0">
  <autoFilter ref="A1:F11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10" totalsRowShown="0">
  <autoFilter ref="A1:F10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1" totalsRowShown="0">
  <autoFilter ref="A1:F11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0" totalsRowShown="0">
  <autoFilter ref="A1:F10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12" totalsRowShown="0">
  <autoFilter ref="A1:F12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12" totalsRowShown="0">
  <autoFilter ref="A1:F12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8" totalsRowShown="0">
  <autoFilter ref="A1:F8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5" totalsRowShown="0">
  <autoFilter ref="A1:F5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9" totalsRowShown="0">
  <autoFilter ref="A1:F9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9" totalsRowShown="0">
  <autoFilter ref="A1:F9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9" totalsRowShown="0">
  <autoFilter ref="A1:F9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26.86835796489256</v>
      </c>
      <c r="C2">
        <v>26.416792962517341</v>
      </c>
      <c r="D2">
        <f>TableARS[[#This Row],[ARIMAPP]]*$I$2+TableARS[[#This Row],[LSTMPP]]*$I$3</f>
        <v>33.740511563746679</v>
      </c>
      <c r="E2">
        <v>50</v>
      </c>
      <c r="F2">
        <f>ABS(TableARS[[#This Row],[PP]]-TableARS[[#This Row],[AP]])</f>
        <v>16.259488436253321</v>
      </c>
      <c r="H2" t="s">
        <v>0</v>
      </c>
      <c r="I2">
        <v>1.2557712536000001</v>
      </c>
    </row>
    <row r="3" spans="1:9" x14ac:dyDescent="0.2">
      <c r="A3" t="s">
        <v>11</v>
      </c>
      <c r="B3">
        <v>40.653594771241821</v>
      </c>
      <c r="C3">
        <v>40.159444205223188</v>
      </c>
      <c r="D3">
        <f>TableARS[[#This Row],[ARIMAPP]]*$I$2+TableARS[[#This Row],[LSTMPP]]*$I$3</f>
        <v>51.051615669228752</v>
      </c>
      <c r="E3">
        <v>28</v>
      </c>
      <c r="F3">
        <f>ABS(TableARS[[#This Row],[PP]]-TableARS[[#This Row],[AP]])</f>
        <v>23.051615669228752</v>
      </c>
      <c r="H3" t="s">
        <v>1</v>
      </c>
      <c r="I3">
        <v>0</v>
      </c>
    </row>
    <row r="4" spans="1:9" x14ac:dyDescent="0.2">
      <c r="A4" t="s">
        <v>12</v>
      </c>
      <c r="B4">
        <v>34.134615384615373</v>
      </c>
      <c r="C4">
        <v>32.378572012734942</v>
      </c>
      <c r="D4">
        <f>TableARS[[#This Row],[ARIMAPP]]*$I$2+TableARS[[#This Row],[LSTMPP]]*$I$3</f>
        <v>42.865268752692295</v>
      </c>
      <c r="E4">
        <v>35</v>
      </c>
      <c r="F4">
        <f>ABS(TableARS[[#This Row],[PP]]-TableARS[[#This Row],[AP]])</f>
        <v>7.8652687526922946</v>
      </c>
    </row>
    <row r="5" spans="1:9" x14ac:dyDescent="0.2">
      <c r="A5" t="s">
        <v>13</v>
      </c>
      <c r="B5">
        <v>54.499883208924139</v>
      </c>
      <c r="C5">
        <v>39.799529095181818</v>
      </c>
      <c r="D5">
        <f>TableARS[[#This Row],[ARIMAPP]]*$I$2+TableARS[[#This Row],[LSTMPP]]*$I$3</f>
        <v>68.439386658324267</v>
      </c>
      <c r="E5">
        <v>82</v>
      </c>
      <c r="F5">
        <f>ABS(TableARS[[#This Row],[PP]]-TableARS[[#This Row],[AP]])</f>
        <v>13.560613341675733</v>
      </c>
      <c r="H5" t="s">
        <v>2</v>
      </c>
      <c r="I5">
        <f>SUM(ABS(TableARS[[#This Row],[PP]]-TableARS[[#This Row],[AP]]))</f>
        <v>13.560613341675733</v>
      </c>
    </row>
    <row r="6" spans="1:9" x14ac:dyDescent="0.2">
      <c r="A6" t="s">
        <v>14</v>
      </c>
      <c r="B6">
        <v>39.207915567678427</v>
      </c>
      <c r="C6">
        <v>41.180786790127833</v>
      </c>
      <c r="D6">
        <f>TableARS[[#This Row],[ARIMAPP]]*$I$2+TableARS[[#This Row],[LSTMPP]]*$I$3</f>
        <v>49.236173283466499</v>
      </c>
      <c r="E6">
        <v>38</v>
      </c>
      <c r="F6">
        <f>ABS(TableARS[[#This Row],[PP]]-TableARS[[#This Row],[AP]])</f>
        <v>11.236173283466499</v>
      </c>
    </row>
    <row r="7" spans="1:9" x14ac:dyDescent="0.2">
      <c r="A7" t="s">
        <v>15</v>
      </c>
      <c r="B7">
        <v>31.743119266055011</v>
      </c>
      <c r="C7">
        <v>31.465073146366709</v>
      </c>
      <c r="D7">
        <f>TableARS[[#This Row],[ARIMAPP]]*$I$2+TableARS[[#This Row],[LSTMPP]]*$I$3</f>
        <v>39.862096673908219</v>
      </c>
      <c r="E7">
        <v>97</v>
      </c>
      <c r="F7">
        <f>ABS(TableARS[[#This Row],[PP]]-TableARS[[#This Row],[AP]])</f>
        <v>57.137903326091781</v>
      </c>
      <c r="H7" t="s">
        <v>3</v>
      </c>
      <c r="I7">
        <f>AVERAGE(TableARS[DIFF])/10</f>
        <v>1.7174139517228155</v>
      </c>
    </row>
    <row r="8" spans="1:9" x14ac:dyDescent="0.2">
      <c r="A8" t="s">
        <v>16</v>
      </c>
      <c r="B8">
        <v>48.700195828011402</v>
      </c>
      <c r="C8">
        <v>41.645704784971613</v>
      </c>
      <c r="D8">
        <f>TableARS[[#This Row],[ARIMAPP]]*$I$2+TableARS[[#This Row],[LSTMPP]]*$I$3</f>
        <v>61.156305965507372</v>
      </c>
      <c r="E8">
        <v>61</v>
      </c>
      <c r="F8">
        <f>ABS(TableARS[[#This Row],[PP]]-TableARS[[#This Row],[AP]])</f>
        <v>0.15630596550737152</v>
      </c>
    </row>
    <row r="9" spans="1:9" x14ac:dyDescent="0.2">
      <c r="A9" t="s">
        <v>17</v>
      </c>
      <c r="B9">
        <v>40.897435897435876</v>
      </c>
      <c r="C9">
        <v>41.205818354755607</v>
      </c>
      <c r="D9">
        <f>TableARS[[#This Row],[ARIMAPP]]*$I$2+TableARS[[#This Row],[LSTMPP]]*$I$3</f>
        <v>51.357824345948693</v>
      </c>
      <c r="E9">
        <v>45</v>
      </c>
      <c r="F9">
        <f>ABS(TableARS[[#This Row],[PP]]-TableARS[[#This Row],[AP]])</f>
        <v>6.3578243459486927</v>
      </c>
    </row>
    <row r="10" spans="1:9" x14ac:dyDescent="0.2">
      <c r="A10" t="s">
        <v>18</v>
      </c>
      <c r="B10">
        <v>38.771980538963497</v>
      </c>
      <c r="C10">
        <v>41.373266859692542</v>
      </c>
      <c r="D10">
        <f>TableARS[[#This Row],[ARIMAPP]]*$I$2+TableARS[[#This Row],[LSTMPP]]*$I$3</f>
        <v>48.688738605969</v>
      </c>
      <c r="E10">
        <v>43</v>
      </c>
      <c r="F10">
        <f>ABS(TableARS[[#This Row],[PP]]-TableARS[[#This Row],[AP]])</f>
        <v>5.6887386059690002</v>
      </c>
    </row>
    <row r="11" spans="1:9" x14ac:dyDescent="0.2">
      <c r="A11" t="s">
        <v>19</v>
      </c>
      <c r="B11">
        <v>39.661016949152533</v>
      </c>
      <c r="C11">
        <v>40.793459518581592</v>
      </c>
      <c r="D11">
        <f>TableARS[[#This Row],[ARIMAPP]]*$I$2+TableARS[[#This Row],[LSTMPP]]*$I$3</f>
        <v>49.805164973288129</v>
      </c>
      <c r="E11">
        <v>75</v>
      </c>
      <c r="F11">
        <f>ABS(TableARS[[#This Row],[PP]]-TableARS[[#This Row],[AP]])</f>
        <v>25.194835026711871</v>
      </c>
    </row>
    <row r="12" spans="1:9" x14ac:dyDescent="0.2">
      <c r="A12" t="s">
        <v>20</v>
      </c>
      <c r="B12">
        <v>48.909090909090899</v>
      </c>
      <c r="C12">
        <v>44.9594219444934</v>
      </c>
      <c r="D12">
        <f>TableARS[[#This Row],[ARIMAPP]]*$I$2+TableARS[[#This Row],[LSTMPP]]*$I$3</f>
        <v>61.418630403345446</v>
      </c>
      <c r="E12">
        <v>29</v>
      </c>
      <c r="F12">
        <f>ABS(TableARS[[#This Row],[PP]]-TableARS[[#This Row],[AP]])</f>
        <v>32.418630403345446</v>
      </c>
    </row>
    <row r="13" spans="1:9" x14ac:dyDescent="0.2">
      <c r="A13" t="s">
        <v>21</v>
      </c>
      <c r="B13">
        <v>37.556423524303447</v>
      </c>
      <c r="C13">
        <v>33.784016312163473</v>
      </c>
      <c r="D13">
        <f>TableARS[[#This Row],[ARIMAPP]]*$I$2+TableARS[[#This Row],[LSTMPP]]*$I$3</f>
        <v>47.16227704984707</v>
      </c>
      <c r="E13">
        <v>40</v>
      </c>
      <c r="F13">
        <f>ABS(TableARS[[#This Row],[PP]]-TableARS[[#This Row],[AP]])</f>
        <v>7.16227704984707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89</v>
      </c>
      <c r="B2">
        <v>27.278106508875741</v>
      </c>
      <c r="C2">
        <v>26.106822964686931</v>
      </c>
      <c r="D2">
        <f>TableFUL[[#This Row],[ARIMAPP]]*$I$2+TableFUL[[#This Row],[LSTMPP]]*$I$3</f>
        <v>28.864110762302943</v>
      </c>
      <c r="E2">
        <v>41</v>
      </c>
      <c r="F2">
        <f>ABS(TableFUL[[#This Row],[PP]]-TableFUL[[#This Row],[AP]])</f>
        <v>12.135889237697057</v>
      </c>
      <c r="H2" t="s">
        <v>0</v>
      </c>
      <c r="I2">
        <v>0</v>
      </c>
    </row>
    <row r="3" spans="1:9" x14ac:dyDescent="0.2">
      <c r="A3" t="s">
        <v>90</v>
      </c>
      <c r="B3">
        <v>36.419838769063539</v>
      </c>
      <c r="C3">
        <v>33.610835993371552</v>
      </c>
      <c r="D3">
        <f>TableFUL[[#This Row],[ARIMAPP]]*$I$2+TableFUL[[#This Row],[LSTMPP]]*$I$3</f>
        <v>37.160664636923919</v>
      </c>
      <c r="E3">
        <v>38</v>
      </c>
      <c r="F3">
        <f>ABS(TableFUL[[#This Row],[PP]]-TableFUL[[#This Row],[AP]])</f>
        <v>0.83933536307608136</v>
      </c>
      <c r="H3" t="s">
        <v>1</v>
      </c>
      <c r="I3">
        <v>1.105615601</v>
      </c>
    </row>
    <row r="4" spans="1:9" x14ac:dyDescent="0.2">
      <c r="A4" t="s">
        <v>91</v>
      </c>
      <c r="B4">
        <v>25.749999999999989</v>
      </c>
      <c r="C4">
        <v>27.886022892892189</v>
      </c>
      <c r="D4">
        <f>TableFUL[[#This Row],[ARIMAPP]]*$I$2+TableFUL[[#This Row],[LSTMPP]]*$I$3</f>
        <v>30.831221960224756</v>
      </c>
      <c r="E4">
        <v>24</v>
      </c>
      <c r="F4">
        <f>ABS(TableFUL[[#This Row],[PP]]-TableFUL[[#This Row],[AP]])</f>
        <v>6.8312219602247559</v>
      </c>
    </row>
    <row r="5" spans="1:9" x14ac:dyDescent="0.2">
      <c r="A5" t="s">
        <v>92</v>
      </c>
      <c r="B5">
        <v>30.349399225061251</v>
      </c>
      <c r="C5">
        <v>30.717346533042861</v>
      </c>
      <c r="D5">
        <f>TableFUL[[#This Row],[ARIMAPP]]*$I$2+TableFUL[[#This Row],[LSTMPP]]*$I$3</f>
        <v>33.961577548255448</v>
      </c>
      <c r="E5">
        <v>45</v>
      </c>
      <c r="F5">
        <f>ABS(TableFUL[[#This Row],[PP]]-TableFUL[[#This Row],[AP]])</f>
        <v>11.038422451744552</v>
      </c>
      <c r="H5" t="s">
        <v>2</v>
      </c>
      <c r="I5">
        <f>SUM(ABS(TableFUL[[#This Row],[PP]]-TableFUL[[#This Row],[AP]]))</f>
        <v>11.038422451744552</v>
      </c>
    </row>
    <row r="6" spans="1:9" x14ac:dyDescent="0.2">
      <c r="A6" t="s">
        <v>93</v>
      </c>
      <c r="B6">
        <v>24.642857142857149</v>
      </c>
      <c r="C6">
        <v>22.80312556884903</v>
      </c>
      <c r="D6">
        <f>TableFUL[[#This Row],[ARIMAPP]]*$I$2+TableFUL[[#This Row],[LSTMPP]]*$I$3</f>
        <v>25.211491380481487</v>
      </c>
      <c r="E6">
        <v>33</v>
      </c>
      <c r="F6">
        <f>ABS(TableFUL[[#This Row],[PP]]-TableFUL[[#This Row],[AP]])</f>
        <v>7.7885086195185131</v>
      </c>
    </row>
    <row r="7" spans="1:9" x14ac:dyDescent="0.2">
      <c r="A7" t="s">
        <v>94</v>
      </c>
      <c r="B7">
        <v>24.195660243335631</v>
      </c>
      <c r="C7">
        <v>24.44284068757284</v>
      </c>
      <c r="D7">
        <f>TableFUL[[#This Row],[ARIMAPP]]*$I$2+TableFUL[[#This Row],[LSTMPP]]*$I$3</f>
        <v>27.024385996938097</v>
      </c>
      <c r="E7">
        <v>24</v>
      </c>
      <c r="F7">
        <f>ABS(TableFUL[[#This Row],[PP]]-TableFUL[[#This Row],[AP]])</f>
        <v>3.0243859969380971</v>
      </c>
      <c r="H7" t="s">
        <v>3</v>
      </c>
      <c r="I7">
        <f>AVERAGE(TableFUL[DIFF])/10</f>
        <v>0.85095794115568957</v>
      </c>
    </row>
    <row r="8" spans="1:9" x14ac:dyDescent="0.2">
      <c r="A8" t="s">
        <v>95</v>
      </c>
      <c r="B8">
        <v>35.087719298245617</v>
      </c>
      <c r="C8">
        <v>39.544336028414413</v>
      </c>
      <c r="D8">
        <f>TableFUL[[#This Row],[ARIMAPP]]*$I$2+TableFUL[[#This Row],[LSTMPP]]*$I$3</f>
        <v>43.720834844201356</v>
      </c>
      <c r="E8">
        <v>44</v>
      </c>
      <c r="F8">
        <f>ABS(TableFUL[[#This Row],[PP]]-TableFUL[[#This Row],[AP]])</f>
        <v>0.27916515579864409</v>
      </c>
    </row>
    <row r="9" spans="1:9" x14ac:dyDescent="0.2">
      <c r="A9" t="s">
        <v>96</v>
      </c>
      <c r="B9">
        <v>26.581828478104711</v>
      </c>
      <c r="C9">
        <v>31.403117824057809</v>
      </c>
      <c r="D9">
        <f>TableFUL[[#This Row],[ARIMAPP]]*$I$2+TableFUL[[#This Row],[LSTMPP]]*$I$3</f>
        <v>34.719776986319488</v>
      </c>
      <c r="E9">
        <v>32</v>
      </c>
      <c r="F9">
        <f>ABS(TableFUL[[#This Row],[PP]]-TableFUL[[#This Row],[AP]])</f>
        <v>2.7197769863194878</v>
      </c>
    </row>
    <row r="10" spans="1:9" x14ac:dyDescent="0.2">
      <c r="A10" t="s">
        <v>97</v>
      </c>
      <c r="B10">
        <v>40.772372544125943</v>
      </c>
      <c r="C10">
        <v>38.532382768043711</v>
      </c>
      <c r="D10">
        <f>TableFUL[[#This Row],[ARIMAPP]]*$I$2+TableFUL[[#This Row],[LSTMPP]]*$I$3</f>
        <v>42.602003532052692</v>
      </c>
      <c r="E10">
        <v>21</v>
      </c>
      <c r="F10">
        <f>ABS(TableFUL[[#This Row],[PP]]-TableFUL[[#This Row],[AP]])</f>
        <v>21.602003532052692</v>
      </c>
    </row>
    <row r="11" spans="1:9" x14ac:dyDescent="0.2">
      <c r="A11" t="s">
        <v>98</v>
      </c>
      <c r="B11">
        <v>14.375</v>
      </c>
      <c r="C11">
        <v>16.42787526819723</v>
      </c>
      <c r="D11">
        <f>TableFUL[[#This Row],[ARIMAPP]]*$I$2+TableFUL[[#This Row],[LSTMPP]]*$I$3</f>
        <v>18.162915187800916</v>
      </c>
      <c r="E11">
        <v>37</v>
      </c>
      <c r="F11">
        <f>ABS(TableFUL[[#This Row],[PP]]-TableFUL[[#This Row],[AP]])</f>
        <v>18.837084812199084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99</v>
      </c>
      <c r="B2">
        <v>44.223970411096623</v>
      </c>
      <c r="C2">
        <v>42.478920681898359</v>
      </c>
      <c r="D2">
        <f>TableLIV[[#This Row],[ARIMAPP]]*$I$2+TableLIV[[#This Row],[LSTMPP]]*$I$3</f>
        <v>35.720016681695391</v>
      </c>
      <c r="E2">
        <v>33</v>
      </c>
      <c r="F2">
        <f>ABS(TableLIV[[#This Row],[PP]]-TableLIV[[#This Row],[AP]])</f>
        <v>2.720016681695391</v>
      </c>
      <c r="H2" t="s">
        <v>0</v>
      </c>
      <c r="I2">
        <v>0.25129145865000002</v>
      </c>
    </row>
    <row r="3" spans="1:9" x14ac:dyDescent="0.2">
      <c r="A3" t="s">
        <v>100</v>
      </c>
      <c r="B3">
        <v>69.10526315789474</v>
      </c>
      <c r="C3">
        <v>67.350339994860846</v>
      </c>
      <c r="D3">
        <f>TableLIV[[#This Row],[ARIMAPP]]*$I$2+TableLIV[[#This Row],[LSTMPP]]*$I$3</f>
        <v>56.379825733567714</v>
      </c>
      <c r="E3">
        <v>52</v>
      </c>
      <c r="F3">
        <f>ABS(TableLIV[[#This Row],[PP]]-TableLIV[[#This Row],[AP]])</f>
        <v>4.3798257335677135</v>
      </c>
      <c r="H3" t="s">
        <v>1</v>
      </c>
      <c r="I3">
        <v>0.57927344326999997</v>
      </c>
    </row>
    <row r="4" spans="1:9" x14ac:dyDescent="0.2">
      <c r="A4" t="s">
        <v>101</v>
      </c>
      <c r="B4">
        <v>52.97544402671695</v>
      </c>
      <c r="C4">
        <v>50.647014587578312</v>
      </c>
      <c r="D4">
        <f>TableLIV[[#This Row],[ARIMAPP]]*$I$2+TableLIV[[#This Row],[LSTMPP]]*$I$3</f>
        <v>42.650747133597534</v>
      </c>
      <c r="E4">
        <v>31</v>
      </c>
      <c r="F4">
        <f>ABS(TableLIV[[#This Row],[PP]]-TableLIV[[#This Row],[AP]])</f>
        <v>11.650747133597534</v>
      </c>
    </row>
    <row r="5" spans="1:9" x14ac:dyDescent="0.2">
      <c r="A5" t="s">
        <v>102</v>
      </c>
      <c r="B5">
        <v>47.469135802469182</v>
      </c>
      <c r="C5">
        <v>52.8380057149568</v>
      </c>
      <c r="D5">
        <f>TableLIV[[#This Row],[ARIMAPP]]*$I$2+TableLIV[[#This Row],[LSTMPP]]*$I$3</f>
        <v>42.536241882680386</v>
      </c>
      <c r="E5">
        <v>25</v>
      </c>
      <c r="F5">
        <f>ABS(TableLIV[[#This Row],[PP]]-TableLIV[[#This Row],[AP]])</f>
        <v>17.536241882680386</v>
      </c>
      <c r="H5" t="s">
        <v>2</v>
      </c>
      <c r="I5">
        <f>SUM(ABS(TableLIV[[#This Row],[PP]]-TableLIV[[#This Row],[AP]]))</f>
        <v>17.536241882680386</v>
      </c>
    </row>
    <row r="6" spans="1:9" x14ac:dyDescent="0.2">
      <c r="A6" t="s">
        <v>103</v>
      </c>
      <c r="B6">
        <v>18.305084745762699</v>
      </c>
      <c r="C6">
        <v>16.46716244352719</v>
      </c>
      <c r="D6">
        <f>TableLIV[[#This Row],[ARIMAPP]]*$I$2+TableLIV[[#This Row],[LSTMPP]]*$I$3</f>
        <v>14.138901336022995</v>
      </c>
      <c r="E6">
        <v>35</v>
      </c>
      <c r="F6">
        <f>ABS(TableLIV[[#This Row],[PP]]-TableLIV[[#This Row],[AP]])</f>
        <v>20.861098663977003</v>
      </c>
    </row>
    <row r="7" spans="1:9" x14ac:dyDescent="0.2">
      <c r="A7" t="s">
        <v>104</v>
      </c>
      <c r="B7">
        <v>28.224299065420539</v>
      </c>
      <c r="C7">
        <v>35.844367039886102</v>
      </c>
      <c r="D7">
        <f>TableLIV[[#This Row],[ARIMAPP]]*$I$2+TableLIV[[#This Row],[LSTMPP]]*$I$3</f>
        <v>27.85621519855188</v>
      </c>
      <c r="E7">
        <v>48</v>
      </c>
      <c r="F7">
        <f>ABS(TableLIV[[#This Row],[PP]]-TableLIV[[#This Row],[AP]])</f>
        <v>20.14378480144812</v>
      </c>
      <c r="H7" t="s">
        <v>3</v>
      </c>
      <c r="I7">
        <f>AVERAGE(TableLIV[DIFF])/10</f>
        <v>1.0705680087570284</v>
      </c>
    </row>
    <row r="8" spans="1:9" x14ac:dyDescent="0.2">
      <c r="A8" t="s">
        <v>105</v>
      </c>
      <c r="B8">
        <v>34.375000000000007</v>
      </c>
      <c r="C8">
        <v>31.662538291209401</v>
      </c>
      <c r="D8">
        <f>TableLIV[[#This Row],[ARIMAPP]]*$I$2+TableLIV[[#This Row],[LSTMPP]]*$I$3</f>
        <v>26.979411469710847</v>
      </c>
      <c r="E8">
        <v>52</v>
      </c>
      <c r="F8">
        <f>ABS(TableLIV[[#This Row],[PP]]-TableLIV[[#This Row],[AP]])</f>
        <v>25.020588530289153</v>
      </c>
    </row>
    <row r="9" spans="1:9" x14ac:dyDescent="0.2">
      <c r="A9" t="s">
        <v>106</v>
      </c>
      <c r="B9">
        <v>38.367346938775519</v>
      </c>
      <c r="C9">
        <v>40.566339771651514</v>
      </c>
      <c r="D9">
        <f>TableLIV[[#This Row],[ARIMAPP]]*$I$2+TableLIV[[#This Row],[LSTMPP]]*$I$3</f>
        <v>33.14038989716083</v>
      </c>
      <c r="E9">
        <v>38</v>
      </c>
      <c r="F9">
        <f>ABS(TableLIV[[#This Row],[PP]]-TableLIV[[#This Row],[AP]])</f>
        <v>4.8596101028391701</v>
      </c>
    </row>
    <row r="10" spans="1:9" x14ac:dyDescent="0.2">
      <c r="A10" t="s">
        <v>107</v>
      </c>
      <c r="B10">
        <v>32.051282051282051</v>
      </c>
      <c r="C10">
        <v>29.91520861632112</v>
      </c>
      <c r="D10">
        <f>TableLIV[[#This Row],[ARIMAPP]]*$I$2+TableLIV[[#This Row],[LSTMPP]]*$I$3</f>
        <v>25.383299319585937</v>
      </c>
      <c r="E10">
        <v>27</v>
      </c>
      <c r="F10">
        <f>ABS(TableLIV[[#This Row],[PP]]-TableLIV[[#This Row],[AP]])</f>
        <v>1.6167006804140627</v>
      </c>
    </row>
    <row r="11" spans="1:9" x14ac:dyDescent="0.2">
      <c r="A11" t="s">
        <v>108</v>
      </c>
      <c r="B11">
        <v>37.368421052631582</v>
      </c>
      <c r="C11">
        <v>36.240879069317572</v>
      </c>
      <c r="D11">
        <f>TableLIV[[#This Row],[ARIMAPP]]*$I$2+TableLIV[[#This Row],[LSTMPP]]*$I$3</f>
        <v>30.383743839378422</v>
      </c>
      <c r="E11">
        <v>24</v>
      </c>
      <c r="F11">
        <f>ABS(TableLIV[[#This Row],[PP]]-TableLIV[[#This Row],[AP]])</f>
        <v>6.3837438393784218</v>
      </c>
    </row>
    <row r="12" spans="1:9" x14ac:dyDescent="0.2">
      <c r="A12" t="s">
        <v>109</v>
      </c>
      <c r="B12">
        <v>24.085472651283009</v>
      </c>
      <c r="C12">
        <v>21.332591154258111</v>
      </c>
      <c r="D12">
        <f>TableLIV[[#This Row],[ARIMAPP]]*$I$2+TableLIV[[#This Row],[LSTMPP]]*$I$3</f>
        <v>18.409877086613829</v>
      </c>
      <c r="E12">
        <v>21</v>
      </c>
      <c r="F12">
        <f>ABS(TableLIV[[#This Row],[PP]]-TableLIV[[#This Row],[AP]])</f>
        <v>2.5901229133861712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110</v>
      </c>
      <c r="B2">
        <v>32.401901363117609</v>
      </c>
      <c r="C2">
        <v>25.123490226356068</v>
      </c>
      <c r="D2">
        <f>TableLUT[[#This Row],[ARIMAPP]]*$I$2+TableLUT[[#This Row],[LSTMPP]]*$I$3</f>
        <v>37.840668715754568</v>
      </c>
      <c r="E2">
        <v>31</v>
      </c>
      <c r="F2">
        <f>ABS(TableLUT[[#This Row],[PP]]-TableLUT[[#This Row],[AP]])</f>
        <v>6.8406687157545676</v>
      </c>
      <c r="H2" t="s">
        <v>0</v>
      </c>
      <c r="I2">
        <v>0</v>
      </c>
    </row>
    <row r="3" spans="1:9" x14ac:dyDescent="0.2">
      <c r="A3" t="s">
        <v>111</v>
      </c>
      <c r="B3">
        <v>13.47826086956522</v>
      </c>
      <c r="C3">
        <v>16.171576206761809</v>
      </c>
      <c r="D3">
        <f>TableLUT[[#This Row],[ARIMAPP]]*$I$2+TableLUT[[#This Row],[LSTMPP]]*$I$3</f>
        <v>24.357414210294987</v>
      </c>
      <c r="E3">
        <v>40</v>
      </c>
      <c r="F3">
        <f>ABS(TableLUT[[#This Row],[PP]]-TableLUT[[#This Row],[AP]])</f>
        <v>15.642585789705013</v>
      </c>
      <c r="H3" t="s">
        <v>1</v>
      </c>
      <c r="I3">
        <v>1.5061867748</v>
      </c>
    </row>
    <row r="4" spans="1:9" x14ac:dyDescent="0.2">
      <c r="A4" t="s">
        <v>112</v>
      </c>
      <c r="B4">
        <v>21.333333333333329</v>
      </c>
      <c r="C4">
        <v>12.592102368052389</v>
      </c>
      <c r="D4">
        <f>TableLUT[[#This Row],[ARIMAPP]]*$I$2+TableLUT[[#This Row],[LSTMPP]]*$I$3</f>
        <v>18.966058053688268</v>
      </c>
      <c r="E4">
        <v>37</v>
      </c>
      <c r="F4">
        <f>ABS(TableLUT[[#This Row],[PP]]-TableLUT[[#This Row],[AP]])</f>
        <v>18.033941946311732</v>
      </c>
    </row>
    <row r="5" spans="1:9" x14ac:dyDescent="0.2">
      <c r="A5" t="s">
        <v>113</v>
      </c>
      <c r="B5">
        <v>47.979211678997068</v>
      </c>
      <c r="C5">
        <v>31.136836730615261</v>
      </c>
      <c r="D5">
        <f>TableLUT[[#This Row],[ARIMAPP]]*$I$2+TableLUT[[#This Row],[LSTMPP]]*$I$3</f>
        <v>46.897891692759579</v>
      </c>
      <c r="E5">
        <v>37</v>
      </c>
      <c r="F5">
        <f>ABS(TableLUT[[#This Row],[PP]]-TableLUT[[#This Row],[AP]])</f>
        <v>9.897891692759579</v>
      </c>
      <c r="H5" t="s">
        <v>2</v>
      </c>
      <c r="I5">
        <f>SUM(ABS(TableLUT[[#This Row],[PP]]-TableLUT[[#This Row],[AP]]))</f>
        <v>9.897891692759579</v>
      </c>
    </row>
    <row r="7" spans="1:9" x14ac:dyDescent="0.2">
      <c r="H7" t="s">
        <v>3</v>
      </c>
      <c r="I7">
        <f>AVERAGE(TableLUT[DIFF])/10</f>
        <v>1.2603772036132723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114</v>
      </c>
      <c r="B2">
        <v>39.047619047619129</v>
      </c>
      <c r="C2">
        <v>41.245795656365097</v>
      </c>
      <c r="D2">
        <f>TableMCI[[#This Row],[ARIMAPP]]*$I$2+TableMCI[[#This Row],[LSTMPP]]*$I$3</f>
        <v>43.784716360761998</v>
      </c>
      <c r="E2">
        <v>37</v>
      </c>
      <c r="F2">
        <f>ABS(TableMCI[[#This Row],[PP]]-TableMCI[[#This Row],[AP]])</f>
        <v>6.7847163607619976</v>
      </c>
      <c r="H2" t="s">
        <v>0</v>
      </c>
      <c r="I2">
        <v>1.1213159068</v>
      </c>
    </row>
    <row r="3" spans="1:9" x14ac:dyDescent="0.2">
      <c r="A3" t="s">
        <v>115</v>
      </c>
      <c r="B3">
        <v>30.074845380311331</v>
      </c>
      <c r="C3">
        <v>42.542327219441567</v>
      </c>
      <c r="D3">
        <f>TableMCI[[#This Row],[ARIMAPP]]*$I$2+TableMCI[[#This Row],[LSTMPP]]*$I$3</f>
        <v>33.72340251949359</v>
      </c>
      <c r="E3">
        <v>48</v>
      </c>
      <c r="F3">
        <f>ABS(TableMCI[[#This Row],[PP]]-TableMCI[[#This Row],[AP]])</f>
        <v>14.27659748050641</v>
      </c>
      <c r="H3" t="s">
        <v>1</v>
      </c>
      <c r="I3">
        <v>0</v>
      </c>
    </row>
    <row r="4" spans="1:9" x14ac:dyDescent="0.2">
      <c r="A4" t="s">
        <v>116</v>
      </c>
      <c r="B4">
        <v>32.595419847328237</v>
      </c>
      <c r="C4">
        <v>29.922046718210261</v>
      </c>
      <c r="D4">
        <f>TableMCI[[#This Row],[ARIMAPP]]*$I$2+TableMCI[[#This Row],[LSTMPP]]*$I$3</f>
        <v>36.549762763633581</v>
      </c>
      <c r="E4">
        <v>40</v>
      </c>
      <c r="F4">
        <f>ABS(TableMCI[[#This Row],[PP]]-TableMCI[[#This Row],[AP]])</f>
        <v>3.4502372363664193</v>
      </c>
    </row>
    <row r="5" spans="1:9" x14ac:dyDescent="0.2">
      <c r="A5" t="s">
        <v>117</v>
      </c>
      <c r="B5">
        <v>48.925065884443057</v>
      </c>
      <c r="C5">
        <v>39.673148896397052</v>
      </c>
      <c r="D5">
        <f>TableMCI[[#This Row],[ARIMAPP]]*$I$2+TableMCI[[#This Row],[LSTMPP]]*$I$3</f>
        <v>54.860454617464015</v>
      </c>
      <c r="E5">
        <v>99</v>
      </c>
      <c r="F5">
        <f>ABS(TableMCI[[#This Row],[PP]]-TableMCI[[#This Row],[AP]])</f>
        <v>44.139545382535985</v>
      </c>
      <c r="H5" t="s">
        <v>2</v>
      </c>
      <c r="I5">
        <f>SUM(ABS(TableMCI[[#This Row],[PP]]-TableMCI[[#This Row],[AP]]))</f>
        <v>44.139545382535985</v>
      </c>
    </row>
    <row r="6" spans="1:9" x14ac:dyDescent="0.2">
      <c r="A6" t="s">
        <v>118</v>
      </c>
      <c r="B6">
        <v>32.759690188090737</v>
      </c>
      <c r="C6">
        <v>28.660145741955901</v>
      </c>
      <c r="D6">
        <f>TableMCI[[#This Row],[ARIMAPP]]*$I$2+TableMCI[[#This Row],[LSTMPP]]*$I$3</f>
        <v>36.733961709746026</v>
      </c>
      <c r="E6">
        <v>46</v>
      </c>
      <c r="F6">
        <f>ABS(TableMCI[[#This Row],[PP]]-TableMCI[[#This Row],[AP]])</f>
        <v>9.2660382902539737</v>
      </c>
    </row>
    <row r="7" spans="1:9" x14ac:dyDescent="0.2">
      <c r="A7" t="s">
        <v>119</v>
      </c>
      <c r="B7">
        <v>78.723404255319124</v>
      </c>
      <c r="C7">
        <v>73.697439320314757</v>
      </c>
      <c r="D7">
        <f>TableMCI[[#This Row],[ARIMAPP]]*$I$2+TableMCI[[#This Row],[LSTMPP]]*$I$3</f>
        <v>88.273805428936143</v>
      </c>
      <c r="E7">
        <v>64</v>
      </c>
      <c r="F7">
        <f>ABS(TableMCI[[#This Row],[PP]]-TableMCI[[#This Row],[AP]])</f>
        <v>24.273805428936143</v>
      </c>
      <c r="H7" t="s">
        <v>3</v>
      </c>
      <c r="I7">
        <f>AVERAGE(TableMCI[DIFF])/10</f>
        <v>1.4633214945308282</v>
      </c>
    </row>
    <row r="8" spans="1:9" x14ac:dyDescent="0.2">
      <c r="A8" t="s">
        <v>120</v>
      </c>
      <c r="B8">
        <v>39.183673469387763</v>
      </c>
      <c r="C8">
        <v>43.774417554312961</v>
      </c>
      <c r="D8">
        <f>TableMCI[[#This Row],[ARIMAPP]]*$I$2+TableMCI[[#This Row],[LSTMPP]]*$I$3</f>
        <v>43.937276348081646</v>
      </c>
      <c r="E8">
        <v>25</v>
      </c>
      <c r="F8">
        <f>ABS(TableMCI[[#This Row],[PP]]-TableMCI[[#This Row],[AP]])</f>
        <v>18.937276348081646</v>
      </c>
    </row>
    <row r="9" spans="1:9" x14ac:dyDescent="0.2">
      <c r="A9" t="s">
        <v>121</v>
      </c>
      <c r="B9">
        <v>38.627450980392148</v>
      </c>
      <c r="C9">
        <v>37.832782619052409</v>
      </c>
      <c r="D9">
        <f>TableMCI[[#This Row],[ARIMAPP]]*$I$2+TableMCI[[#This Row],[LSTMPP]]*$I$3</f>
        <v>43.313575223450968</v>
      </c>
      <c r="E9">
        <v>31</v>
      </c>
      <c r="F9">
        <f>ABS(TableMCI[[#This Row],[PP]]-TableMCI[[#This Row],[AP]])</f>
        <v>12.313575223450968</v>
      </c>
    </row>
    <row r="10" spans="1:9" x14ac:dyDescent="0.2">
      <c r="A10" t="s">
        <v>122</v>
      </c>
      <c r="B10">
        <v>28.500000000000011</v>
      </c>
      <c r="C10">
        <v>8.2697526242030861</v>
      </c>
      <c r="D10">
        <f>TableMCI[[#This Row],[ARIMAPP]]*$I$2+TableMCI[[#This Row],[LSTMPP]]*$I$3</f>
        <v>31.957503343800013</v>
      </c>
      <c r="E10">
        <v>34</v>
      </c>
      <c r="F10">
        <f>ABS(TableMCI[[#This Row],[PP]]-TableMCI[[#This Row],[AP]])</f>
        <v>2.0424966561999867</v>
      </c>
    </row>
    <row r="11" spans="1:9" x14ac:dyDescent="0.2">
      <c r="A11" t="s">
        <v>123</v>
      </c>
      <c r="B11">
        <v>30.457196537480421</v>
      </c>
      <c r="C11">
        <v>30.477291238251379</v>
      </c>
      <c r="D11">
        <f>TableMCI[[#This Row],[ARIMAPP]]*$I$2+TableMCI[[#This Row],[LSTMPP]]*$I$3</f>
        <v>34.152138954010681</v>
      </c>
      <c r="E11">
        <v>45</v>
      </c>
      <c r="F11">
        <f>ABS(TableMCI[[#This Row],[PP]]-TableMCI[[#This Row],[AP]])</f>
        <v>10.847861045989319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124</v>
      </c>
      <c r="B2">
        <v>46.029057244439883</v>
      </c>
      <c r="C2">
        <v>44.175626929993904</v>
      </c>
      <c r="D2">
        <f>TableMUN[[#This Row],[ARIMAPP]]*$I$2+TableMUN[[#This Row],[LSTMPP]]*$I$3</f>
        <v>49.755467244524269</v>
      </c>
      <c r="E2">
        <v>32</v>
      </c>
      <c r="F2">
        <f>ABS(TableMUN[[#This Row],[PP]]-TableMUN[[#This Row],[AP]])</f>
        <v>17.755467244524269</v>
      </c>
      <c r="H2" t="s">
        <v>0</v>
      </c>
      <c r="I2">
        <v>0.14446815376</v>
      </c>
    </row>
    <row r="3" spans="1:9" x14ac:dyDescent="0.2">
      <c r="A3" t="s">
        <v>125</v>
      </c>
      <c r="B3">
        <v>25.928571428571409</v>
      </c>
      <c r="C3">
        <v>23.442437510155639</v>
      </c>
      <c r="D3">
        <f>TableMUN[[#This Row],[ARIMAPP]]*$I$2+TableMUN[[#This Row],[LSTMPP]]*$I$3</f>
        <v>26.620536316936732</v>
      </c>
      <c r="E3">
        <v>20</v>
      </c>
      <c r="F3">
        <f>ABS(TableMUN[[#This Row],[PP]]-TableMUN[[#This Row],[AP]])</f>
        <v>6.6205363169367324</v>
      </c>
      <c r="H3" t="s">
        <v>1</v>
      </c>
      <c r="I3">
        <v>0.97578092990999998</v>
      </c>
    </row>
    <row r="4" spans="1:9" x14ac:dyDescent="0.2">
      <c r="A4" t="s">
        <v>126</v>
      </c>
      <c r="B4">
        <v>40.727272727272712</v>
      </c>
      <c r="C4">
        <v>56.008686376724739</v>
      </c>
      <c r="D4">
        <f>TableMUN[[#This Row],[ARIMAPP]]*$I$2+TableMUN[[#This Row],[LSTMPP]]*$I$3</f>
        <v>60.536001974307105</v>
      </c>
      <c r="E4">
        <v>78</v>
      </c>
      <c r="F4">
        <f>ABS(TableMUN[[#This Row],[PP]]-TableMUN[[#This Row],[AP]])</f>
        <v>17.463998025692895</v>
      </c>
    </row>
    <row r="5" spans="1:9" x14ac:dyDescent="0.2">
      <c r="A5" t="s">
        <v>127</v>
      </c>
      <c r="B5">
        <v>35.869565217391319</v>
      </c>
      <c r="C5">
        <v>28.684426954874699</v>
      </c>
      <c r="D5">
        <f>TableMUN[[#This Row],[ARIMAPP]]*$I$2+TableMUN[[#This Row],[LSTMPP]]*$I$3</f>
        <v>33.171726671093538</v>
      </c>
      <c r="E5">
        <v>20</v>
      </c>
      <c r="F5">
        <f>ABS(TableMUN[[#This Row],[PP]]-TableMUN[[#This Row],[AP]])</f>
        <v>13.171726671093538</v>
      </c>
      <c r="H5" t="s">
        <v>2</v>
      </c>
      <c r="I5">
        <f>SUM(ABS(TableMUN[[#This Row],[PP]]-TableMUN[[#This Row],[AP]]))</f>
        <v>13.171726671093538</v>
      </c>
    </row>
    <row r="6" spans="1:9" x14ac:dyDescent="0.2">
      <c r="A6" t="s">
        <v>128</v>
      </c>
      <c r="B6">
        <v>50.999404321963993</v>
      </c>
      <c r="C6">
        <v>23.81619605326015</v>
      </c>
      <c r="D6">
        <f>TableMUN[[#This Row],[ARIMAPP]]*$I$2+TableMUN[[#This Row],[LSTMPP]]*$I$3</f>
        <v>30.607179717022966</v>
      </c>
      <c r="E6">
        <v>46</v>
      </c>
      <c r="F6">
        <f>ABS(TableMUN[[#This Row],[PP]]-TableMUN[[#This Row],[AP]])</f>
        <v>15.392820282977034</v>
      </c>
    </row>
    <row r="7" spans="1:9" x14ac:dyDescent="0.2">
      <c r="A7" t="s">
        <v>129</v>
      </c>
      <c r="B7">
        <v>36.250000000000007</v>
      </c>
      <c r="C7">
        <v>28.413752361776488</v>
      </c>
      <c r="D7">
        <f>TableMUN[[#This Row],[ARIMAPP]]*$I$2+TableMUN[[#This Row],[LSTMPP]]*$I$3</f>
        <v>32.962568275606721</v>
      </c>
      <c r="E7">
        <v>32</v>
      </c>
      <c r="F7">
        <f>ABS(TableMUN[[#This Row],[PP]]-TableMUN[[#This Row],[AP]])</f>
        <v>0.96256827560672065</v>
      </c>
      <c r="H7" t="s">
        <v>3</v>
      </c>
      <c r="I7">
        <f>AVERAGE(TableMUN[DIFF])/10</f>
        <v>1.1894519469471865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130</v>
      </c>
      <c r="B2">
        <v>47.763086683688101</v>
      </c>
      <c r="C2">
        <v>34.936941984264678</v>
      </c>
      <c r="D2">
        <f>TableNEW[[#This Row],[ARIMAPP]]*$I$2+TableNEW[[#This Row],[LSTMPP]]*$I$3</f>
        <v>50.903945451594581</v>
      </c>
      <c r="E2">
        <v>25</v>
      </c>
      <c r="F2">
        <f>ABS(TableNEW[[#This Row],[PP]]-TableNEW[[#This Row],[AP]])</f>
        <v>25.903945451594581</v>
      </c>
      <c r="H2" t="s">
        <v>0</v>
      </c>
      <c r="I2">
        <v>0.79528773501000005</v>
      </c>
    </row>
    <row r="3" spans="1:9" x14ac:dyDescent="0.2">
      <c r="A3" t="s">
        <v>131</v>
      </c>
      <c r="B3">
        <v>34.374231819603253</v>
      </c>
      <c r="C3">
        <v>34.691172879812576</v>
      </c>
      <c r="D3">
        <f>TableNEW[[#This Row],[ARIMAPP]]*$I$2+TableNEW[[#This Row],[LSTMPP]]*$I$3</f>
        <v>40.165075945819112</v>
      </c>
      <c r="E3">
        <v>41</v>
      </c>
      <c r="F3">
        <f>ABS(TableNEW[[#This Row],[PP]]-TableNEW[[#This Row],[AP]])</f>
        <v>0.83492405418088822</v>
      </c>
      <c r="H3" t="s">
        <v>1</v>
      </c>
      <c r="I3">
        <v>0.36976757816</v>
      </c>
    </row>
    <row r="4" spans="1:9" x14ac:dyDescent="0.2">
      <c r="A4" t="s">
        <v>132</v>
      </c>
      <c r="B4">
        <v>31.75699298332103</v>
      </c>
      <c r="C4">
        <v>21.27912019402153</v>
      </c>
      <c r="D4">
        <f>TableNEW[[#This Row],[ARIMAPP]]*$I$2+TableNEW[[#This Row],[LSTMPP]]*$I$3</f>
        <v>33.124275759952738</v>
      </c>
      <c r="E4">
        <v>21</v>
      </c>
      <c r="F4">
        <f>ABS(TableNEW[[#This Row],[PP]]-TableNEW[[#This Row],[AP]])</f>
        <v>12.124275759952738</v>
      </c>
    </row>
    <row r="5" spans="1:9" x14ac:dyDescent="0.2">
      <c r="A5" t="s">
        <v>133</v>
      </c>
      <c r="B5">
        <v>30.740200755515371</v>
      </c>
      <c r="C5">
        <v>32.751604541187632</v>
      </c>
      <c r="D5">
        <f>TableNEW[[#This Row],[ARIMAPP]]*$I$2+TableNEW[[#This Row],[LSTMPP]]*$I$3</f>
        <v>36.557786124655522</v>
      </c>
      <c r="E5">
        <v>32</v>
      </c>
      <c r="F5">
        <f>ABS(TableNEW[[#This Row],[PP]]-TableNEW[[#This Row],[AP]])</f>
        <v>4.5577861246555216</v>
      </c>
      <c r="H5" t="s">
        <v>2</v>
      </c>
      <c r="I5">
        <f>SUM(ABS(TableNEW[[#This Row],[PP]]-TableNEW[[#This Row],[AP]]))</f>
        <v>4.5577861246555216</v>
      </c>
    </row>
    <row r="6" spans="1:9" x14ac:dyDescent="0.2">
      <c r="A6" t="s">
        <v>134</v>
      </c>
      <c r="B6">
        <v>41.86735515892633</v>
      </c>
      <c r="C6">
        <v>22.44238458126695</v>
      </c>
      <c r="D6">
        <f>TableNEW[[#This Row],[ARIMAPP]]*$I$2+TableNEW[[#This Row],[LSTMPP]]*$I$3</f>
        <v>41.595060249952162</v>
      </c>
      <c r="E6">
        <v>60</v>
      </c>
      <c r="F6">
        <f>ABS(TableNEW[[#This Row],[PP]]-TableNEW[[#This Row],[AP]])</f>
        <v>18.404939750047838</v>
      </c>
    </row>
    <row r="7" spans="1:9" x14ac:dyDescent="0.2">
      <c r="A7" t="s">
        <v>135</v>
      </c>
      <c r="B7">
        <v>34.626865671641809</v>
      </c>
      <c r="C7">
        <v>32.186826584971882</v>
      </c>
      <c r="D7">
        <f>TableNEW[[#This Row],[ARIMAPP]]*$I$2+TableNEW[[#This Row],[LSTMPP]]*$I$3</f>
        <v>39.439966485476496</v>
      </c>
      <c r="E7">
        <v>46</v>
      </c>
      <c r="F7">
        <f>ABS(TableNEW[[#This Row],[PP]]-TableNEW[[#This Row],[AP]])</f>
        <v>6.5600335145235036</v>
      </c>
      <c r="H7" t="s">
        <v>3</v>
      </c>
      <c r="I7">
        <f>AVERAGE(TableNEW[DIFF])/10</f>
        <v>1.1982860879366057</v>
      </c>
    </row>
    <row r="8" spans="1:9" x14ac:dyDescent="0.2">
      <c r="A8" t="s">
        <v>136</v>
      </c>
      <c r="B8">
        <v>47.5</v>
      </c>
      <c r="C8">
        <v>42.539454553290668</v>
      </c>
      <c r="D8">
        <f>TableNEW[[#This Row],[ARIMAPP]]*$I$2+TableNEW[[#This Row],[LSTMPP]]*$I$3</f>
        <v>53.505878499392672</v>
      </c>
      <c r="E8">
        <v>69</v>
      </c>
      <c r="F8">
        <f>ABS(TableNEW[[#This Row],[PP]]-TableNEW[[#This Row],[AP]])</f>
        <v>15.494121500607328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137</v>
      </c>
      <c r="B2">
        <v>33.798044375363517</v>
      </c>
      <c r="C2">
        <v>34.609126412151276</v>
      </c>
      <c r="D2">
        <f>TableNFO[[#This Row],[ARIMAPP]]*$I$2+TableNFO[[#This Row],[LSTMPP]]*$I$3</f>
        <v>40.607478189468665</v>
      </c>
      <c r="E2">
        <v>48</v>
      </c>
      <c r="F2">
        <f>ABS(TableNFO[[#This Row],[PP]]-TableNFO[[#This Row],[AP]])</f>
        <v>7.3925218105313348</v>
      </c>
      <c r="H2" t="s">
        <v>0</v>
      </c>
      <c r="I2">
        <v>0.39845596129999999</v>
      </c>
    </row>
    <row r="3" spans="1:9" x14ac:dyDescent="0.2">
      <c r="A3" t="s">
        <v>138</v>
      </c>
      <c r="B3">
        <v>33.315127348683831</v>
      </c>
      <c r="C3">
        <v>25.954176779869449</v>
      </c>
      <c r="D3">
        <f>TableNFO[[#This Row],[ARIMAPP]]*$I$2+TableNFO[[#This Row],[LSTMPP]]*$I$3</f>
        <v>33.627853273276088</v>
      </c>
      <c r="E3">
        <v>48</v>
      </c>
      <c r="F3">
        <f>ABS(TableNFO[[#This Row],[PP]]-TableNFO[[#This Row],[AP]])</f>
        <v>14.372146726723912</v>
      </c>
      <c r="H3" t="s">
        <v>1</v>
      </c>
      <c r="I3">
        <v>0.78419910415000005</v>
      </c>
    </row>
    <row r="4" spans="1:9" x14ac:dyDescent="0.2">
      <c r="A4" t="s">
        <v>139</v>
      </c>
      <c r="B4">
        <v>30.453767624127838</v>
      </c>
      <c r="C4">
        <v>23.50945440433199</v>
      </c>
      <c r="D4">
        <f>TableNFO[[#This Row],[ARIMAPP]]*$I$2+TableNFO[[#This Row],[LSTMPP]]*$I$3</f>
        <v>30.570578336811096</v>
      </c>
      <c r="E4">
        <v>23</v>
      </c>
      <c r="F4">
        <f>ABS(TableNFO[[#This Row],[PP]]-TableNFO[[#This Row],[AP]])</f>
        <v>7.5705783368110957</v>
      </c>
    </row>
    <row r="5" spans="1:9" x14ac:dyDescent="0.2">
      <c r="A5" t="s">
        <v>140</v>
      </c>
      <c r="B5">
        <v>37.186344596960843</v>
      </c>
      <c r="C5">
        <v>24.39144464212087</v>
      </c>
      <c r="D5">
        <f>TableNFO[[#This Row],[ARIMAPP]]*$I$2+TableNFO[[#This Row],[LSTMPP]]*$I$3</f>
        <v>33.944869720890594</v>
      </c>
      <c r="E5">
        <v>25</v>
      </c>
      <c r="F5">
        <f>ABS(TableNFO[[#This Row],[PP]]-TableNFO[[#This Row],[AP]])</f>
        <v>8.9448697208905941</v>
      </c>
      <c r="H5" t="s">
        <v>2</v>
      </c>
      <c r="I5">
        <f>SUM(ABS(TableNFO[[#This Row],[PP]]-TableNFO[[#This Row],[AP]]))</f>
        <v>8.9448697208905941</v>
      </c>
    </row>
    <row r="6" spans="1:9" x14ac:dyDescent="0.2">
      <c r="A6" t="s">
        <v>141</v>
      </c>
      <c r="B6">
        <v>22.816585792149461</v>
      </c>
      <c r="C6">
        <v>32.085406890356438</v>
      </c>
      <c r="D6">
        <f>TableNFO[[#This Row],[ARIMAPP]]*$I$2+TableNFO[[#This Row],[LSTMPP]]*$I$3</f>
        <v>34.252751965100593</v>
      </c>
      <c r="E6">
        <v>27</v>
      </c>
      <c r="F6">
        <f>ABS(TableNFO[[#This Row],[PP]]-TableNFO[[#This Row],[AP]])</f>
        <v>7.2527519651005932</v>
      </c>
    </row>
    <row r="7" spans="1:9" x14ac:dyDescent="0.2">
      <c r="H7" t="s">
        <v>3</v>
      </c>
      <c r="I7">
        <f>AVERAGE(TableNFO[DIFF])/10</f>
        <v>0.91065737120115064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142</v>
      </c>
      <c r="B2">
        <v>23.599999999999991</v>
      </c>
      <c r="C2">
        <v>23.249134009855538</v>
      </c>
      <c r="D2">
        <f>TableSHU[[#This Row],[ARIMAPP]]*$I$2+TableSHU[[#This Row],[LSTMPP]]*$I$3</f>
        <v>28.829826439137477</v>
      </c>
      <c r="E2">
        <v>25</v>
      </c>
      <c r="F2">
        <f>ABS(TableSHU[[#This Row],[PP]]-TableSHU[[#This Row],[AP]])</f>
        <v>3.8298264391374772</v>
      </c>
      <c r="H2" t="s">
        <v>0</v>
      </c>
      <c r="I2">
        <v>0</v>
      </c>
    </row>
    <row r="3" spans="1:9" x14ac:dyDescent="0.2">
      <c r="A3" t="s">
        <v>143</v>
      </c>
      <c r="B3">
        <v>18.18181817037496</v>
      </c>
      <c r="C3">
        <v>18.400383857894411</v>
      </c>
      <c r="D3">
        <f>TableSHU[[#This Row],[ARIMAPP]]*$I$2+TableSHU[[#This Row],[LSTMPP]]*$I$3</f>
        <v>22.817188494493045</v>
      </c>
      <c r="E3">
        <v>27</v>
      </c>
      <c r="F3">
        <f>ABS(TableSHU[[#This Row],[PP]]-TableSHU[[#This Row],[AP]])</f>
        <v>4.1828115055069546</v>
      </c>
      <c r="H3" t="s">
        <v>1</v>
      </c>
      <c r="I3">
        <v>1.2400387226</v>
      </c>
    </row>
    <row r="4" spans="1:9" x14ac:dyDescent="0.2">
      <c r="A4" t="s">
        <v>144</v>
      </c>
      <c r="B4">
        <v>26.76257091863511</v>
      </c>
      <c r="C4">
        <v>28.691972702285959</v>
      </c>
      <c r="D4">
        <f>TableSHU[[#This Row],[ARIMAPP]]*$I$2+TableSHU[[#This Row],[LSTMPP]]*$I$3</f>
        <v>35.579157178616754</v>
      </c>
      <c r="E4">
        <v>36</v>
      </c>
      <c r="F4">
        <f>ABS(TableSHU[[#This Row],[PP]]-TableSHU[[#This Row],[AP]])</f>
        <v>0.42084282138324625</v>
      </c>
    </row>
    <row r="5" spans="1:9" x14ac:dyDescent="0.2">
      <c r="H5" t="s">
        <v>2</v>
      </c>
      <c r="I5" t="e">
        <f>SUM(ABS(TableSHU[[#This Row],[PP]]-TableSHU[[#This Row],[AP]]))</f>
        <v>#VALUE!</v>
      </c>
    </row>
    <row r="7" spans="1:9" x14ac:dyDescent="0.2">
      <c r="H7" t="s">
        <v>3</v>
      </c>
      <c r="I7">
        <f>AVERAGE(TableSHU[DIFF])/10</f>
        <v>0.28111602553425591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145</v>
      </c>
      <c r="B2">
        <v>43.925394436653818</v>
      </c>
      <c r="C2">
        <v>43.943368052606218</v>
      </c>
      <c r="D2">
        <f>TableTOT[[#This Row],[ARIMAPP]]*$I$2+TableTOT[[#This Row],[LSTMPP]]*$I$3</f>
        <v>40.194093824143891</v>
      </c>
      <c r="E2">
        <v>27</v>
      </c>
      <c r="F2">
        <f>ABS(TableTOT[[#This Row],[PP]]-TableTOT[[#This Row],[AP]])</f>
        <v>13.194093824143891</v>
      </c>
      <c r="H2" t="s">
        <v>0</v>
      </c>
      <c r="I2">
        <v>0.478820038</v>
      </c>
    </row>
    <row r="3" spans="1:9" x14ac:dyDescent="0.2">
      <c r="A3" t="s">
        <v>146</v>
      </c>
      <c r="B3">
        <v>33.822022900587882</v>
      </c>
      <c r="C3">
        <v>39.498160581169671</v>
      </c>
      <c r="D3">
        <f>TableTOT[[#This Row],[ARIMAPP]]*$I$2+TableTOT[[#This Row],[LSTMPP]]*$I$3</f>
        <v>33.418041182973383</v>
      </c>
      <c r="E3">
        <v>47</v>
      </c>
      <c r="F3">
        <f>ABS(TableTOT[[#This Row],[PP]]-TableTOT[[#This Row],[AP]])</f>
        <v>13.581958817026617</v>
      </c>
      <c r="H3" t="s">
        <v>1</v>
      </c>
      <c r="I3">
        <v>0.43605521470000003</v>
      </c>
    </row>
    <row r="4" spans="1:9" x14ac:dyDescent="0.2">
      <c r="A4" t="s">
        <v>147</v>
      </c>
      <c r="B4">
        <v>30.15625</v>
      </c>
      <c r="C4">
        <v>29.374273961626681</v>
      </c>
      <c r="D4">
        <f>TableTOT[[#This Row],[ARIMAPP]]*$I$2+TableTOT[[#This Row],[LSTMPP]]*$I$3</f>
        <v>27.248222109931241</v>
      </c>
      <c r="E4">
        <v>27</v>
      </c>
      <c r="F4">
        <f>ABS(TableTOT[[#This Row],[PP]]-TableTOT[[#This Row],[AP]])</f>
        <v>0.24822210993124116</v>
      </c>
    </row>
    <row r="5" spans="1:9" x14ac:dyDescent="0.2">
      <c r="A5" t="s">
        <v>148</v>
      </c>
      <c r="B5">
        <v>36.734037629968832</v>
      </c>
      <c r="C5">
        <v>49.572720427972833</v>
      </c>
      <c r="D5">
        <f>TableTOT[[#This Row],[ARIMAPP]]*$I$2+TableTOT[[#This Row],[LSTMPP]]*$I$3</f>
        <v>39.205436543357877</v>
      </c>
      <c r="E5">
        <v>27</v>
      </c>
      <c r="F5">
        <f>ABS(TableTOT[[#This Row],[PP]]-TableTOT[[#This Row],[AP]])</f>
        <v>12.205436543357877</v>
      </c>
      <c r="H5" t="s">
        <v>2</v>
      </c>
      <c r="I5">
        <f>SUM(ABS(TableTOT[[#This Row],[PP]]-TableTOT[[#This Row],[AP]]))</f>
        <v>12.205436543357877</v>
      </c>
    </row>
    <row r="6" spans="1:9" x14ac:dyDescent="0.2">
      <c r="A6" t="s">
        <v>149</v>
      </c>
      <c r="B6">
        <v>31.40350877192985</v>
      </c>
      <c r="C6">
        <v>35.720590400243353</v>
      </c>
      <c r="D6">
        <f>TableTOT[[#This Row],[ARIMAPP]]*$I$2+TableTOT[[#This Row],[LSTMPP]]*$I$3</f>
        <v>30.612778979697659</v>
      </c>
      <c r="E6">
        <v>48</v>
      </c>
      <c r="F6">
        <f>ABS(TableTOT[[#This Row],[PP]]-TableTOT[[#This Row],[AP]])</f>
        <v>17.387221020302341</v>
      </c>
    </row>
    <row r="7" spans="1:9" x14ac:dyDescent="0.2">
      <c r="A7" t="s">
        <v>150</v>
      </c>
      <c r="B7">
        <v>52</v>
      </c>
      <c r="C7">
        <v>48.752358591355687</v>
      </c>
      <c r="D7">
        <f>TableTOT[[#This Row],[ARIMAPP]]*$I$2+TableTOT[[#This Row],[LSTMPP]]*$I$3</f>
        <v>46.157362168684998</v>
      </c>
      <c r="E7">
        <v>52</v>
      </c>
      <c r="F7">
        <f>ABS(TableTOT[[#This Row],[PP]]-TableTOT[[#This Row],[AP]])</f>
        <v>5.8426378313150025</v>
      </c>
      <c r="H7" t="s">
        <v>3</v>
      </c>
      <c r="I7">
        <f>AVERAGE(TableTOT[DIFF])/10</f>
        <v>0.79503359500902016</v>
      </c>
    </row>
    <row r="8" spans="1:9" x14ac:dyDescent="0.2">
      <c r="A8" t="s">
        <v>151</v>
      </c>
      <c r="B8">
        <v>22.666666666666661</v>
      </c>
      <c r="C8">
        <v>24.252930267468528</v>
      </c>
      <c r="D8">
        <f>TableTOT[[#This Row],[ARIMAPP]]*$I$2+TableTOT[[#This Row],[LSTMPP]]*$I$3</f>
        <v>21.428870909551783</v>
      </c>
      <c r="E8">
        <v>25</v>
      </c>
      <c r="F8">
        <f>ABS(TableTOT[[#This Row],[PP]]-TableTOT[[#This Row],[AP]])</f>
        <v>3.5711290904482169</v>
      </c>
    </row>
    <row r="9" spans="1:9" x14ac:dyDescent="0.2">
      <c r="A9" t="s">
        <v>152</v>
      </c>
      <c r="B9">
        <v>40.571428571428562</v>
      </c>
      <c r="C9">
        <v>40.2119076767341</v>
      </c>
      <c r="D9">
        <f>TableTOT[[#This Row],[ARIMAPP]]*$I$2+TableTOT[[#This Row],[LSTMPP]]*$I$3</f>
        <v>36.961025005760575</v>
      </c>
      <c r="E9">
        <v>28</v>
      </c>
      <c r="F9">
        <f>ABS(TableTOT[[#This Row],[PP]]-TableTOT[[#This Row],[AP]])</f>
        <v>8.9610250057605754</v>
      </c>
    </row>
    <row r="10" spans="1:9" x14ac:dyDescent="0.2">
      <c r="A10" t="s">
        <v>153</v>
      </c>
      <c r="B10">
        <v>24.731519734482362</v>
      </c>
      <c r="C10">
        <v>38.303888669162298</v>
      </c>
      <c r="D10">
        <f>TableTOT[[#This Row],[ARIMAPP]]*$I$2+TableTOT[[#This Row],[LSTMPP]]*$I$3</f>
        <v>28.544557616539059</v>
      </c>
      <c r="E10">
        <v>31</v>
      </c>
      <c r="F10">
        <f>ABS(TableTOT[[#This Row],[PP]]-TableTOT[[#This Row],[AP]])</f>
        <v>2.4554423834609409</v>
      </c>
    </row>
    <row r="11" spans="1:9" x14ac:dyDescent="0.2">
      <c r="A11" t="s">
        <v>154</v>
      </c>
      <c r="B11">
        <v>25.25097601091089</v>
      </c>
      <c r="C11">
        <v>34.32023990899858</v>
      </c>
      <c r="D11">
        <f>TableTOT[[#This Row],[ARIMAPP]]*$I$2+TableTOT[[#This Row],[LSTMPP]]*$I$3</f>
        <v>27.056192875155325</v>
      </c>
      <c r="E11">
        <v>25</v>
      </c>
      <c r="F11">
        <f>ABS(TableTOT[[#This Row],[PP]]-TableTOT[[#This Row],[AP]])</f>
        <v>2.0561928751553253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155</v>
      </c>
      <c r="B2">
        <v>38.649479169524042</v>
      </c>
      <c r="C2">
        <v>36.544875472793791</v>
      </c>
      <c r="D2">
        <f>TableWHU[[#This Row],[ARIMAPP]]*$I$2+TableWHU[[#This Row],[LSTMPP]]*$I$3</f>
        <v>37.010394023882888</v>
      </c>
      <c r="E2">
        <v>28</v>
      </c>
      <c r="F2">
        <f>ABS(TableWHU[[#This Row],[PP]]-TableWHU[[#This Row],[AP]])</f>
        <v>9.0103940238828883</v>
      </c>
      <c r="H2" t="s">
        <v>0</v>
      </c>
      <c r="I2">
        <v>0.95759101594999996</v>
      </c>
    </row>
    <row r="3" spans="1:9" x14ac:dyDescent="0.2">
      <c r="A3" t="s">
        <v>156</v>
      </c>
      <c r="B3">
        <v>30.334733768923769</v>
      </c>
      <c r="C3">
        <v>37.037914746260221</v>
      </c>
      <c r="D3">
        <f>TableWHU[[#This Row],[ARIMAPP]]*$I$2+TableWHU[[#This Row],[LSTMPP]]*$I$3</f>
        <v>29.048268528356484</v>
      </c>
      <c r="E3">
        <v>26</v>
      </c>
      <c r="F3">
        <f>ABS(TableWHU[[#This Row],[PP]]-TableWHU[[#This Row],[AP]])</f>
        <v>3.0482685283564841</v>
      </c>
      <c r="H3" t="s">
        <v>1</v>
      </c>
      <c r="I3">
        <v>0</v>
      </c>
    </row>
    <row r="4" spans="1:9" x14ac:dyDescent="0.2">
      <c r="A4" t="s">
        <v>157</v>
      </c>
      <c r="B4">
        <v>18.31857254278713</v>
      </c>
      <c r="C4">
        <v>18.33533150700891</v>
      </c>
      <c r="D4">
        <f>TableWHU[[#This Row],[ARIMAPP]]*$I$2+TableWHU[[#This Row],[LSTMPP]]*$I$3</f>
        <v>17.541700492001301</v>
      </c>
      <c r="E4">
        <v>24</v>
      </c>
      <c r="F4">
        <f>ABS(TableWHU[[#This Row],[PP]]-TableWHU[[#This Row],[AP]])</f>
        <v>6.4582995079986993</v>
      </c>
    </row>
    <row r="5" spans="1:9" x14ac:dyDescent="0.2">
      <c r="A5" t="s">
        <v>158</v>
      </c>
      <c r="B5">
        <v>44.685314685314673</v>
      </c>
      <c r="C5">
        <v>40.679971729227468</v>
      </c>
      <c r="D5">
        <f>TableWHU[[#This Row],[ARIMAPP]]*$I$2+TableWHU[[#This Row],[LSTMPP]]*$I$3</f>
        <v>42.790255887555929</v>
      </c>
      <c r="E5">
        <v>62</v>
      </c>
      <c r="F5">
        <f>ABS(TableWHU[[#This Row],[PP]]-TableWHU[[#This Row],[AP]])</f>
        <v>19.209744112444071</v>
      </c>
      <c r="H5" t="s">
        <v>2</v>
      </c>
      <c r="I5">
        <f>SUM(ABS(TableWHU[[#This Row],[PP]]-TableWHU[[#This Row],[AP]]))</f>
        <v>19.209744112444071</v>
      </c>
    </row>
    <row r="6" spans="1:9" x14ac:dyDescent="0.2">
      <c r="A6" t="s">
        <v>159</v>
      </c>
      <c r="B6">
        <v>34.210526315789487</v>
      </c>
      <c r="C6">
        <v>30.38229494484008</v>
      </c>
      <c r="D6">
        <f>TableWHU[[#This Row],[ARIMAPP]]*$I$2+TableWHU[[#This Row],[LSTMPP]]*$I$3</f>
        <v>32.75969265092106</v>
      </c>
      <c r="E6">
        <v>30</v>
      </c>
      <c r="F6">
        <f>ABS(TableWHU[[#This Row],[PP]]-TableWHU[[#This Row],[AP]])</f>
        <v>2.7596926509210604</v>
      </c>
    </row>
    <row r="7" spans="1:9" x14ac:dyDescent="0.2">
      <c r="A7" t="s">
        <v>160</v>
      </c>
      <c r="B7">
        <v>35.45454545454546</v>
      </c>
      <c r="C7">
        <v>37.683854840740103</v>
      </c>
      <c r="D7">
        <f>TableWHU[[#This Row],[ARIMAPP]]*$I$2+TableWHU[[#This Row],[LSTMPP]]*$I$3</f>
        <v>33.950954201863638</v>
      </c>
      <c r="E7">
        <v>32</v>
      </c>
      <c r="F7">
        <f>ABS(TableWHU[[#This Row],[PP]]-TableWHU[[#This Row],[AP]])</f>
        <v>1.9509542018636381</v>
      </c>
      <c r="H7" t="s">
        <v>3</v>
      </c>
      <c r="I7">
        <f>AVERAGE(TableWHU[DIFF])/10</f>
        <v>0.63137459780768757</v>
      </c>
    </row>
    <row r="8" spans="1:9" x14ac:dyDescent="0.2">
      <c r="A8" t="s">
        <v>161</v>
      </c>
      <c r="B8">
        <v>32.732719572151169</v>
      </c>
      <c r="C8">
        <v>27.082472020318331</v>
      </c>
      <c r="D8">
        <f>TableWHU[[#This Row],[ARIMAPP]]*$I$2+TableWHU[[#This Row],[LSTMPP]]*$I$3</f>
        <v>31.344558189902685</v>
      </c>
      <c r="E8">
        <v>22</v>
      </c>
      <c r="F8">
        <f>ABS(TableWHU[[#This Row],[PP]]-TableWHU[[#This Row],[AP]])</f>
        <v>9.3445581899026848</v>
      </c>
    </row>
    <row r="9" spans="1:9" x14ac:dyDescent="0.2">
      <c r="A9" t="s">
        <v>162</v>
      </c>
      <c r="B9">
        <v>20.526315789473699</v>
      </c>
      <c r="C9">
        <v>22.894639777390658</v>
      </c>
      <c r="D9">
        <f>TableWHU[[#This Row],[ARIMAPP]]*$I$2+TableWHU[[#This Row],[LSTMPP]]*$I$3</f>
        <v>19.655815590552645</v>
      </c>
      <c r="E9">
        <v>22</v>
      </c>
      <c r="F9">
        <f>ABS(TableWHU[[#This Row],[PP]]-TableWHU[[#This Row],[AP]])</f>
        <v>2.3441844094473545</v>
      </c>
    </row>
    <row r="10" spans="1:9" x14ac:dyDescent="0.2">
      <c r="A10" t="s">
        <v>163</v>
      </c>
      <c r="B10">
        <v>42.499999999999993</v>
      </c>
      <c r="C10">
        <v>43.327545830926681</v>
      </c>
      <c r="D10">
        <f>TableWHU[[#This Row],[ARIMAPP]]*$I$2+TableWHU[[#This Row],[LSTMPP]]*$I$3</f>
        <v>40.697618177874993</v>
      </c>
      <c r="E10">
        <v>38</v>
      </c>
      <c r="F10">
        <f>ABS(TableWHU[[#This Row],[PP]]-TableWHU[[#This Row],[AP]])</f>
        <v>2.6976181778749933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25.609680835958571</v>
      </c>
      <c r="C2">
        <v>35.796236621676343</v>
      </c>
      <c r="D2">
        <f>TableAVL[[#This Row],[ARIMAPP]]*$I$2+TableAVL[[#This Row],[LSTMPP]]*$I$3</f>
        <v>30.335271027467442</v>
      </c>
      <c r="E2">
        <v>25</v>
      </c>
      <c r="F2">
        <f>ABS(TableAVL[[#This Row],[PP]]-TableAVL[[#This Row],[AP]])</f>
        <v>5.3352710274674422</v>
      </c>
      <c r="H2" t="s">
        <v>0</v>
      </c>
      <c r="I2">
        <v>0.99221318567000005</v>
      </c>
    </row>
    <row r="3" spans="1:9" x14ac:dyDescent="0.2">
      <c r="A3" t="s">
        <v>23</v>
      </c>
      <c r="B3">
        <v>25.721004168438881</v>
      </c>
      <c r="C3">
        <v>30.672401797088941</v>
      </c>
      <c r="D3">
        <f>TableAVL[[#This Row],[ARIMAPP]]*$I$2+TableAVL[[#This Row],[LSTMPP]]*$I$3</f>
        <v>29.740767152669093</v>
      </c>
      <c r="E3">
        <v>24</v>
      </c>
      <c r="F3">
        <f>ABS(TableAVL[[#This Row],[PP]]-TableAVL[[#This Row],[AP]])</f>
        <v>5.7407671526690933</v>
      </c>
      <c r="H3" t="s">
        <v>1</v>
      </c>
      <c r="I3">
        <v>0.13758451965999999</v>
      </c>
    </row>
    <row r="4" spans="1:9" x14ac:dyDescent="0.2">
      <c r="A4" t="s">
        <v>24</v>
      </c>
      <c r="B4">
        <v>45.430401161774441</v>
      </c>
      <c r="C4">
        <v>23.201197269284389</v>
      </c>
      <c r="D4">
        <f>TableAVL[[#This Row],[ARIMAPP]]*$I$2+TableAVL[[#This Row],[LSTMPP]]*$I$3</f>
        <v>48.268768644821691</v>
      </c>
      <c r="E4">
        <v>40</v>
      </c>
      <c r="F4">
        <f>ABS(TableAVL[[#This Row],[PP]]-TableAVL[[#This Row],[AP]])</f>
        <v>8.2687686448216908</v>
      </c>
    </row>
    <row r="5" spans="1:9" x14ac:dyDescent="0.2">
      <c r="A5" t="s">
        <v>25</v>
      </c>
      <c r="B5">
        <v>30.46979865771813</v>
      </c>
      <c r="C5">
        <v>28.29731868007925</v>
      </c>
      <c r="D5">
        <f>TableAVL[[#This Row],[ARIMAPP]]*$I$2+TableAVL[[#This Row],[LSTMPP]]*$I$3</f>
        <v>34.125808991162643</v>
      </c>
      <c r="E5">
        <v>33</v>
      </c>
      <c r="F5">
        <f>ABS(TableAVL[[#This Row],[PP]]-TableAVL[[#This Row],[AP]])</f>
        <v>1.1258089911626428</v>
      </c>
      <c r="H5" t="s">
        <v>2</v>
      </c>
      <c r="I5">
        <f>SUM(ABS(TableAVL[[#This Row],[PP]]-TableAVL[[#This Row],[AP]]))</f>
        <v>1.1258089911626428</v>
      </c>
    </row>
    <row r="6" spans="1:9" x14ac:dyDescent="0.2">
      <c r="A6" t="s">
        <v>26</v>
      </c>
      <c r="B6">
        <v>28.263888888888861</v>
      </c>
      <c r="C6">
        <v>30.056408877862879</v>
      </c>
      <c r="D6">
        <f>TableAVL[[#This Row],[ARIMAPP]]*$I$2+TableAVL[[#This Row],[LSTMPP]]*$I$3</f>
        <v>32.179099812032653</v>
      </c>
      <c r="E6">
        <v>30</v>
      </c>
      <c r="F6">
        <f>ABS(TableAVL[[#This Row],[PP]]-TableAVL[[#This Row],[AP]])</f>
        <v>2.1790998120326535</v>
      </c>
    </row>
    <row r="7" spans="1:9" x14ac:dyDescent="0.2">
      <c r="A7" t="s">
        <v>27</v>
      </c>
      <c r="B7">
        <v>46.37795275590549</v>
      </c>
      <c r="C7">
        <v>40.665318250068047</v>
      </c>
      <c r="D7">
        <f>TableAVL[[#This Row],[ARIMAPP]]*$I$2+TableAVL[[#This Row],[LSTMPP]]*$I$3</f>
        <v>51.611734527046387</v>
      </c>
      <c r="E7">
        <v>71</v>
      </c>
      <c r="F7">
        <f>ABS(TableAVL[[#This Row],[PP]]-TableAVL[[#This Row],[AP]])</f>
        <v>19.388265472953613</v>
      </c>
      <c r="H7" t="s">
        <v>3</v>
      </c>
      <c r="I7">
        <f>AVERAGE(TableAVL[DIFF])/10</f>
        <v>1.0325021664565048</v>
      </c>
    </row>
    <row r="8" spans="1:9" x14ac:dyDescent="0.2">
      <c r="A8" t="s">
        <v>28</v>
      </c>
      <c r="B8">
        <v>31.64383561643838</v>
      </c>
      <c r="C8">
        <v>28.342272116697089</v>
      </c>
      <c r="D8">
        <f>TableAVL[[#This Row],[ARIMAPP]]*$I$2+TableAVL[[#This Row],[LSTMPP]]*$I$3</f>
        <v>35.296888839052912</v>
      </c>
      <c r="E8">
        <v>49</v>
      </c>
      <c r="F8">
        <f>ABS(TableAVL[[#This Row],[PP]]-TableAVL[[#This Row],[AP]])</f>
        <v>13.703111160947088</v>
      </c>
    </row>
    <row r="9" spans="1:9" x14ac:dyDescent="0.2">
      <c r="A9" t="s">
        <v>29</v>
      </c>
      <c r="B9">
        <v>35.344827586206897</v>
      </c>
      <c r="C9">
        <v>37.760907313014542</v>
      </c>
      <c r="D9">
        <f>TableAVL[[#This Row],[ARIMAPP]]*$I$2+TableAVL[[#This Row],[LSTMPP]]*$I$3</f>
        <v>40.264920270854134</v>
      </c>
      <c r="E9">
        <v>34</v>
      </c>
      <c r="F9">
        <f>ABS(TableAVL[[#This Row],[PP]]-TableAVL[[#This Row],[AP]])</f>
        <v>6.2649202708541338</v>
      </c>
    </row>
    <row r="10" spans="1:9" x14ac:dyDescent="0.2">
      <c r="A10" t="s">
        <v>30</v>
      </c>
      <c r="B10">
        <v>15.614266815979001</v>
      </c>
      <c r="C10">
        <v>17.465138328838261</v>
      </c>
      <c r="D10">
        <f>TableAVL[[#This Row],[ARIMAPP]]*$I$2+TableAVL[[#This Row],[LSTMPP]]*$I$3</f>
        <v>17.895614087152559</v>
      </c>
      <c r="E10">
        <v>40</v>
      </c>
      <c r="F10">
        <f>ABS(TableAVL[[#This Row],[PP]]-TableAVL[[#This Row],[AP]])</f>
        <v>22.104385912847441</v>
      </c>
    </row>
    <row r="11" spans="1:9" x14ac:dyDescent="0.2">
      <c r="A11" t="s">
        <v>31</v>
      </c>
      <c r="B11">
        <v>36.60844284987639</v>
      </c>
      <c r="C11">
        <v>35.007125142444103</v>
      </c>
      <c r="D11">
        <f>TableAVL[[#This Row],[ARIMAPP]]*$I$2+TableAVL[[#This Row],[LSTMPP]]*$I$3</f>
        <v>41.13981819989467</v>
      </c>
      <c r="E11">
        <v>22</v>
      </c>
      <c r="F11">
        <f>ABS(TableAVL[[#This Row],[PP]]-TableAVL[[#This Row],[AP]])</f>
        <v>19.13981819989467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164</v>
      </c>
      <c r="B2">
        <v>22.325581395348848</v>
      </c>
      <c r="C2">
        <v>16.889539957939888</v>
      </c>
      <c r="D2">
        <f>TableWOL[[#This Row],[ARIMAPP]]*$I$2+TableWOL[[#This Row],[LSTMPP]]*$I$3</f>
        <v>24.559511037024599</v>
      </c>
      <c r="E2">
        <v>26</v>
      </c>
      <c r="F2">
        <f>ABS(TableWOL[[#This Row],[PP]]-TableWOL[[#This Row],[AP]])</f>
        <v>1.440488962975401</v>
      </c>
      <c r="H2" t="s">
        <v>0</v>
      </c>
      <c r="I2">
        <v>0.70118401313000001</v>
      </c>
    </row>
    <row r="3" spans="1:9" x14ac:dyDescent="0.2">
      <c r="A3" t="s">
        <v>165</v>
      </c>
      <c r="B3">
        <v>26.598450343323549</v>
      </c>
      <c r="C3">
        <v>28.94154772938105</v>
      </c>
      <c r="D3">
        <f>TableWOL[[#This Row],[ARIMAPP]]*$I$2+TableWOL[[#This Row],[LSTMPP]]*$I$3</f>
        <v>33.910113943277111</v>
      </c>
      <c r="E3">
        <v>41</v>
      </c>
      <c r="F3">
        <f>ABS(TableWOL[[#This Row],[PP]]-TableWOL[[#This Row],[AP]])</f>
        <v>7.0898860567228894</v>
      </c>
      <c r="H3" t="s">
        <v>1</v>
      </c>
      <c r="I3">
        <v>0.52725949320999999</v>
      </c>
    </row>
    <row r="4" spans="1:9" x14ac:dyDescent="0.2">
      <c r="A4" t="s">
        <v>166</v>
      </c>
      <c r="B4">
        <v>38.59402936947798</v>
      </c>
      <c r="C4">
        <v>44.438414681611718</v>
      </c>
      <c r="D4">
        <f>TableWOL[[#This Row],[ARIMAPP]]*$I$2+TableWOL[[#This Row],[LSTMPP]]*$I$3</f>
        <v>50.492092400230071</v>
      </c>
      <c r="E4">
        <v>34</v>
      </c>
      <c r="F4">
        <f>ABS(TableWOL[[#This Row],[PP]]-TableWOL[[#This Row],[AP]])</f>
        <v>16.492092400230071</v>
      </c>
    </row>
    <row r="5" spans="1:9" x14ac:dyDescent="0.2">
      <c r="A5" t="s">
        <v>167</v>
      </c>
      <c r="B5">
        <v>23.8095238095238</v>
      </c>
      <c r="C5">
        <v>20.96260922905401</v>
      </c>
      <c r="D5">
        <f>TableWOL[[#This Row],[ARIMAPP]]*$I$2+TableWOL[[#This Row],[LSTMPP]]*$I$3</f>
        <v>27.747592173946465</v>
      </c>
      <c r="E5">
        <v>30</v>
      </c>
      <c r="F5">
        <f>ABS(TableWOL[[#This Row],[PP]]-TableWOL[[#This Row],[AP]])</f>
        <v>2.2524078260535347</v>
      </c>
      <c r="H5" t="s">
        <v>2</v>
      </c>
      <c r="I5">
        <f>SUM(ABS(TableWOL[[#This Row],[PP]]-TableWOL[[#This Row],[AP]]))</f>
        <v>2.2524078260535347</v>
      </c>
    </row>
    <row r="6" spans="1:9" x14ac:dyDescent="0.2">
      <c r="A6" t="s">
        <v>168</v>
      </c>
      <c r="B6">
        <v>51.782586132872552</v>
      </c>
      <c r="C6">
        <v>24.62153488235132</v>
      </c>
      <c r="D6">
        <f>TableWOL[[#This Row],[ARIMAPP]]*$I$2+TableWOL[[#This Row],[LSTMPP]]*$I$3</f>
        <v>49.291059559018358</v>
      </c>
      <c r="E6">
        <v>40</v>
      </c>
      <c r="F6">
        <f>ABS(TableWOL[[#This Row],[PP]]-TableWOL[[#This Row],[AP]])</f>
        <v>9.2910595590183576</v>
      </c>
    </row>
    <row r="7" spans="1:9" x14ac:dyDescent="0.2">
      <c r="A7" t="s">
        <v>169</v>
      </c>
      <c r="B7">
        <v>17.858415574991231</v>
      </c>
      <c r="C7">
        <v>16.31479182283487</v>
      </c>
      <c r="D7">
        <f>TableWOL[[#This Row],[ARIMAPP]]*$I$2+TableWOL[[#This Row],[LSTMPP]]*$I$3</f>
        <v>21.124164369350211</v>
      </c>
      <c r="E7">
        <v>42</v>
      </c>
      <c r="F7">
        <f>ABS(TableWOL[[#This Row],[PP]]-TableWOL[[#This Row],[AP]])</f>
        <v>20.875835630649789</v>
      </c>
      <c r="H7" t="s">
        <v>3</v>
      </c>
      <c r="I7">
        <f>AVERAGE(TableWOL[DIFF])/10</f>
        <v>0.84075764386474428</v>
      </c>
    </row>
    <row r="8" spans="1:9" x14ac:dyDescent="0.2">
      <c r="A8" t="s">
        <v>170</v>
      </c>
      <c r="B8">
        <v>40.898619620991212</v>
      </c>
      <c r="C8">
        <v>27.552330565164699</v>
      </c>
      <c r="D8">
        <f>TableWOL[[#This Row],[ARIMAPP]]*$I$2+TableWOL[[#This Row],[LSTMPP]]*$I$3</f>
        <v>43.20468608786711</v>
      </c>
      <c r="E8">
        <v>53</v>
      </c>
      <c r="F8">
        <f>ABS(TableWOL[[#This Row],[PP]]-TableWOL[[#This Row],[AP]])</f>
        <v>9.7953139121328903</v>
      </c>
    </row>
    <row r="9" spans="1:9" x14ac:dyDescent="0.2">
      <c r="A9" t="s">
        <v>171</v>
      </c>
      <c r="B9">
        <v>32.999599454011168</v>
      </c>
      <c r="C9">
        <v>29.136781864997999</v>
      </c>
      <c r="D9">
        <f>TableWOL[[#This Row],[ARIMAPP]]*$I$2+TableWOL[[#This Row],[LSTMPP]]*$I$3</f>
        <v>38.501436416755269</v>
      </c>
      <c r="E9">
        <v>37</v>
      </c>
      <c r="F9">
        <f>ABS(TableWOL[[#This Row],[PP]]-TableWOL[[#This Row],[AP]])</f>
        <v>1.5014364167552685</v>
      </c>
    </row>
    <row r="10" spans="1:9" x14ac:dyDescent="0.2">
      <c r="A10" t="s">
        <v>172</v>
      </c>
      <c r="B10">
        <v>17.22529062739326</v>
      </c>
      <c r="C10">
        <v>17.054665725446821</v>
      </c>
      <c r="D10">
        <f>TableWOL[[#This Row],[ARIMAPP]]*$I$2+TableWOL[[#This Row],[LSTMPP]]*$I$3</f>
        <v>21.070332816711229</v>
      </c>
      <c r="E10">
        <v>28</v>
      </c>
      <c r="F10">
        <f>ABS(TableWOL[[#This Row],[PP]]-TableWOL[[#This Row],[AP]])</f>
        <v>6.9296671832887711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32</v>
      </c>
      <c r="B2">
        <v>23.030303030303031</v>
      </c>
      <c r="C2">
        <v>22.669271611232752</v>
      </c>
      <c r="D2">
        <f>TableBOU[[#This Row],[ARIMAPP]]*$I$2+TableBOU[[#This Row],[LSTMPP]]*$I$3</f>
        <v>28.472762495324929</v>
      </c>
      <c r="E2">
        <v>37</v>
      </c>
      <c r="F2">
        <f>ABS(TableBOU[[#This Row],[PP]]-TableBOU[[#This Row],[AP]])</f>
        <v>8.527237504675071</v>
      </c>
      <c r="H2" t="s">
        <v>0</v>
      </c>
      <c r="I2">
        <v>0.64465404434999996</v>
      </c>
    </row>
    <row r="3" spans="1:9" x14ac:dyDescent="0.2">
      <c r="A3" t="s">
        <v>33</v>
      </c>
      <c r="B3">
        <v>17.37411113343693</v>
      </c>
      <c r="C3">
        <v>15.551537167042939</v>
      </c>
      <c r="D3">
        <f>TableBOU[[#This Row],[ARIMAPP]]*$I$2+TableBOU[[#This Row],[LSTMPP]]*$I$3</f>
        <v>20.548104136843314</v>
      </c>
      <c r="E3">
        <v>31</v>
      </c>
      <c r="F3">
        <f>ABS(TableBOU[[#This Row],[PP]]-TableBOU[[#This Row],[AP]])</f>
        <v>10.451895863156686</v>
      </c>
      <c r="H3" t="s">
        <v>1</v>
      </c>
      <c r="I3">
        <v>0.60108611948000001</v>
      </c>
    </row>
    <row r="4" spans="1:9" x14ac:dyDescent="0.2">
      <c r="A4" t="s">
        <v>34</v>
      </c>
      <c r="B4">
        <v>50.746332416121703</v>
      </c>
      <c r="C4">
        <v>29.21358648819001</v>
      </c>
      <c r="D4">
        <f>TableBOU[[#This Row],[ARIMAPP]]*$I$2+TableBOU[[#This Row],[LSTMPP]]*$I$3</f>
        <v>50.273709766261859</v>
      </c>
      <c r="E4">
        <v>46</v>
      </c>
      <c r="F4">
        <f>ABS(TableBOU[[#This Row],[PP]]-TableBOU[[#This Row],[AP]])</f>
        <v>4.2737097662618595</v>
      </c>
    </row>
    <row r="5" spans="1:9" x14ac:dyDescent="0.2">
      <c r="A5" t="s">
        <v>35</v>
      </c>
      <c r="B5">
        <v>20.9433962264151</v>
      </c>
      <c r="C5">
        <v>18.516985475534391</v>
      </c>
      <c r="D5">
        <f>TableBOU[[#This Row],[ARIMAPP]]*$I$2+TableBOU[[#This Row],[LSTMPP]]*$I$3</f>
        <v>24.631548023739512</v>
      </c>
      <c r="E5">
        <v>24</v>
      </c>
      <c r="F5">
        <f>ABS(TableBOU[[#This Row],[PP]]-TableBOU[[#This Row],[AP]])</f>
        <v>0.63154802373951213</v>
      </c>
      <c r="H5" t="s">
        <v>2</v>
      </c>
      <c r="I5">
        <f>SUM(ABS(TableBOU[[#This Row],[PP]]-TableBOU[[#This Row],[AP]]))</f>
        <v>0.63154802373951213</v>
      </c>
    </row>
    <row r="6" spans="1:9" x14ac:dyDescent="0.2">
      <c r="A6" t="s">
        <v>36</v>
      </c>
      <c r="B6">
        <v>38.205128205128197</v>
      </c>
      <c r="C6">
        <v>38.156610122049912</v>
      </c>
      <c r="D6">
        <f>TableBOU[[#This Row],[ARIMAPP]]*$I$2+TableBOU[[#This Row],[LSTMPP]]*$I$3</f>
        <v>47.56449912312042</v>
      </c>
      <c r="E6">
        <v>23</v>
      </c>
      <c r="F6">
        <f>ABS(TableBOU[[#This Row],[PP]]-TableBOU[[#This Row],[AP]])</f>
        <v>24.56449912312042</v>
      </c>
    </row>
    <row r="7" spans="1:9" x14ac:dyDescent="0.2">
      <c r="A7" t="s">
        <v>37</v>
      </c>
      <c r="B7">
        <v>23.59236812941846</v>
      </c>
      <c r="C7">
        <v>18.708459792555729</v>
      </c>
      <c r="D7">
        <f>TableBOU[[#This Row],[ARIMAPP]]*$I$2+TableBOU[[#This Row],[LSTMPP]]*$I$3</f>
        <v>26.454311028578584</v>
      </c>
      <c r="E7">
        <v>41</v>
      </c>
      <c r="F7">
        <f>ABS(TableBOU[[#This Row],[PP]]-TableBOU[[#This Row],[AP]])</f>
        <v>14.545688971421416</v>
      </c>
      <c r="H7" t="s">
        <v>3</v>
      </c>
      <c r="I7">
        <f>AVERAGE(TableBOU[DIFF])/10</f>
        <v>1.0997417673834013</v>
      </c>
    </row>
    <row r="8" spans="1:9" x14ac:dyDescent="0.2">
      <c r="A8" t="s">
        <v>38</v>
      </c>
      <c r="B8">
        <v>36.763139466437799</v>
      </c>
      <c r="C8">
        <v>34.782286090901501</v>
      </c>
      <c r="D8">
        <f>TableBOU[[#This Row],[ARIMAPP]]*$I$2+TableBOU[[#This Row],[LSTMPP]]*$I$3</f>
        <v>44.606655913065389</v>
      </c>
      <c r="E8">
        <v>30</v>
      </c>
      <c r="F8">
        <f>ABS(TableBOU[[#This Row],[PP]]-TableBOU[[#This Row],[AP]])</f>
        <v>14.606655913065389</v>
      </c>
    </row>
    <row r="9" spans="1:9" x14ac:dyDescent="0.2">
      <c r="A9" t="s">
        <v>39</v>
      </c>
      <c r="B9">
        <v>23.928571428571431</v>
      </c>
      <c r="C9">
        <v>23.620159724523621</v>
      </c>
      <c r="D9">
        <f>TableBOU[[#This Row],[ARIMAPP]]*$I$2+TableBOU[[#This Row],[LSTMPP]]*$I$3</f>
        <v>29.623400497258118</v>
      </c>
      <c r="E9">
        <v>49</v>
      </c>
      <c r="F9">
        <f>ABS(TableBOU[[#This Row],[PP]]-TableBOU[[#This Row],[AP]])</f>
        <v>19.376599502741882</v>
      </c>
    </row>
    <row r="10" spans="1:9" x14ac:dyDescent="0.2">
      <c r="A10" t="s">
        <v>40</v>
      </c>
      <c r="B10">
        <v>19.62962962962963</v>
      </c>
      <c r="C10">
        <v>17.324956450166059</v>
      </c>
      <c r="D10">
        <f>TableBOU[[#This Row],[ARIMAPP]]*$I$2+TableBOU[[#This Row],[LSTMPP]]*$I$3</f>
        <v>23.068110972623643</v>
      </c>
      <c r="E10">
        <v>34</v>
      </c>
      <c r="F10">
        <f>ABS(TableBOU[[#This Row],[PP]]-TableBOU[[#This Row],[AP]])</f>
        <v>10.931889027376357</v>
      </c>
    </row>
    <row r="11" spans="1:9" x14ac:dyDescent="0.2">
      <c r="A11" t="s">
        <v>41</v>
      </c>
      <c r="B11">
        <v>25.836110211081522</v>
      </c>
      <c r="C11">
        <v>34.34130545330607</v>
      </c>
      <c r="D11">
        <f>TableBOU[[#This Row],[ARIMAPP]]*$I$2+TableBOU[[#This Row],[LSTMPP]]*$I$3</f>
        <v>37.297434970651139</v>
      </c>
      <c r="E11">
        <v>45</v>
      </c>
      <c r="F11">
        <f>ABS(TableBOU[[#This Row],[PP]]-TableBOU[[#This Row],[AP]])</f>
        <v>7.702565029348861</v>
      </c>
    </row>
    <row r="12" spans="1:9" x14ac:dyDescent="0.2">
      <c r="A12" t="s">
        <v>42</v>
      </c>
      <c r="B12">
        <v>20</v>
      </c>
      <c r="C12">
        <v>7.8983913816550677</v>
      </c>
      <c r="D12">
        <f>TableBOU[[#This Row],[ARIMAPP]]*$I$2+TableBOU[[#This Row],[LSTMPP]]*$I$3</f>
        <v>17.64069431273332</v>
      </c>
      <c r="E12">
        <v>23</v>
      </c>
      <c r="F12">
        <f>ABS(TableBOU[[#This Row],[PP]]-TableBOU[[#This Row],[AP]])</f>
        <v>5.35930568726668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43</v>
      </c>
      <c r="B2">
        <v>29.28571428571427</v>
      </c>
      <c r="C2">
        <v>32.826874881919679</v>
      </c>
      <c r="D2">
        <f>TableBRE[[#This Row],[ARIMAPP]]*$I$2+TableBRE[[#This Row],[LSTMPP]]*$I$3</f>
        <v>29.576293539825649</v>
      </c>
      <c r="E2">
        <v>24</v>
      </c>
      <c r="F2">
        <f>ABS(TableBRE[[#This Row],[PP]]-TableBRE[[#This Row],[AP]])</f>
        <v>5.5762935398256488</v>
      </c>
      <c r="H2" t="s">
        <v>0</v>
      </c>
      <c r="I2">
        <v>0.84345778908000002</v>
      </c>
    </row>
    <row r="3" spans="1:9" x14ac:dyDescent="0.2">
      <c r="A3" t="s">
        <v>44</v>
      </c>
      <c r="B3">
        <v>32.162162162162183</v>
      </c>
      <c r="C3">
        <v>31.23036960018139</v>
      </c>
      <c r="D3">
        <f>TableBRE[[#This Row],[ARIMAPP]]*$I$2+TableBRE[[#This Row],[LSTMPP]]*$I$3</f>
        <v>31.765363258094212</v>
      </c>
      <c r="E3">
        <v>21</v>
      </c>
      <c r="F3">
        <f>ABS(TableBRE[[#This Row],[PP]]-TableBRE[[#This Row],[AP]])</f>
        <v>10.765363258094212</v>
      </c>
      <c r="H3" t="s">
        <v>1</v>
      </c>
      <c r="I3">
        <v>0.14850727443</v>
      </c>
    </row>
    <row r="4" spans="1:9" x14ac:dyDescent="0.2">
      <c r="A4" t="s">
        <v>45</v>
      </c>
      <c r="B4">
        <v>26.207903847599852</v>
      </c>
      <c r="C4">
        <v>29.94824454330664</v>
      </c>
      <c r="D4">
        <f>TableBRE[[#This Row],[ARIMAPP]]*$I$2+TableBRE[[#This Row],[LSTMPP]]*$I$3</f>
        <v>26.552792806807389</v>
      </c>
      <c r="E4">
        <v>20</v>
      </c>
      <c r="F4">
        <f>ABS(TableBRE[[#This Row],[PP]]-TableBRE[[#This Row],[AP]])</f>
        <v>6.5527928068073891</v>
      </c>
    </row>
    <row r="5" spans="1:9" x14ac:dyDescent="0.2">
      <c r="A5" t="s">
        <v>46</v>
      </c>
      <c r="B5">
        <v>40.243902439024389</v>
      </c>
      <c r="C5">
        <v>31.198902509611621</v>
      </c>
      <c r="D5">
        <f>TableBRE[[#This Row],[ARIMAPP]]*$I$2+TableBRE[[#This Row],[LSTMPP]]*$I$3</f>
        <v>38.577296952080438</v>
      </c>
      <c r="E5">
        <v>36</v>
      </c>
      <c r="F5">
        <f>ABS(TableBRE[[#This Row],[PP]]-TableBRE[[#This Row],[AP]])</f>
        <v>2.5772969520804381</v>
      </c>
      <c r="H5" t="s">
        <v>2</v>
      </c>
      <c r="I5">
        <f>SUM(ABS(TableBRE[[#This Row],[PP]]-TableBRE[[#This Row],[AP]]))</f>
        <v>2.5772969520804381</v>
      </c>
    </row>
    <row r="6" spans="1:9" x14ac:dyDescent="0.2">
      <c r="A6" t="s">
        <v>47</v>
      </c>
      <c r="B6">
        <v>28.33333333333335</v>
      </c>
      <c r="C6">
        <v>24.15387652379076</v>
      </c>
      <c r="D6">
        <f>TableBRE[[#This Row],[ARIMAPP]]*$I$2+TableBRE[[#This Row],[LSTMPP]]*$I$3</f>
        <v>27.484997060066945</v>
      </c>
      <c r="E6">
        <v>35</v>
      </c>
      <c r="F6">
        <f>ABS(TableBRE[[#This Row],[PP]]-TableBRE[[#This Row],[AP]])</f>
        <v>7.5150029399330549</v>
      </c>
    </row>
    <row r="7" spans="1:9" x14ac:dyDescent="0.2">
      <c r="A7" t="s">
        <v>48</v>
      </c>
      <c r="B7">
        <v>30.804415188856481</v>
      </c>
      <c r="C7">
        <v>32.471419685105253</v>
      </c>
      <c r="D7">
        <f>TableBRE[[#This Row],[ARIMAPP]]*$I$2+TableBRE[[#This Row],[LSTMPP]]*$I$3</f>
        <v>30.80446596340289</v>
      </c>
      <c r="E7">
        <v>43</v>
      </c>
      <c r="F7">
        <f>ABS(TableBRE[[#This Row],[PP]]-TableBRE[[#This Row],[AP]])</f>
        <v>12.19553403659711</v>
      </c>
      <c r="H7" t="s">
        <v>3</v>
      </c>
      <c r="I7">
        <f>AVERAGE(TableBRE[DIFF])/10</f>
        <v>0.69457567046815627</v>
      </c>
    </row>
    <row r="8" spans="1:9" x14ac:dyDescent="0.2">
      <c r="A8" t="s">
        <v>49</v>
      </c>
      <c r="B8">
        <v>31.72137586937253</v>
      </c>
      <c r="C8">
        <v>25.844064851381798</v>
      </c>
      <c r="D8">
        <f>TableBRE[[#This Row],[ARIMAPP]]*$I$2+TableBRE[[#This Row],[LSTMPP]]*$I$3</f>
        <v>30.593673188627491</v>
      </c>
      <c r="E8">
        <v>23</v>
      </c>
      <c r="F8">
        <f>ABS(TableBRE[[#This Row],[PP]]-TableBRE[[#This Row],[AP]])</f>
        <v>7.5936731886274913</v>
      </c>
    </row>
    <row r="9" spans="1:9" x14ac:dyDescent="0.2">
      <c r="A9" t="s">
        <v>50</v>
      </c>
      <c r="B9">
        <v>18.983050847457609</v>
      </c>
      <c r="C9">
        <v>17.31197387128887</v>
      </c>
      <c r="D9">
        <f>TableBRE[[#This Row],[ARIMAPP]]*$I$2+TableBRE[[#This Row],[LSTMPP]]*$I$3</f>
        <v>18.582356152418303</v>
      </c>
      <c r="E9">
        <v>33</v>
      </c>
      <c r="F9">
        <f>ABS(TableBRE[[#This Row],[PP]]-TableBRE[[#This Row],[AP]])</f>
        <v>14.417643847581697</v>
      </c>
    </row>
    <row r="10" spans="1:9" x14ac:dyDescent="0.2">
      <c r="A10" t="s">
        <v>51</v>
      </c>
      <c r="B10">
        <v>24.126984126984119</v>
      </c>
      <c r="C10">
        <v>20.805057961614342</v>
      </c>
      <c r="D10">
        <f>TableBRE[[#This Row],[ARIMAPP]]*$I$2+TableBRE[[#This Row],[LSTMPP]]*$I$3</f>
        <v>23.439795141151798</v>
      </c>
      <c r="E10">
        <v>23</v>
      </c>
      <c r="F10">
        <f>ABS(TableBRE[[#This Row],[PP]]-TableBRE[[#This Row],[AP]])</f>
        <v>0.43979514115179796</v>
      </c>
    </row>
    <row r="11" spans="1:9" x14ac:dyDescent="0.2">
      <c r="A11" t="s">
        <v>52</v>
      </c>
      <c r="B11">
        <v>18.311238239631798</v>
      </c>
      <c r="C11">
        <v>18.80785272562359</v>
      </c>
      <c r="D11">
        <f>TableBRE[[#This Row],[ARIMAPP]]*$I$2+TableBRE[[#This Row],[LSTMPP]]*$I$3</f>
        <v>18.237859467080195</v>
      </c>
      <c r="E11">
        <v>26</v>
      </c>
      <c r="F11">
        <f>ABS(TableBRE[[#This Row],[PP]]-TableBRE[[#This Row],[AP]])</f>
        <v>7.7621405329198048</v>
      </c>
    </row>
    <row r="12" spans="1:9" x14ac:dyDescent="0.2">
      <c r="A12" t="s">
        <v>53</v>
      </c>
      <c r="B12">
        <v>31.816819210850301</v>
      </c>
      <c r="C12">
        <v>27.98562239413106</v>
      </c>
      <c r="D12">
        <f>TableBRE[[#This Row],[ARIMAPP]]*$I$2+TableBRE[[#This Row],[LSTMPP]]*$I$3</f>
        <v>30.992212492121443</v>
      </c>
      <c r="E12">
        <v>32</v>
      </c>
      <c r="F12">
        <f>ABS(TableBRE[[#This Row],[PP]]-TableBRE[[#This Row],[AP]])</f>
        <v>1.0077875078785574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54</v>
      </c>
      <c r="B2">
        <v>30.999999999999979</v>
      </c>
      <c r="C2">
        <v>31.927214049770011</v>
      </c>
      <c r="D2">
        <f>TableBHA[[#This Row],[ARIMAPP]]*$I$2+TableBHA[[#This Row],[LSTMPP]]*$I$3</f>
        <v>36.149323291354548</v>
      </c>
      <c r="E2">
        <v>42</v>
      </c>
      <c r="F2">
        <f>ABS(TableBHA[[#This Row],[PP]]-TableBHA[[#This Row],[AP]])</f>
        <v>5.8506767086454516</v>
      </c>
      <c r="H2" t="s">
        <v>0</v>
      </c>
      <c r="I2">
        <v>0.51092725496000002</v>
      </c>
    </row>
    <row r="3" spans="1:9" x14ac:dyDescent="0.2">
      <c r="A3" t="s">
        <v>55</v>
      </c>
      <c r="B3">
        <v>44.705083048587568</v>
      </c>
      <c r="C3">
        <v>32.094130024682627</v>
      </c>
      <c r="D3">
        <f>TableBHA[[#This Row],[ARIMAPP]]*$I$2+TableBHA[[#This Row],[LSTMPP]]*$I$3</f>
        <v>43.257807774166054</v>
      </c>
      <c r="E3">
        <v>37</v>
      </c>
      <c r="F3">
        <f>ABS(TableBHA[[#This Row],[PP]]-TableBHA[[#This Row],[AP]])</f>
        <v>6.2578077741660536</v>
      </c>
      <c r="H3" t="s">
        <v>1</v>
      </c>
      <c r="I3">
        <v>0.63615254233999996</v>
      </c>
    </row>
    <row r="4" spans="1:9" x14ac:dyDescent="0.2">
      <c r="A4" t="s">
        <v>56</v>
      </c>
      <c r="B4">
        <v>30.072231366900649</v>
      </c>
      <c r="C4">
        <v>31.541145357769501</v>
      </c>
      <c r="D4">
        <f>TableBHA[[#This Row],[ARIMAPP]]*$I$2+TableBHA[[#This Row],[LSTMPP]]*$I$3</f>
        <v>35.429702430473114</v>
      </c>
      <c r="E4">
        <v>28</v>
      </c>
      <c r="F4">
        <f>ABS(TableBHA[[#This Row],[PP]]-TableBHA[[#This Row],[AP]])</f>
        <v>7.4297024304731138</v>
      </c>
    </row>
    <row r="5" spans="1:9" x14ac:dyDescent="0.2">
      <c r="A5" t="s">
        <v>57</v>
      </c>
      <c r="B5">
        <v>23.75</v>
      </c>
      <c r="C5">
        <v>21.046747734993708</v>
      </c>
      <c r="D5">
        <f>TableBHA[[#This Row],[ARIMAPP]]*$I$2+TableBHA[[#This Row],[LSTMPP]]*$I$3</f>
        <v>25.523464384904884</v>
      </c>
      <c r="E5">
        <v>39</v>
      </c>
      <c r="F5">
        <f>ABS(TableBHA[[#This Row],[PP]]-TableBHA[[#This Row],[AP]])</f>
        <v>13.476535615095116</v>
      </c>
      <c r="H5" t="s">
        <v>2</v>
      </c>
      <c r="I5">
        <f>SUM(ABS(TableBHA[[#This Row],[PP]]-TableBHA[[#This Row],[AP]]))</f>
        <v>13.476535615095116</v>
      </c>
    </row>
    <row r="6" spans="1:9" x14ac:dyDescent="0.2">
      <c r="A6" t="s">
        <v>58</v>
      </c>
      <c r="B6">
        <v>17.3393630080446</v>
      </c>
      <c r="C6">
        <v>11.86360935196636</v>
      </c>
      <c r="D6">
        <f>TableBHA[[#This Row],[ARIMAPP]]*$I$2+TableBHA[[#This Row],[LSTMPP]]*$I$3</f>
        <v>16.406218395037197</v>
      </c>
      <c r="E6">
        <v>24</v>
      </c>
      <c r="F6">
        <f>ABS(TableBHA[[#This Row],[PP]]-TableBHA[[#This Row],[AP]])</f>
        <v>7.5937816049628033</v>
      </c>
    </row>
    <row r="7" spans="1:9" x14ac:dyDescent="0.2">
      <c r="A7" t="s">
        <v>59</v>
      </c>
      <c r="B7">
        <v>20</v>
      </c>
      <c r="C7">
        <v>23.04389399088376</v>
      </c>
      <c r="D7">
        <f>TableBHA[[#This Row],[ARIMAPP]]*$I$2+TableBHA[[#This Row],[LSTMPP]]*$I$3</f>
        <v>24.877976846914152</v>
      </c>
      <c r="E7">
        <v>26</v>
      </c>
      <c r="F7">
        <f>ABS(TableBHA[[#This Row],[PP]]-TableBHA[[#This Row],[AP]])</f>
        <v>1.1220231530858484</v>
      </c>
      <c r="H7" t="s">
        <v>3</v>
      </c>
      <c r="I7">
        <f>AVERAGE(TableBHA[DIFF])/10</f>
        <v>0.66222789408035232</v>
      </c>
    </row>
    <row r="8" spans="1:9" x14ac:dyDescent="0.2">
      <c r="A8" t="s">
        <v>60</v>
      </c>
      <c r="B8">
        <v>32.941176470588232</v>
      </c>
      <c r="C8">
        <v>32.688512653638981</v>
      </c>
      <c r="D8">
        <f>TableBHA[[#This Row],[ARIMAPP]]*$I$2+TableBHA[[#This Row],[LSTMPP]]*$I$3</f>
        <v>37.62542529919628</v>
      </c>
      <c r="E8">
        <v>33</v>
      </c>
      <c r="F8">
        <f>ABS(TableBHA[[#This Row],[PP]]-TableBHA[[#This Row],[AP]])</f>
        <v>4.6254252991962801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61</v>
      </c>
      <c r="B2">
        <v>23.70161740360377</v>
      </c>
      <c r="C2">
        <v>21.667440082221969</v>
      </c>
      <c r="D2">
        <f>TableBUR[[#This Row],[ARIMAPP]]*$I$2+TableBUR[[#This Row],[LSTMPP]]*$I$3</f>
        <v>25.691903269980649</v>
      </c>
      <c r="E2">
        <v>22</v>
      </c>
      <c r="F2">
        <f>ABS(TableBUR[[#This Row],[PP]]-TableBUR[[#This Row],[AP]])</f>
        <v>3.6919032699806493</v>
      </c>
      <c r="H2" t="s">
        <v>0</v>
      </c>
      <c r="I2">
        <v>1.0839725759000001</v>
      </c>
    </row>
    <row r="3" spans="1:9" x14ac:dyDescent="0.2">
      <c r="A3" t="s">
        <v>62</v>
      </c>
      <c r="B3">
        <v>16.086956521739129</v>
      </c>
      <c r="C3">
        <v>12.19813787913248</v>
      </c>
      <c r="D3">
        <f>TableBUR[[#This Row],[ARIMAPP]]*$I$2+TableBUR[[#This Row],[LSTMPP]]*$I$3</f>
        <v>17.437819699260871</v>
      </c>
      <c r="E3">
        <v>20</v>
      </c>
      <c r="F3">
        <f>ABS(TableBUR[[#This Row],[PP]]-TableBUR[[#This Row],[AP]])</f>
        <v>2.5621803007391293</v>
      </c>
      <c r="H3" t="s">
        <v>1</v>
      </c>
      <c r="I3">
        <v>0</v>
      </c>
    </row>
    <row r="4" spans="1:9" x14ac:dyDescent="0.2">
      <c r="A4" t="s">
        <v>63</v>
      </c>
      <c r="B4">
        <v>17.777777777777771</v>
      </c>
      <c r="C4">
        <v>15.26657245060639</v>
      </c>
      <c r="D4">
        <f>TableBUR[[#This Row],[ARIMAPP]]*$I$2+TableBUR[[#This Row],[LSTMPP]]*$I$3</f>
        <v>19.27062357155555</v>
      </c>
      <c r="E4">
        <v>39</v>
      </c>
      <c r="F4">
        <f>ABS(TableBUR[[#This Row],[PP]]-TableBUR[[#This Row],[AP]])</f>
        <v>19.72937642844445</v>
      </c>
    </row>
    <row r="5" spans="1:9" x14ac:dyDescent="0.2">
      <c r="A5" t="s">
        <v>64</v>
      </c>
      <c r="B5">
        <v>31.875000000000011</v>
      </c>
      <c r="C5">
        <v>36.929690758068993</v>
      </c>
      <c r="D5">
        <f>TableBUR[[#This Row],[ARIMAPP]]*$I$2+TableBUR[[#This Row],[LSTMPP]]*$I$3</f>
        <v>34.551625856812514</v>
      </c>
      <c r="E5">
        <v>25</v>
      </c>
      <c r="F5">
        <f>ABS(TableBUR[[#This Row],[PP]]-TableBUR[[#This Row],[AP]])</f>
        <v>9.5516258568125139</v>
      </c>
      <c r="H5" t="s">
        <v>2</v>
      </c>
      <c r="I5">
        <f>SUM(ABS(TableBUR[[#This Row],[PP]]-TableBUR[[#This Row],[AP]]))</f>
        <v>9.5516258568125139</v>
      </c>
    </row>
    <row r="7" spans="1:9" x14ac:dyDescent="0.2">
      <c r="H7" t="s">
        <v>3</v>
      </c>
      <c r="I7">
        <f>AVERAGE(TableBUR[DIFF])/10</f>
        <v>0.88837714639941867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65</v>
      </c>
      <c r="B2">
        <v>43.66596899316071</v>
      </c>
      <c r="C2">
        <v>56.891982638380881</v>
      </c>
      <c r="D2">
        <f>TableCHE[[#This Row],[ARIMAPP]]*$I$2+TableCHE[[#This Row],[LSTMPP]]*$I$3</f>
        <v>55.531831565375967</v>
      </c>
      <c r="E2">
        <v>27</v>
      </c>
      <c r="F2">
        <f>ABS(TableCHE[[#This Row],[PP]]-TableCHE[[#This Row],[AP]])</f>
        <v>28.531831565375967</v>
      </c>
      <c r="H2" t="s">
        <v>0</v>
      </c>
      <c r="I2">
        <v>1.2717416525</v>
      </c>
    </row>
    <row r="3" spans="1:9" x14ac:dyDescent="0.2">
      <c r="A3" t="s">
        <v>66</v>
      </c>
      <c r="B3">
        <v>27.819239789040189</v>
      </c>
      <c r="C3">
        <v>23.812436948970738</v>
      </c>
      <c r="D3">
        <f>TableCHE[[#This Row],[ARIMAPP]]*$I$2+TableCHE[[#This Row],[LSTMPP]]*$I$3</f>
        <v>35.37888598060772</v>
      </c>
      <c r="E3">
        <v>48</v>
      </c>
      <c r="F3">
        <f>ABS(TableCHE[[#This Row],[PP]]-TableCHE[[#This Row],[AP]])</f>
        <v>12.62111401939228</v>
      </c>
      <c r="H3" t="s">
        <v>1</v>
      </c>
      <c r="I3">
        <v>0</v>
      </c>
    </row>
    <row r="4" spans="1:9" x14ac:dyDescent="0.2">
      <c r="A4" t="s">
        <v>67</v>
      </c>
      <c r="B4">
        <v>68.642411719969218</v>
      </c>
      <c r="C4">
        <v>31.667279586316109</v>
      </c>
      <c r="D4">
        <f>TableCHE[[#This Row],[ARIMAPP]]*$I$2+TableCHE[[#This Row],[LSTMPP]]*$I$3</f>
        <v>87.295414112339017</v>
      </c>
      <c r="E4">
        <v>110</v>
      </c>
      <c r="F4">
        <f>ABS(TableCHE[[#This Row],[PP]]-TableCHE[[#This Row],[AP]])</f>
        <v>22.704585887660983</v>
      </c>
    </row>
    <row r="5" spans="1:9" x14ac:dyDescent="0.2">
      <c r="A5" t="s">
        <v>68</v>
      </c>
      <c r="B5">
        <v>33.611111111111079</v>
      </c>
      <c r="C5">
        <v>31.46357416926957</v>
      </c>
      <c r="D5">
        <f>TableCHE[[#This Row],[ARIMAPP]]*$I$2+TableCHE[[#This Row],[LSTMPP]]*$I$3</f>
        <v>42.744649986805513</v>
      </c>
      <c r="E5">
        <v>34</v>
      </c>
      <c r="F5">
        <f>ABS(TableCHE[[#This Row],[PP]]-TableCHE[[#This Row],[AP]])</f>
        <v>8.7446499868055128</v>
      </c>
      <c r="H5" t="s">
        <v>2</v>
      </c>
      <c r="I5">
        <f>SUM(ABS(TableCHE[[#This Row],[PP]]-TableCHE[[#This Row],[AP]]))</f>
        <v>8.7446499868055128</v>
      </c>
    </row>
    <row r="6" spans="1:9" x14ac:dyDescent="0.2">
      <c r="A6" t="s">
        <v>69</v>
      </c>
      <c r="B6">
        <v>28.275862068965509</v>
      </c>
      <c r="C6">
        <v>16.812900866379859</v>
      </c>
      <c r="D6">
        <f>TableCHE[[#This Row],[ARIMAPP]]*$I$2+TableCHE[[#This Row],[LSTMPP]]*$I$3</f>
        <v>35.95959155344827</v>
      </c>
      <c r="E6">
        <v>23</v>
      </c>
      <c r="F6">
        <f>ABS(TableCHE[[#This Row],[PP]]-TableCHE[[#This Row],[AP]])</f>
        <v>12.95959155344827</v>
      </c>
    </row>
    <row r="7" spans="1:9" x14ac:dyDescent="0.2">
      <c r="A7" t="s">
        <v>70</v>
      </c>
      <c r="B7">
        <v>25.666666666666661</v>
      </c>
      <c r="C7">
        <v>25.837469341180078</v>
      </c>
      <c r="D7">
        <f>TableCHE[[#This Row],[ARIMAPP]]*$I$2+TableCHE[[#This Row],[LSTMPP]]*$I$3</f>
        <v>32.641369080833329</v>
      </c>
      <c r="E7">
        <v>28</v>
      </c>
      <c r="F7">
        <f>ABS(TableCHE[[#This Row],[PP]]-TableCHE[[#This Row],[AP]])</f>
        <v>4.6413690808333286</v>
      </c>
      <c r="H7" t="s">
        <v>3</v>
      </c>
      <c r="I7">
        <f>AVERAGE(TableCHE[DIFF])/10</f>
        <v>1.2267677671533288</v>
      </c>
    </row>
    <row r="8" spans="1:9" x14ac:dyDescent="0.2">
      <c r="A8" t="s">
        <v>71</v>
      </c>
      <c r="B8">
        <v>25.588235294117641</v>
      </c>
      <c r="C8">
        <v>23.554988047419481</v>
      </c>
      <c r="D8">
        <f>TableCHE[[#This Row],[ARIMAPP]]*$I$2+TableCHE[[#This Row],[LSTMPP]]*$I$3</f>
        <v>32.541624637499993</v>
      </c>
      <c r="E8">
        <v>30</v>
      </c>
      <c r="F8">
        <f>ABS(TableCHE[[#This Row],[PP]]-TableCHE[[#This Row],[AP]])</f>
        <v>2.5416246374999929</v>
      </c>
    </row>
    <row r="9" spans="1:9" x14ac:dyDescent="0.2">
      <c r="A9" t="s">
        <v>72</v>
      </c>
      <c r="B9">
        <v>33.500000000000007</v>
      </c>
      <c r="C9">
        <v>28.303914022131469</v>
      </c>
      <c r="D9">
        <f>TableCHE[[#This Row],[ARIMAPP]]*$I$2+TableCHE[[#This Row],[LSTMPP]]*$I$3</f>
        <v>42.603345358750012</v>
      </c>
      <c r="E9">
        <v>48</v>
      </c>
      <c r="F9">
        <f>ABS(TableCHE[[#This Row],[PP]]-TableCHE[[#This Row],[AP]])</f>
        <v>5.3966546412499881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73</v>
      </c>
      <c r="B2">
        <v>26.821192052980152</v>
      </c>
      <c r="C2">
        <v>23.301890669876968</v>
      </c>
      <c r="D2">
        <f>TableCRY[[#This Row],[ARIMAPP]]*$I$2+TableCRY[[#This Row],[LSTMPP]]*$I$3</f>
        <v>35.054771486423867</v>
      </c>
      <c r="E2">
        <v>21</v>
      </c>
      <c r="F2">
        <f>ABS(TableCRY[[#This Row],[PP]]-TableCRY[[#This Row],[AP]])</f>
        <v>14.054771486423867</v>
      </c>
      <c r="H2" t="s">
        <v>0</v>
      </c>
      <c r="I2">
        <v>1.3069803689999999</v>
      </c>
    </row>
    <row r="3" spans="1:9" x14ac:dyDescent="0.2">
      <c r="A3" t="s">
        <v>74</v>
      </c>
      <c r="B3">
        <v>18.131186765543429</v>
      </c>
      <c r="C3">
        <v>20.20100701921611</v>
      </c>
      <c r="D3">
        <f>TableCRY[[#This Row],[ARIMAPP]]*$I$2+TableCRY[[#This Row],[LSTMPP]]*$I$3</f>
        <v>23.697105169237865</v>
      </c>
      <c r="E3">
        <v>23</v>
      </c>
      <c r="F3">
        <f>ABS(TableCRY[[#This Row],[PP]]-TableCRY[[#This Row],[AP]])</f>
        <v>0.69710516923786514</v>
      </c>
      <c r="H3" t="s">
        <v>1</v>
      </c>
      <c r="I3">
        <v>0</v>
      </c>
    </row>
    <row r="4" spans="1:9" x14ac:dyDescent="0.2">
      <c r="A4" t="s">
        <v>75</v>
      </c>
      <c r="B4">
        <v>27.613636363636399</v>
      </c>
      <c r="C4">
        <v>26.242215446631381</v>
      </c>
      <c r="D4">
        <f>TableCRY[[#This Row],[ARIMAPP]]*$I$2+TableCRY[[#This Row],[LSTMPP]]*$I$3</f>
        <v>36.090480643977315</v>
      </c>
      <c r="E4">
        <v>40</v>
      </c>
      <c r="F4">
        <f>ABS(TableCRY[[#This Row],[PP]]-TableCRY[[#This Row],[AP]])</f>
        <v>3.9095193560226846</v>
      </c>
    </row>
    <row r="5" spans="1:9" x14ac:dyDescent="0.2">
      <c r="A5" t="s">
        <v>76</v>
      </c>
      <c r="B5">
        <v>30.519849619432019</v>
      </c>
      <c r="C5">
        <v>29.309671285343299</v>
      </c>
      <c r="D5">
        <f>TableCRY[[#This Row],[ARIMAPP]]*$I$2+TableCRY[[#This Row],[LSTMPP]]*$I$3</f>
        <v>39.888844317429765</v>
      </c>
      <c r="E5">
        <v>35</v>
      </c>
      <c r="F5">
        <f>ABS(TableCRY[[#This Row],[PP]]-TableCRY[[#This Row],[AP]])</f>
        <v>4.8888443174297649</v>
      </c>
      <c r="H5" t="s">
        <v>2</v>
      </c>
      <c r="I5">
        <f>SUM(ABS(TableCRY[[#This Row],[PP]]-TableCRY[[#This Row],[AP]]))</f>
        <v>4.8888443174297649</v>
      </c>
    </row>
    <row r="6" spans="1:9" x14ac:dyDescent="0.2">
      <c r="A6" t="s">
        <v>77</v>
      </c>
      <c r="B6">
        <v>35.913978494623649</v>
      </c>
      <c r="C6">
        <v>33.390183852226009</v>
      </c>
      <c r="D6">
        <f>TableCRY[[#This Row],[ARIMAPP]]*$I$2+TableCRY[[#This Row],[LSTMPP]]*$I$3</f>
        <v>46.938864865161278</v>
      </c>
      <c r="E6">
        <v>56</v>
      </c>
      <c r="F6">
        <f>ABS(TableCRY[[#This Row],[PP]]-TableCRY[[#This Row],[AP]])</f>
        <v>9.0611351348387217</v>
      </c>
    </row>
    <row r="7" spans="1:9" x14ac:dyDescent="0.2">
      <c r="A7" t="s">
        <v>78</v>
      </c>
      <c r="B7">
        <v>27.821619612602561</v>
      </c>
      <c r="C7">
        <v>29.135698984302799</v>
      </c>
      <c r="D7">
        <f>TableCRY[[#This Row],[ARIMAPP]]*$I$2+TableCRY[[#This Row],[LSTMPP]]*$I$3</f>
        <v>36.362310667456931</v>
      </c>
      <c r="E7">
        <v>30</v>
      </c>
      <c r="F7">
        <f>ABS(TableCRY[[#This Row],[PP]]-TableCRY[[#This Row],[AP]])</f>
        <v>6.3623106674569314</v>
      </c>
      <c r="H7" t="s">
        <v>3</v>
      </c>
      <c r="I7">
        <f>AVERAGE(TableCRY[DIFF])/10</f>
        <v>0.91875119130110738</v>
      </c>
    </row>
    <row r="8" spans="1:9" x14ac:dyDescent="0.2">
      <c r="A8" t="s">
        <v>79</v>
      </c>
      <c r="B8">
        <v>22.763157894736839</v>
      </c>
      <c r="C8">
        <v>21.39798047002801</v>
      </c>
      <c r="D8">
        <f>TableCRY[[#This Row],[ARIMAPP]]*$I$2+TableCRY[[#This Row],[LSTMPP]]*$I$3</f>
        <v>29.751000504868415</v>
      </c>
      <c r="E8">
        <v>54</v>
      </c>
      <c r="F8">
        <f>ABS(TableCRY[[#This Row],[PP]]-TableCRY[[#This Row],[AP]])</f>
        <v>24.248999495131585</v>
      </c>
    </row>
    <row r="9" spans="1:9" x14ac:dyDescent="0.2">
      <c r="A9" t="s">
        <v>80</v>
      </c>
      <c r="B9">
        <v>26.226415094339622</v>
      </c>
      <c r="C9">
        <v>28.94679460537731</v>
      </c>
      <c r="D9">
        <f>TableCRY[[#This Row],[ARIMAPP]]*$I$2+TableCRY[[#This Row],[LSTMPP]]*$I$3</f>
        <v>34.277409677547169</v>
      </c>
      <c r="E9">
        <v>24</v>
      </c>
      <c r="F9">
        <f>ABS(TableCRY[[#This Row],[PP]]-TableCRY[[#This Row],[AP]])</f>
        <v>10.277409677547169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81</v>
      </c>
      <c r="B2">
        <v>32.303030303030333</v>
      </c>
      <c r="C2">
        <v>30.963880601212789</v>
      </c>
      <c r="D2">
        <f>TableEVE[[#This Row],[ARIMAPP]]*$I$2+TableEVE[[#This Row],[LSTMPP]]*$I$3</f>
        <v>33.175115451843496</v>
      </c>
      <c r="E2">
        <v>22</v>
      </c>
      <c r="F2">
        <f>ABS(TableEVE[[#This Row],[PP]]-TableEVE[[#This Row],[AP]])</f>
        <v>11.175115451843496</v>
      </c>
      <c r="H2" t="s">
        <v>0</v>
      </c>
      <c r="I2">
        <v>5.5445938517999997E-2</v>
      </c>
    </row>
    <row r="3" spans="1:9" x14ac:dyDescent="0.2">
      <c r="A3" t="s">
        <v>82</v>
      </c>
      <c r="B3">
        <v>30.498934022781778</v>
      </c>
      <c r="C3">
        <v>28.490066674011452</v>
      </c>
      <c r="D3">
        <f>TableEVE[[#This Row],[ARIMAPP]]*$I$2+TableEVE[[#This Row],[LSTMPP]]*$I$3</f>
        <v>30.567703403722216</v>
      </c>
      <c r="E3">
        <v>21</v>
      </c>
      <c r="F3">
        <f>ABS(TableEVE[[#This Row],[PP]]-TableEVE[[#This Row],[AP]])</f>
        <v>9.5677034037222164</v>
      </c>
      <c r="H3" t="s">
        <v>1</v>
      </c>
      <c r="I3">
        <v>1.0135694560999999</v>
      </c>
    </row>
    <row r="4" spans="1:9" x14ac:dyDescent="0.2">
      <c r="A4" t="s">
        <v>83</v>
      </c>
      <c r="B4">
        <v>35.561224489795869</v>
      </c>
      <c r="C4">
        <v>34.735518040114748</v>
      </c>
      <c r="D4">
        <f>TableEVE[[#This Row],[ARIMAPP]]*$I$2+TableEVE[[#This Row],[LSTMPP]]*$I$3</f>
        <v>37.178585593956861</v>
      </c>
      <c r="E4">
        <v>43</v>
      </c>
      <c r="F4">
        <f>ABS(TableEVE[[#This Row],[PP]]-TableEVE[[#This Row],[AP]])</f>
        <v>5.8214144060431394</v>
      </c>
    </row>
    <row r="5" spans="1:9" x14ac:dyDescent="0.2">
      <c r="A5" t="s">
        <v>84</v>
      </c>
      <c r="B5">
        <v>23.425925925925931</v>
      </c>
      <c r="C5">
        <v>23.357441780160041</v>
      </c>
      <c r="D5">
        <f>TableEVE[[#This Row],[ARIMAPP]]*$I$2+TableEVE[[#This Row],[LSTMPP]]*$I$3</f>
        <v>24.973262009620338</v>
      </c>
      <c r="E5">
        <v>28</v>
      </c>
      <c r="F5">
        <f>ABS(TableEVE[[#This Row],[PP]]-TableEVE[[#This Row],[AP]])</f>
        <v>3.0267379903796616</v>
      </c>
      <c r="H5" t="s">
        <v>2</v>
      </c>
      <c r="I5">
        <f>SUM(ABS(TableEVE[[#This Row],[PP]]-TableEVE[[#This Row],[AP]]))</f>
        <v>3.0267379903796616</v>
      </c>
    </row>
    <row r="6" spans="1:9" x14ac:dyDescent="0.2">
      <c r="A6" t="s">
        <v>85</v>
      </c>
      <c r="B6">
        <v>33.812254332942643</v>
      </c>
      <c r="C6">
        <v>35.732313055333513</v>
      </c>
      <c r="D6">
        <f>TableEVE[[#This Row],[ARIMAPP]]*$I$2+TableEVE[[#This Row],[LSTMPP]]*$I$3</f>
        <v>38.091933283588631</v>
      </c>
      <c r="E6">
        <v>36</v>
      </c>
      <c r="F6">
        <f>ABS(TableEVE[[#This Row],[PP]]-TableEVE[[#This Row],[AP]])</f>
        <v>2.0919332835886308</v>
      </c>
    </row>
    <row r="7" spans="1:9" x14ac:dyDescent="0.2">
      <c r="A7" t="s">
        <v>86</v>
      </c>
      <c r="B7">
        <v>31.49999999999995</v>
      </c>
      <c r="C7">
        <v>28.406304791234358</v>
      </c>
      <c r="D7">
        <f>TableEVE[[#This Row],[ARIMAPP]]*$I$2+TableEVE[[#This Row],[LSTMPP]]*$I$3</f>
        <v>30.538309960379227</v>
      </c>
      <c r="E7">
        <v>34</v>
      </c>
      <c r="F7">
        <f>ABS(TableEVE[[#This Row],[PP]]-TableEVE[[#This Row],[AP]])</f>
        <v>3.4616900396207733</v>
      </c>
      <c r="H7" t="s">
        <v>3</v>
      </c>
      <c r="I7">
        <f>AVERAGE(TableEVE[DIFF])/10</f>
        <v>0.65833147230825839</v>
      </c>
    </row>
    <row r="8" spans="1:9" x14ac:dyDescent="0.2">
      <c r="A8" t="s">
        <v>87</v>
      </c>
      <c r="B8">
        <v>18.63239084493684</v>
      </c>
      <c r="C8">
        <v>24.977004192937351</v>
      </c>
      <c r="D8">
        <f>TableEVE[[#This Row],[ARIMAPP]]*$I$2+TableEVE[[#This Row],[LSTMPP]]*$I$3</f>
        <v>26.349018952074641</v>
      </c>
      <c r="E8">
        <v>24</v>
      </c>
      <c r="F8">
        <f>ABS(TableEVE[[#This Row],[PP]]-TableEVE[[#This Row],[AP]])</f>
        <v>2.3490189520746405</v>
      </c>
    </row>
    <row r="9" spans="1:9" x14ac:dyDescent="0.2">
      <c r="A9" t="s">
        <v>88</v>
      </c>
      <c r="B9">
        <v>25.066504097354841</v>
      </c>
      <c r="C9">
        <v>25.096711176998109</v>
      </c>
      <c r="D9">
        <f>TableEVE[[#This Row],[ARIMAPP]]*$I$2+TableEVE[[#This Row],[LSTMPP]]*$I$3</f>
        <v>26.827095742611892</v>
      </c>
      <c r="E9">
        <v>42</v>
      </c>
      <c r="F9">
        <f>ABS(TableEVE[[#This Row],[PP]]-TableEVE[[#This Row],[AP]])</f>
        <v>15.172904257388108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2024-05-03T00:33:12Z</dcterms:created>
  <dcterms:modified xsi:type="dcterms:W3CDTF">2024-05-03T00:39:11Z</dcterms:modified>
</cp:coreProperties>
</file>