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orridog/Documents/GitHub/FPL-Predictor/Predictions/2023-24/"/>
    </mc:Choice>
  </mc:AlternateContent>
  <xr:revisionPtr revIDLastSave="0" documentId="13_ncr:1_{CE68CB20-D3DA-EE42-A8DE-B78B123C9EA4}" xr6:coauthVersionLast="47" xr6:coauthVersionMax="47" xr10:uidLastSave="{00000000-0000-0000-0000-000000000000}"/>
  <bookViews>
    <workbookView xWindow="240" yWindow="760" windowWidth="33320" windowHeight="20800" xr2:uid="{00000000-000D-0000-FFFF-FFFF00000000}"/>
  </bookViews>
  <sheets>
    <sheet name="Sheet1" sheetId="1" r:id="rId1"/>
  </sheets>
  <definedNames>
    <definedName name="solver_adj" localSheetId="0" hidden="1">Sheet1!$AJ$2:$AJ$192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Sheet1!$AJ$2:$AJ$192</definedName>
    <definedName name="solver_lhs2" localSheetId="0" hidden="1">Sheet1!$AM$11:$AM$30</definedName>
    <definedName name="solver_lhs3" localSheetId="0" hidden="1">Sheet1!$AM$4</definedName>
    <definedName name="solver_lhs4" localSheetId="0" hidden="1">Sheet1!$AM$6:$AM$9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opt" localSheetId="0" hidden="1">Sheet1!$AM$2</definedName>
    <definedName name="solver_pre" localSheetId="0" hidden="1">0.000001</definedName>
    <definedName name="solver_rbv" localSheetId="0" hidden="1">1</definedName>
    <definedName name="solver_rel1" localSheetId="0" hidden="1">5</definedName>
    <definedName name="solver_rel2" localSheetId="0" hidden="1">1</definedName>
    <definedName name="solver_rel3" localSheetId="0" hidden="1">1</definedName>
    <definedName name="solver_rel4" localSheetId="0" hidden="1">2</definedName>
    <definedName name="solver_rhs1" localSheetId="0" hidden="1">"binary"</definedName>
    <definedName name="solver_rhs2" localSheetId="0" hidden="1">Sheet1!$AN$11:$AN$30</definedName>
    <definedName name="solver_rhs3" localSheetId="0" hidden="1">Sheet1!$AN$4</definedName>
    <definedName name="solver_rhs4" localSheetId="0" hidden="1">Sheet1!$AN$6:$AN$9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H151" i="1" l="1"/>
  <c r="AH82" i="1"/>
  <c r="AH77" i="1"/>
  <c r="AH191" i="1"/>
  <c r="AH190" i="1"/>
  <c r="AH189" i="1"/>
  <c r="AH188" i="1"/>
  <c r="AH187" i="1"/>
  <c r="AH186" i="1"/>
  <c r="AH185" i="1"/>
  <c r="AH184" i="1"/>
  <c r="AH183" i="1"/>
  <c r="AH182" i="1"/>
  <c r="AH181" i="1"/>
  <c r="AH180" i="1"/>
  <c r="AH179" i="1"/>
  <c r="AH178" i="1"/>
  <c r="AH177" i="1"/>
  <c r="AH176" i="1"/>
  <c r="AH175" i="1"/>
  <c r="AH174" i="1"/>
  <c r="AH173" i="1"/>
  <c r="AH172" i="1"/>
  <c r="AH171" i="1"/>
  <c r="AH170" i="1"/>
  <c r="AH169" i="1"/>
  <c r="AH168" i="1"/>
  <c r="AH167" i="1"/>
  <c r="AH166" i="1"/>
  <c r="AH165" i="1"/>
  <c r="AH164" i="1"/>
  <c r="AH192" i="1"/>
  <c r="AH133" i="1"/>
  <c r="AH161" i="1"/>
  <c r="AH160" i="1"/>
  <c r="AH159" i="1"/>
  <c r="AH158" i="1"/>
  <c r="AH157" i="1"/>
  <c r="AH156" i="1"/>
  <c r="AH155" i="1"/>
  <c r="AH154" i="1"/>
  <c r="AH153" i="1"/>
  <c r="AH152" i="1"/>
  <c r="AH150" i="1"/>
  <c r="AH149" i="1"/>
  <c r="AH148" i="1"/>
  <c r="AH147" i="1"/>
  <c r="AH146" i="1"/>
  <c r="AH145" i="1"/>
  <c r="AH144" i="1"/>
  <c r="AH143" i="1"/>
  <c r="AH142" i="1"/>
  <c r="AH141" i="1"/>
  <c r="AH140" i="1"/>
  <c r="AH139" i="1"/>
  <c r="AH138" i="1"/>
  <c r="AH137" i="1"/>
  <c r="AH136" i="1"/>
  <c r="AH135" i="1"/>
  <c r="AH134" i="1"/>
  <c r="AH7" i="1"/>
  <c r="AH3" i="1"/>
  <c r="AH131" i="1"/>
  <c r="AH130" i="1"/>
  <c r="AH129" i="1"/>
  <c r="AH33" i="1"/>
  <c r="AH127" i="1"/>
  <c r="AH126" i="1"/>
  <c r="AH125" i="1"/>
  <c r="AH124" i="1"/>
  <c r="AH123" i="1"/>
  <c r="AH122" i="1"/>
  <c r="AH121" i="1"/>
  <c r="AH120" i="1"/>
  <c r="AH119" i="1"/>
  <c r="AH118" i="1"/>
  <c r="AH117" i="1"/>
  <c r="AH116" i="1"/>
  <c r="AH115" i="1"/>
  <c r="AH114" i="1"/>
  <c r="AH113" i="1"/>
  <c r="AH112" i="1"/>
  <c r="AH111" i="1"/>
  <c r="AH110" i="1"/>
  <c r="AH109" i="1"/>
  <c r="AH108" i="1"/>
  <c r="AH107" i="1"/>
  <c r="AH106" i="1"/>
  <c r="AH105" i="1"/>
  <c r="AH162" i="1"/>
  <c r="AH103" i="1"/>
  <c r="AH102" i="1"/>
  <c r="AH101" i="1"/>
  <c r="AH100" i="1"/>
  <c r="AH99" i="1"/>
  <c r="AH98" i="1"/>
  <c r="AH97" i="1"/>
  <c r="AH96" i="1"/>
  <c r="AH95" i="1"/>
  <c r="AH94" i="1"/>
  <c r="AH93" i="1"/>
  <c r="AH92" i="1"/>
  <c r="AH91" i="1"/>
  <c r="AH90" i="1"/>
  <c r="AH89" i="1"/>
  <c r="AH88" i="1"/>
  <c r="AH87" i="1"/>
  <c r="AH86" i="1"/>
  <c r="AH85" i="1"/>
  <c r="AH84" i="1"/>
  <c r="AH83" i="1"/>
  <c r="AH81" i="1"/>
  <c r="AH80" i="1"/>
  <c r="AH79" i="1"/>
  <c r="AH78" i="1"/>
  <c r="AH2" i="1"/>
  <c r="AH76" i="1"/>
  <c r="AH75" i="1"/>
  <c r="AH74" i="1"/>
  <c r="AH73" i="1"/>
  <c r="AH72" i="1"/>
  <c r="AH71" i="1"/>
  <c r="AH70" i="1"/>
  <c r="AH69" i="1"/>
  <c r="AH68" i="1"/>
  <c r="AH67" i="1"/>
  <c r="AH66" i="1"/>
  <c r="AH65" i="1"/>
  <c r="AH64" i="1"/>
  <c r="AH63" i="1"/>
  <c r="AH62" i="1"/>
  <c r="AH61" i="1"/>
  <c r="AH60" i="1"/>
  <c r="AH59" i="1"/>
  <c r="AH58" i="1"/>
  <c r="AH57" i="1"/>
  <c r="AH56" i="1"/>
  <c r="AH55" i="1"/>
  <c r="AH54" i="1"/>
  <c r="AH53" i="1"/>
  <c r="AH52" i="1"/>
  <c r="AH51" i="1"/>
  <c r="AH50" i="1"/>
  <c r="AH49" i="1"/>
  <c r="AH48" i="1"/>
  <c r="AH47" i="1"/>
  <c r="AH46" i="1"/>
  <c r="AH45" i="1"/>
  <c r="AH44" i="1"/>
  <c r="AH43" i="1"/>
  <c r="AH42" i="1"/>
  <c r="AH41" i="1"/>
  <c r="AH40" i="1"/>
  <c r="AH39" i="1"/>
  <c r="AH38" i="1"/>
  <c r="AM30" i="1"/>
  <c r="AH37" i="1"/>
  <c r="AM29" i="1"/>
  <c r="AH36" i="1"/>
  <c r="AM28" i="1"/>
  <c r="AH35" i="1"/>
  <c r="AM27" i="1"/>
  <c r="AH34" i="1"/>
  <c r="AM26" i="1"/>
  <c r="AH132" i="1"/>
  <c r="AM25" i="1"/>
  <c r="AH32" i="1"/>
  <c r="AM24" i="1"/>
  <c r="AH31" i="1"/>
  <c r="AM23" i="1"/>
  <c r="AH30" i="1"/>
  <c r="AM22" i="1"/>
  <c r="AH29" i="1"/>
  <c r="AM21" i="1"/>
  <c r="AH28" i="1"/>
  <c r="AM20" i="1"/>
  <c r="AH27" i="1"/>
  <c r="AM19" i="1"/>
  <c r="AH26" i="1"/>
  <c r="AM18" i="1"/>
  <c r="AH25" i="1"/>
  <c r="AM17" i="1"/>
  <c r="AH163" i="1"/>
  <c r="AM16" i="1"/>
  <c r="AH23" i="1"/>
  <c r="AM15" i="1"/>
  <c r="AH22" i="1"/>
  <c r="AM14" i="1"/>
  <c r="AH21" i="1"/>
  <c r="AM13" i="1"/>
  <c r="AH20" i="1"/>
  <c r="AM12" i="1"/>
  <c r="AH19" i="1"/>
  <c r="AM11" i="1"/>
  <c r="AH18" i="1"/>
  <c r="AH17" i="1"/>
  <c r="AH16" i="1"/>
  <c r="AH15" i="1"/>
  <c r="AH14" i="1"/>
  <c r="AH13" i="1"/>
  <c r="AH12" i="1"/>
  <c r="AH11" i="1"/>
  <c r="AH10" i="1"/>
  <c r="AM9" i="1"/>
  <c r="AH104" i="1"/>
  <c r="AM8" i="1"/>
  <c r="AH8" i="1"/>
  <c r="AM7" i="1"/>
  <c r="AH24" i="1"/>
  <c r="AM6" i="1"/>
  <c r="AH6" i="1"/>
  <c r="AH5" i="1"/>
  <c r="AM4" i="1"/>
  <c r="AH4" i="1"/>
  <c r="AH9" i="1"/>
  <c r="AH128" i="1"/>
  <c r="AM2" i="1" l="1"/>
</calcChain>
</file>

<file path=xl/sharedStrings.xml><?xml version="1.0" encoding="utf-8"?>
<sst xmlns="http://schemas.openxmlformats.org/spreadsheetml/2006/main" count="1018" uniqueCount="445">
  <si>
    <t>Total Points</t>
  </si>
  <si>
    <t>MAX</t>
  </si>
  <si>
    <t>Total Cost</t>
  </si>
  <si>
    <t>GKP</t>
  </si>
  <si>
    <t>DEF</t>
  </si>
  <si>
    <t>MID</t>
  </si>
  <si>
    <t>FWD</t>
  </si>
  <si>
    <t>Cost</t>
  </si>
  <si>
    <t>ARS</t>
  </si>
  <si>
    <t>AVL</t>
  </si>
  <si>
    <t>BOU</t>
  </si>
  <si>
    <t>BRE</t>
  </si>
  <si>
    <t>BHA</t>
  </si>
  <si>
    <t>BUR</t>
  </si>
  <si>
    <t>CHE</t>
  </si>
  <si>
    <t>CRY</t>
  </si>
  <si>
    <t>EVE</t>
  </si>
  <si>
    <t>FUL</t>
  </si>
  <si>
    <t>LIV</t>
  </si>
  <si>
    <t>LUT</t>
  </si>
  <si>
    <t>MCI</t>
  </si>
  <si>
    <t>MUN</t>
  </si>
  <si>
    <t>NEW</t>
  </si>
  <si>
    <t>NFO</t>
  </si>
  <si>
    <t>SHU</t>
  </si>
  <si>
    <t>TOT</t>
  </si>
  <si>
    <t>WHU</t>
  </si>
  <si>
    <t>WOL</t>
  </si>
  <si>
    <t>First Name</t>
  </si>
  <si>
    <t>Surname</t>
  </si>
  <si>
    <t>Web Name</t>
  </si>
  <si>
    <t>Position</t>
  </si>
  <si>
    <t>Team</t>
  </si>
  <si>
    <t>ID</t>
  </si>
  <si>
    <t>ARIMA</t>
  </si>
  <si>
    <t>LSTM</t>
  </si>
  <si>
    <t>NEXT</t>
  </si>
  <si>
    <t>Health</t>
  </si>
  <si>
    <t>Selected</t>
  </si>
  <si>
    <t>Gabriel</t>
  </si>
  <si>
    <t>dos Santos Magalhães</t>
  </si>
  <si>
    <t>Kai</t>
  </si>
  <si>
    <t>Havertz</t>
  </si>
  <si>
    <t>Fernando de Jesus</t>
  </si>
  <si>
    <t>G.Jesus</t>
  </si>
  <si>
    <t>Jorge Luiz</t>
  </si>
  <si>
    <t>Frello Filho</t>
  </si>
  <si>
    <t>Jorginho</t>
  </si>
  <si>
    <t>Eddie</t>
  </si>
  <si>
    <t>Nketiah</t>
  </si>
  <si>
    <t>Martin</t>
  </si>
  <si>
    <t>Ødegaard</t>
  </si>
  <si>
    <t>Bukayo</t>
  </si>
  <si>
    <t>Saka</t>
  </si>
  <si>
    <t>William</t>
  </si>
  <si>
    <t>Saliba</t>
  </si>
  <si>
    <t>Leandro</t>
  </si>
  <si>
    <t>Trossard</t>
  </si>
  <si>
    <t>Benjamin</t>
  </si>
  <si>
    <t>White</t>
  </si>
  <si>
    <t>Oleksandr</t>
  </si>
  <si>
    <t>Zinchenko</t>
  </si>
  <si>
    <t>David</t>
  </si>
  <si>
    <t>Raya Martin</t>
  </si>
  <si>
    <t>Raya</t>
  </si>
  <si>
    <t>Declan</t>
  </si>
  <si>
    <t>Rice</t>
  </si>
  <si>
    <t>Leon</t>
  </si>
  <si>
    <t>Bailey</t>
  </si>
  <si>
    <t>Matty</t>
  </si>
  <si>
    <t>Cash</t>
  </si>
  <si>
    <t>Lucas</t>
  </si>
  <si>
    <t>Digne</t>
  </si>
  <si>
    <t>Douglas Luiz</t>
  </si>
  <si>
    <t>Soares de Paulo</t>
  </si>
  <si>
    <t>Ezri</t>
  </si>
  <si>
    <t>Konsa Ngoyo</t>
  </si>
  <si>
    <t>Konsa</t>
  </si>
  <si>
    <t>Emiliano</t>
  </si>
  <si>
    <t>Martínez Romero</t>
  </si>
  <si>
    <t>Martinez</t>
  </si>
  <si>
    <t>John</t>
  </si>
  <si>
    <t>McGinn</t>
  </si>
  <si>
    <t>Youri</t>
  </si>
  <si>
    <t>Tielemans</t>
  </si>
  <si>
    <t>Ollie</t>
  </si>
  <si>
    <t>Watkins</t>
  </si>
  <si>
    <t>Pau</t>
  </si>
  <si>
    <t>Torres</t>
  </si>
  <si>
    <t>Moussa</t>
  </si>
  <si>
    <t>Diaby</t>
  </si>
  <si>
    <t>Philip</t>
  </si>
  <si>
    <t>Billing</t>
  </si>
  <si>
    <t>Ryan</t>
  </si>
  <si>
    <t>Christie</t>
  </si>
  <si>
    <t>Lewis</t>
  </si>
  <si>
    <t>Cook</t>
  </si>
  <si>
    <t>L.Cook</t>
  </si>
  <si>
    <t>Justin</t>
  </si>
  <si>
    <t>Kluivert</t>
  </si>
  <si>
    <t>Norberto</t>
  </si>
  <si>
    <t>Murara Neto</t>
  </si>
  <si>
    <t>Neto</t>
  </si>
  <si>
    <t>Dango</t>
  </si>
  <si>
    <t>Ouattara</t>
  </si>
  <si>
    <t>O.Dango</t>
  </si>
  <si>
    <t>Antoine</t>
  </si>
  <si>
    <t>Semenyo</t>
  </si>
  <si>
    <t>Marcos</t>
  </si>
  <si>
    <t>Senesi</t>
  </si>
  <si>
    <t>Adam</t>
  </si>
  <si>
    <t>Smith</t>
  </si>
  <si>
    <t>Dominic</t>
  </si>
  <si>
    <t>Solanke</t>
  </si>
  <si>
    <t>Marcus</t>
  </si>
  <si>
    <t>Tavernier</t>
  </si>
  <si>
    <t>Illia</t>
  </si>
  <si>
    <t>Zabarnyi</t>
  </si>
  <si>
    <t>Milos</t>
  </si>
  <si>
    <t>Kerkez</t>
  </si>
  <si>
    <t>Kristoffer</t>
  </si>
  <si>
    <t>Ajer</t>
  </si>
  <si>
    <t>Nathan</t>
  </si>
  <si>
    <t>Collins</t>
  </si>
  <si>
    <t>Mark</t>
  </si>
  <si>
    <t>Flekken</t>
  </si>
  <si>
    <t>Vitaly</t>
  </si>
  <si>
    <t>Janelt</t>
  </si>
  <si>
    <t>Mathias</t>
  </si>
  <si>
    <t>Jensen</t>
  </si>
  <si>
    <t>Keane</t>
  </si>
  <si>
    <t>Lewis-Potter</t>
  </si>
  <si>
    <t>Bryan</t>
  </si>
  <si>
    <t>Mbeumo</t>
  </si>
  <si>
    <t>Christian</t>
  </si>
  <si>
    <t>Nørgaard</t>
  </si>
  <si>
    <t>Frank</t>
  </si>
  <si>
    <t>Onyeka</t>
  </si>
  <si>
    <t>Ethan</t>
  </si>
  <si>
    <t>Pinnock</t>
  </si>
  <si>
    <t>Mads</t>
  </si>
  <si>
    <t>Roerslev Rasmussen</t>
  </si>
  <si>
    <t>Roerslev</t>
  </si>
  <si>
    <t>Yoane</t>
  </si>
  <si>
    <t>Wissa</t>
  </si>
  <si>
    <t>Neal</t>
  </si>
  <si>
    <t>Maupay</t>
  </si>
  <si>
    <t>Simon</t>
  </si>
  <si>
    <t>Adingra</t>
  </si>
  <si>
    <t>Facundo</t>
  </si>
  <si>
    <t>Buonanotte</t>
  </si>
  <si>
    <t>Dunk</t>
  </si>
  <si>
    <t>Evan</t>
  </si>
  <si>
    <t>Ferguson</t>
  </si>
  <si>
    <t>Billy</t>
  </si>
  <si>
    <t>Gilmour</t>
  </si>
  <si>
    <t>Pascal</t>
  </si>
  <si>
    <t>Groß</t>
  </si>
  <si>
    <t>Gross</t>
  </si>
  <si>
    <t>João Pedro</t>
  </si>
  <si>
    <t>Junqueira de Jesus</t>
  </si>
  <si>
    <t>Jan Paul</t>
  </si>
  <si>
    <t>van Hecke</t>
  </si>
  <si>
    <t>Van Hecke</t>
  </si>
  <si>
    <t>Danny</t>
  </si>
  <si>
    <t>Welbeck</t>
  </si>
  <si>
    <t>Josh</t>
  </si>
  <si>
    <t>Brownhill</t>
  </si>
  <si>
    <t>Dara</t>
  </si>
  <si>
    <t>O'Shea</t>
  </si>
  <si>
    <t>Charlie</t>
  </si>
  <si>
    <t>Taylor</t>
  </si>
  <si>
    <t>Victor</t>
  </si>
  <si>
    <t>da Silva</t>
  </si>
  <si>
    <t>Vitinho</t>
  </si>
  <si>
    <t>Sander</t>
  </si>
  <si>
    <t>Berge</t>
  </si>
  <si>
    <t>Zeki</t>
  </si>
  <si>
    <t>Amdouni</t>
  </si>
  <si>
    <t>Jacob</t>
  </si>
  <si>
    <t>Bruun Larsen</t>
  </si>
  <si>
    <t>Wilson</t>
  </si>
  <si>
    <t>Odobert</t>
  </si>
  <si>
    <t>Moisés</t>
  </si>
  <si>
    <t>Caicedo Corozo</t>
  </si>
  <si>
    <t>Caicedo</t>
  </si>
  <si>
    <t>Levi</t>
  </si>
  <si>
    <t>Colwill</t>
  </si>
  <si>
    <t>Enzo</t>
  </si>
  <si>
    <t>Fernández</t>
  </si>
  <si>
    <t>Conor</t>
  </si>
  <si>
    <t>Gallagher</t>
  </si>
  <si>
    <t>Mykhailo</t>
  </si>
  <si>
    <t>Mudryk</t>
  </si>
  <si>
    <t>Nicolas</t>
  </si>
  <si>
    <t>Jackson</t>
  </si>
  <si>
    <t>N.Jackson</t>
  </si>
  <si>
    <t>Raheem</t>
  </si>
  <si>
    <t>Sterling</t>
  </si>
  <si>
    <t>Thiago</t>
  </si>
  <si>
    <t>Emiliano da Silva</t>
  </si>
  <si>
    <t>T.Silva</t>
  </si>
  <si>
    <t>Cole</t>
  </si>
  <si>
    <t>Palmer</t>
  </si>
  <si>
    <t>Axel</t>
  </si>
  <si>
    <t>Disasi</t>
  </si>
  <si>
    <t>Joachim</t>
  </si>
  <si>
    <t>Andersen</t>
  </si>
  <si>
    <t>Jordan</t>
  </si>
  <si>
    <t>Ayew</t>
  </si>
  <si>
    <t>J.Ayew</t>
  </si>
  <si>
    <t>Odsonne</t>
  </si>
  <si>
    <t>Edouard</t>
  </si>
  <si>
    <t>Eberechi</t>
  </si>
  <si>
    <t>Eze</t>
  </si>
  <si>
    <t>Will</t>
  </si>
  <si>
    <t>Hughes</t>
  </si>
  <si>
    <t>Jefferson</t>
  </si>
  <si>
    <t>Lerma Solís</t>
  </si>
  <si>
    <t>Lerma</t>
  </si>
  <si>
    <t>Jean-Philippe</t>
  </si>
  <si>
    <t>Mateta</t>
  </si>
  <si>
    <t>Tyrick</t>
  </si>
  <si>
    <t>Mitchell</t>
  </si>
  <si>
    <t>Jeffrey</t>
  </si>
  <si>
    <t>Schlupp</t>
  </si>
  <si>
    <t>Jarrad</t>
  </si>
  <si>
    <t>Branthwaite</t>
  </si>
  <si>
    <t>Calvert-Lewin</t>
  </si>
  <si>
    <t>Abdoulaye</t>
  </si>
  <si>
    <t>Doucouré</t>
  </si>
  <si>
    <t>A.Doucoure</t>
  </si>
  <si>
    <t>James</t>
  </si>
  <si>
    <t>Garner</t>
  </si>
  <si>
    <t>Dwight</t>
  </si>
  <si>
    <t>McNeil</t>
  </si>
  <si>
    <t>Vitalii</t>
  </si>
  <si>
    <t>Mykolenko</t>
  </si>
  <si>
    <t>Amadou</t>
  </si>
  <si>
    <t>Onana</t>
  </si>
  <si>
    <t>Pickford</t>
  </si>
  <si>
    <t>Tarkowski</t>
  </si>
  <si>
    <t>Ashley</t>
  </si>
  <si>
    <t>Young</t>
  </si>
  <si>
    <t>Jack</t>
  </si>
  <si>
    <t>Harrison</t>
  </si>
  <si>
    <t>Norberto Bercique</t>
  </si>
  <si>
    <t>Gomes Betuncal</t>
  </si>
  <si>
    <t>Beto</t>
  </si>
  <si>
    <t>Alex</t>
  </si>
  <si>
    <t>Iwobi</t>
  </si>
  <si>
    <t>Andreas</t>
  </si>
  <si>
    <t>Hoelgebaum Pereira</t>
  </si>
  <si>
    <t>Tom</t>
  </si>
  <si>
    <t>Cairney</t>
  </si>
  <si>
    <t>Bobby</t>
  </si>
  <si>
    <t>De Cordova-Reid</t>
  </si>
  <si>
    <t>Bernd</t>
  </si>
  <si>
    <t>Leno</t>
  </si>
  <si>
    <t>João</t>
  </si>
  <si>
    <t>Palhinha Gonçalves</t>
  </si>
  <si>
    <t>J.Palhinha</t>
  </si>
  <si>
    <t>Antonee</t>
  </si>
  <si>
    <t>Robinson</t>
  </si>
  <si>
    <t>Willian</t>
  </si>
  <si>
    <t>Borges da Silva</t>
  </si>
  <si>
    <t>Calvin</t>
  </si>
  <si>
    <t>Bassey</t>
  </si>
  <si>
    <t>Timothy</t>
  </si>
  <si>
    <t>Castagne</t>
  </si>
  <si>
    <t>Trent</t>
  </si>
  <si>
    <t>Alexander-Arnold</t>
  </si>
  <si>
    <t>Alisson</t>
  </si>
  <si>
    <t>Ramses Becker</t>
  </si>
  <si>
    <t>A.Becker</t>
  </si>
  <si>
    <t>Darwin</t>
  </si>
  <si>
    <t>Núñez Ribeiro</t>
  </si>
  <si>
    <t>Harvey</t>
  </si>
  <si>
    <t>Elliott</t>
  </si>
  <si>
    <t>Cody</t>
  </si>
  <si>
    <t>Gakpo</t>
  </si>
  <si>
    <t>Joe</t>
  </si>
  <si>
    <t>Gomez</t>
  </si>
  <si>
    <t>Luis</t>
  </si>
  <si>
    <t>Díaz</t>
  </si>
  <si>
    <t>Luis Díaz</t>
  </si>
  <si>
    <t>Alexis</t>
  </si>
  <si>
    <t>Mac Allister</t>
  </si>
  <si>
    <t>Mohamed</t>
  </si>
  <si>
    <t>Salah</t>
  </si>
  <si>
    <t>Dominik</t>
  </si>
  <si>
    <t>Szoboszlai</t>
  </si>
  <si>
    <t>Virgil</t>
  </si>
  <si>
    <t>van Dijk</t>
  </si>
  <si>
    <t>Carlton</t>
  </si>
  <si>
    <t>Morris</t>
  </si>
  <si>
    <t>Chiedozie</t>
  </si>
  <si>
    <t>Ogbene</t>
  </si>
  <si>
    <t>Tahith</t>
  </si>
  <si>
    <t>Chong</t>
  </si>
  <si>
    <t>Thomas</t>
  </si>
  <si>
    <t>Kaminski</t>
  </si>
  <si>
    <t>Ross</t>
  </si>
  <si>
    <t>Barkley</t>
  </si>
  <si>
    <t>Manuel</t>
  </si>
  <si>
    <t>Akanji</t>
  </si>
  <si>
    <t>Aké</t>
  </si>
  <si>
    <t>Julián</t>
  </si>
  <si>
    <t>Álvarez</t>
  </si>
  <si>
    <t>J.Alvarez</t>
  </si>
  <si>
    <t>Bernardo</t>
  </si>
  <si>
    <t>Veiga de Carvalho e Silva</t>
  </si>
  <si>
    <t>Rúben</t>
  </si>
  <si>
    <t>Gato Alves Dias</t>
  </si>
  <si>
    <t>Ederson</t>
  </si>
  <si>
    <t>Santana de Moraes</t>
  </si>
  <si>
    <t>Ederson M.</t>
  </si>
  <si>
    <t>Phil</t>
  </si>
  <si>
    <t>Foden</t>
  </si>
  <si>
    <t>Erling</t>
  </si>
  <si>
    <t>Haaland</t>
  </si>
  <si>
    <t>Mateo</t>
  </si>
  <si>
    <t>Kovačić</t>
  </si>
  <si>
    <t>Rodrigo</t>
  </si>
  <si>
    <t>Hernandez</t>
  </si>
  <si>
    <t>Kyle</t>
  </si>
  <si>
    <t>Walker</t>
  </si>
  <si>
    <t>Antony Matheus</t>
  </si>
  <si>
    <t>dos Santos</t>
  </si>
  <si>
    <t>Antony</t>
  </si>
  <si>
    <t>Bruno</t>
  </si>
  <si>
    <t>Borges Fernandes</t>
  </si>
  <si>
    <t>B.Fernandes</t>
  </si>
  <si>
    <t>Diogo</t>
  </si>
  <si>
    <t>Dalot Teixeira</t>
  </si>
  <si>
    <t>Dalot</t>
  </si>
  <si>
    <t>Alejandro</t>
  </si>
  <si>
    <t>Garnacho</t>
  </si>
  <si>
    <t>Scott</t>
  </si>
  <si>
    <t>McTominay</t>
  </si>
  <si>
    <t>Rashford</t>
  </si>
  <si>
    <t>André</t>
  </si>
  <si>
    <t>Rasmus</t>
  </si>
  <si>
    <t>Højlund</t>
  </si>
  <si>
    <t>Miguel</t>
  </si>
  <si>
    <t>Almirón Rejala</t>
  </si>
  <si>
    <t>Almirón</t>
  </si>
  <si>
    <t>Guimarães Rodriguez Moura</t>
  </si>
  <si>
    <t>Bruno G.</t>
  </si>
  <si>
    <t>Dan</t>
  </si>
  <si>
    <t>Burn</t>
  </si>
  <si>
    <t>Anthony</t>
  </si>
  <si>
    <t>Gordon</t>
  </si>
  <si>
    <t>Alexander</t>
  </si>
  <si>
    <t>Isak</t>
  </si>
  <si>
    <t>Sean</t>
  </si>
  <si>
    <t>Longstaff</t>
  </si>
  <si>
    <t>Fabian</t>
  </si>
  <si>
    <t>Schär</t>
  </si>
  <si>
    <t>Kieran</t>
  </si>
  <si>
    <t>Trippier</t>
  </si>
  <si>
    <t>Callum</t>
  </si>
  <si>
    <t>Hudson-Odoi</t>
  </si>
  <si>
    <t>Elanga</t>
  </si>
  <si>
    <t>Danilo</t>
  </si>
  <si>
    <t>dos Santos de Oliveira</t>
  </si>
  <si>
    <t>Morgan</t>
  </si>
  <si>
    <t>Gibbs-White</t>
  </si>
  <si>
    <t>Neco</t>
  </si>
  <si>
    <t>Williams</t>
  </si>
  <si>
    <t>Chris</t>
  </si>
  <si>
    <t>Wood</t>
  </si>
  <si>
    <t>Yates</t>
  </si>
  <si>
    <t>Cameron</t>
  </si>
  <si>
    <t>Archer</t>
  </si>
  <si>
    <t>Anel</t>
  </si>
  <si>
    <t>Ahmedhodžić</t>
  </si>
  <si>
    <t>Jayden</t>
  </si>
  <si>
    <t>Bogle</t>
  </si>
  <si>
    <t>Wes</t>
  </si>
  <si>
    <t>Foderingham</t>
  </si>
  <si>
    <t>Gustavo</t>
  </si>
  <si>
    <t>Hamer</t>
  </si>
  <si>
    <t>Brennan</t>
  </si>
  <si>
    <t>Johnson</t>
  </si>
  <si>
    <t>Yves</t>
  </si>
  <si>
    <t>Bissouma</t>
  </si>
  <si>
    <t>Pierre-Emile</t>
  </si>
  <si>
    <t>Højbjerg</t>
  </si>
  <si>
    <t>Dejan</t>
  </si>
  <si>
    <t>Kulusevski</t>
  </si>
  <si>
    <t>Maddison</t>
  </si>
  <si>
    <t>Pedro</t>
  </si>
  <si>
    <t>Porro</t>
  </si>
  <si>
    <t>Pedro Porro</t>
  </si>
  <si>
    <t>Richarlison</t>
  </si>
  <si>
    <t>de Andrade</t>
  </si>
  <si>
    <t>Pape Matar</t>
  </si>
  <si>
    <t>Sarr</t>
  </si>
  <si>
    <t>Son</t>
  </si>
  <si>
    <t>Heung-min</t>
  </si>
  <si>
    <t>Guglielmo</t>
  </si>
  <si>
    <t>Vicario</t>
  </si>
  <si>
    <t>Alphonse</t>
  </si>
  <si>
    <t>Areola</t>
  </si>
  <si>
    <t>Jarrod</t>
  </si>
  <si>
    <t>Bowen</t>
  </si>
  <si>
    <t>Tolentino Coelho de Lima</t>
  </si>
  <si>
    <t>L.Paquetá</t>
  </si>
  <si>
    <t>Tomáš</t>
  </si>
  <si>
    <t>Souček</t>
  </si>
  <si>
    <t>Kurt</t>
  </si>
  <si>
    <t>Zouma</t>
  </si>
  <si>
    <t>Ward-Prowse</t>
  </si>
  <si>
    <t>Mohammed</t>
  </si>
  <si>
    <t>Kudus</t>
  </si>
  <si>
    <t>Rayan</t>
  </si>
  <si>
    <t>Aït-Nouri</t>
  </si>
  <si>
    <t>Craig</t>
  </si>
  <si>
    <t>Dawson</t>
  </si>
  <si>
    <t>Hwang</t>
  </si>
  <si>
    <t>Hee-chan</t>
  </si>
  <si>
    <t>Hee Chan</t>
  </si>
  <si>
    <t>João Victor</t>
  </si>
  <si>
    <t>Gomes da Silva</t>
  </si>
  <si>
    <t>João Gomes</t>
  </si>
  <si>
    <t>Max</t>
  </si>
  <si>
    <t>Kilman</t>
  </si>
  <si>
    <t>Mario</t>
  </si>
  <si>
    <t>Lemina</t>
  </si>
  <si>
    <t>Mario Jr.</t>
  </si>
  <si>
    <t>José</t>
  </si>
  <si>
    <t>Malheiro de Sá</t>
  </si>
  <si>
    <t>José Sá</t>
  </si>
  <si>
    <t>Pablo</t>
  </si>
  <si>
    <t>Sarabia</t>
  </si>
  <si>
    <t>Nélson</t>
  </si>
  <si>
    <t>Cabral Semedo</t>
  </si>
  <si>
    <t>N.Semedo</t>
  </si>
  <si>
    <t>Toti António</t>
  </si>
  <si>
    <t>Gomes</t>
  </si>
  <si>
    <t>Toti</t>
  </si>
  <si>
    <t>Matheus</t>
  </si>
  <si>
    <t>Santos Carneiro Da Cunha</t>
  </si>
  <si>
    <t>Cunha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</si>
</sst>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J192" totalsRowShown="0">
  <autoFilter ref="A1:AJ192" xr:uid="{00000000-0009-0000-0100-000001000000}">
    <filterColumn colId="35">
      <filters>
        <filter val="1"/>
      </filters>
    </filterColumn>
  </autoFilter>
  <sortState xmlns:xlrd2="http://schemas.microsoft.com/office/spreadsheetml/2017/richdata2" ref="A2:AJ192">
    <sortCondition descending="1" ref="AH1:AH192"/>
  </sortState>
  <tableColumns count="36">
    <tableColumn id="1" xr3:uid="{00000000-0010-0000-0000-000001000000}" name="First Name"/>
    <tableColumn id="2" xr3:uid="{00000000-0010-0000-0000-000002000000}" name="Surname"/>
    <tableColumn id="3" xr3:uid="{00000000-0010-0000-0000-000003000000}" name="Web Name"/>
    <tableColumn id="4" xr3:uid="{00000000-0010-0000-0000-000004000000}" name="Position"/>
    <tableColumn id="5" xr3:uid="{00000000-0010-0000-0000-000005000000}" name="GKP"/>
    <tableColumn id="6" xr3:uid="{00000000-0010-0000-0000-000006000000}" name="DEF"/>
    <tableColumn id="7" xr3:uid="{00000000-0010-0000-0000-000007000000}" name="MID"/>
    <tableColumn id="8" xr3:uid="{00000000-0010-0000-0000-000008000000}" name="FWD"/>
    <tableColumn id="9" xr3:uid="{00000000-0010-0000-0000-000009000000}" name="Team"/>
    <tableColumn id="10" xr3:uid="{00000000-0010-0000-0000-00000A000000}" name="ARS"/>
    <tableColumn id="11" xr3:uid="{00000000-0010-0000-0000-00000B000000}" name="AVL"/>
    <tableColumn id="12" xr3:uid="{00000000-0010-0000-0000-00000C000000}" name="BOU"/>
    <tableColumn id="13" xr3:uid="{00000000-0010-0000-0000-00000D000000}" name="BRE"/>
    <tableColumn id="14" xr3:uid="{00000000-0010-0000-0000-00000E000000}" name="BHA"/>
    <tableColumn id="15" xr3:uid="{00000000-0010-0000-0000-00000F000000}" name="BUR"/>
    <tableColumn id="16" xr3:uid="{00000000-0010-0000-0000-000010000000}" name="CHE"/>
    <tableColumn id="17" xr3:uid="{00000000-0010-0000-0000-000011000000}" name="CRY"/>
    <tableColumn id="18" xr3:uid="{00000000-0010-0000-0000-000012000000}" name="EVE"/>
    <tableColumn id="19" xr3:uid="{00000000-0010-0000-0000-000013000000}" name="FUL"/>
    <tableColumn id="20" xr3:uid="{00000000-0010-0000-0000-000014000000}" name="LIV"/>
    <tableColumn id="21" xr3:uid="{00000000-0010-0000-0000-000015000000}" name="LUT"/>
    <tableColumn id="22" xr3:uid="{00000000-0010-0000-0000-000016000000}" name="MCI"/>
    <tableColumn id="23" xr3:uid="{00000000-0010-0000-0000-000017000000}" name="MUN"/>
    <tableColumn id="24" xr3:uid="{00000000-0010-0000-0000-000018000000}" name="NEW"/>
    <tableColumn id="25" xr3:uid="{00000000-0010-0000-0000-000019000000}" name="NFO"/>
    <tableColumn id="26" xr3:uid="{00000000-0010-0000-0000-00001A000000}" name="SHU"/>
    <tableColumn id="27" xr3:uid="{00000000-0010-0000-0000-00001B000000}" name="TOT"/>
    <tableColumn id="28" xr3:uid="{00000000-0010-0000-0000-00001C000000}" name="WHU"/>
    <tableColumn id="29" xr3:uid="{00000000-0010-0000-0000-00001D000000}" name="WOL"/>
    <tableColumn id="30" xr3:uid="{00000000-0010-0000-0000-00001E000000}" name="Cost"/>
    <tableColumn id="31" xr3:uid="{00000000-0010-0000-0000-00001F000000}" name="ID"/>
    <tableColumn id="32" xr3:uid="{00000000-0010-0000-0000-000020000000}" name="ARIMA"/>
    <tableColumn id="33" xr3:uid="{00000000-0010-0000-0000-000021000000}" name="LSTM"/>
    <tableColumn id="35" xr3:uid="{00000000-0010-0000-0000-000023000000}" name="NEXT"/>
    <tableColumn id="36" xr3:uid="{00000000-0010-0000-0000-000024000000}" name="Health"/>
    <tableColumn id="38" xr3:uid="{00000000-0010-0000-0000-000026000000}" name="Selecte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192"/>
  <sheetViews>
    <sheetView tabSelected="1" zoomScale="170" zoomScaleNormal="170" workbookViewId="0">
      <selection activeCell="C192" sqref="C192"/>
    </sheetView>
  </sheetViews>
  <sheetFormatPr baseColWidth="10" defaultColWidth="8.83203125" defaultRowHeight="15" x14ac:dyDescent="0.2"/>
  <cols>
    <col min="5" max="8" width="0" hidden="1" customWidth="1"/>
    <col min="10" max="29" width="0" hidden="1" customWidth="1"/>
    <col min="31" max="33" width="0" hidden="1" customWidth="1"/>
  </cols>
  <sheetData>
    <row r="1" spans="1:40" x14ac:dyDescent="0.2">
      <c r="A1" t="s">
        <v>28</v>
      </c>
      <c r="B1" t="s">
        <v>29</v>
      </c>
      <c r="C1" t="s">
        <v>30</v>
      </c>
      <c r="D1" t="s">
        <v>31</v>
      </c>
      <c r="E1" t="s">
        <v>3</v>
      </c>
      <c r="F1" t="s">
        <v>4</v>
      </c>
      <c r="G1" t="s">
        <v>5</v>
      </c>
      <c r="H1" t="s">
        <v>6</v>
      </c>
      <c r="I1" t="s">
        <v>32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7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</row>
    <row r="2" spans="1:40" x14ac:dyDescent="0.2">
      <c r="A2" t="s">
        <v>202</v>
      </c>
      <c r="B2" t="s">
        <v>203</v>
      </c>
      <c r="C2" s="1" t="s">
        <v>203</v>
      </c>
      <c r="D2" t="s">
        <v>5</v>
      </c>
      <c r="E2">
        <v>0</v>
      </c>
      <c r="F2">
        <v>0</v>
      </c>
      <c r="G2">
        <v>1</v>
      </c>
      <c r="H2">
        <v>0</v>
      </c>
      <c r="I2" t="s">
        <v>14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6.2</v>
      </c>
      <c r="AE2">
        <v>285</v>
      </c>
      <c r="AF2">
        <v>76.888983438251884</v>
      </c>
      <c r="AG2">
        <v>0</v>
      </c>
      <c r="AH2">
        <f>24.4457307142018*1</f>
        <v>24.445730714201801</v>
      </c>
      <c r="AI2">
        <v>1</v>
      </c>
      <c r="AJ2">
        <v>1</v>
      </c>
      <c r="AL2" t="s">
        <v>0</v>
      </c>
      <c r="AM2">
        <f>SUMPRODUCT(Table1[Selected], Table1[NEXT])</f>
        <v>162.29591409916642</v>
      </c>
      <c r="AN2" t="s">
        <v>1</v>
      </c>
    </row>
    <row r="3" spans="1:40" x14ac:dyDescent="0.2">
      <c r="A3" t="s">
        <v>317</v>
      </c>
      <c r="B3" t="s">
        <v>318</v>
      </c>
      <c r="C3" s="1" t="s">
        <v>318</v>
      </c>
      <c r="D3" t="s">
        <v>5</v>
      </c>
      <c r="E3">
        <v>0</v>
      </c>
      <c r="F3">
        <v>0</v>
      </c>
      <c r="G3">
        <v>1</v>
      </c>
      <c r="H3">
        <v>0</v>
      </c>
      <c r="I3" t="s">
        <v>20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8.4</v>
      </c>
      <c r="AE3">
        <v>525</v>
      </c>
      <c r="AF3">
        <v>64.140912500556567</v>
      </c>
      <c r="AG3">
        <v>0</v>
      </c>
      <c r="AH3">
        <f>17.8282405155949*1</f>
        <v>17.828240515594899</v>
      </c>
      <c r="AI3">
        <v>1</v>
      </c>
      <c r="AJ3">
        <v>1</v>
      </c>
    </row>
    <row r="4" spans="1:40" hidden="1" x14ac:dyDescent="0.2">
      <c r="A4" t="s">
        <v>39</v>
      </c>
      <c r="B4" t="s">
        <v>43</v>
      </c>
      <c r="C4" s="1" t="s">
        <v>44</v>
      </c>
      <c r="D4" t="s">
        <v>6</v>
      </c>
      <c r="E4">
        <v>0</v>
      </c>
      <c r="F4">
        <v>0</v>
      </c>
      <c r="G4">
        <v>0</v>
      </c>
      <c r="H4">
        <v>1</v>
      </c>
      <c r="I4" t="s">
        <v>8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7.7</v>
      </c>
      <c r="AE4">
        <v>6</v>
      </c>
      <c r="AF4">
        <v>27.772058823529409</v>
      </c>
      <c r="AG4">
        <v>0</v>
      </c>
      <c r="AH4">
        <f>11.6251177079588*1</f>
        <v>11.6251177079588</v>
      </c>
      <c r="AI4">
        <v>1</v>
      </c>
      <c r="AJ4">
        <v>0</v>
      </c>
      <c r="AL4" t="s">
        <v>2</v>
      </c>
      <c r="AM4">
        <f>SUMPRODUCT(Table1[Selected],Table1[Cost])</f>
        <v>99.800000000000011</v>
      </c>
      <c r="AN4">
        <v>100</v>
      </c>
    </row>
    <row r="5" spans="1:40" hidden="1" x14ac:dyDescent="0.2">
      <c r="A5" t="s">
        <v>45</v>
      </c>
      <c r="B5" t="s">
        <v>46</v>
      </c>
      <c r="C5" t="s">
        <v>47</v>
      </c>
      <c r="D5" t="s">
        <v>5</v>
      </c>
      <c r="E5">
        <v>0</v>
      </c>
      <c r="F5">
        <v>0</v>
      </c>
      <c r="G5">
        <v>1</v>
      </c>
      <c r="H5">
        <v>0</v>
      </c>
      <c r="I5" t="s">
        <v>8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5.3</v>
      </c>
      <c r="AE5">
        <v>7</v>
      </c>
      <c r="AF5">
        <v>11.568345323740999</v>
      </c>
      <c r="AG5">
        <v>0</v>
      </c>
      <c r="AH5">
        <f>4.84239850309064*1</f>
        <v>4.8423985030906396</v>
      </c>
      <c r="AI5">
        <v>1</v>
      </c>
      <c r="AJ5">
        <v>0</v>
      </c>
    </row>
    <row r="6" spans="1:40" hidden="1" x14ac:dyDescent="0.2">
      <c r="A6" t="s">
        <v>48</v>
      </c>
      <c r="B6" t="s">
        <v>49</v>
      </c>
      <c r="C6" t="s">
        <v>49</v>
      </c>
      <c r="D6" t="s">
        <v>6</v>
      </c>
      <c r="E6">
        <v>0</v>
      </c>
      <c r="F6">
        <v>0</v>
      </c>
      <c r="G6">
        <v>0</v>
      </c>
      <c r="H6">
        <v>1</v>
      </c>
      <c r="I6" t="s">
        <v>8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5</v>
      </c>
      <c r="AE6">
        <v>11</v>
      </c>
      <c r="AF6">
        <v>13.59509936354408</v>
      </c>
      <c r="AG6">
        <v>0</v>
      </c>
      <c r="AH6">
        <f>4.82265041609637*1</f>
        <v>4.8226504160963701</v>
      </c>
      <c r="AI6">
        <v>1</v>
      </c>
      <c r="AJ6">
        <v>0</v>
      </c>
      <c r="AL6" t="s">
        <v>3</v>
      </c>
      <c r="AM6">
        <f>SUMPRODUCT(Table1[Selected],Table1[GKP])</f>
        <v>2</v>
      </c>
      <c r="AN6">
        <v>2</v>
      </c>
    </row>
    <row r="7" spans="1:40" x14ac:dyDescent="0.2">
      <c r="A7" t="s">
        <v>319</v>
      </c>
      <c r="B7" t="s">
        <v>320</v>
      </c>
      <c r="C7" s="1" t="s">
        <v>320</v>
      </c>
      <c r="D7" t="s">
        <v>6</v>
      </c>
      <c r="E7">
        <v>0</v>
      </c>
      <c r="F7">
        <v>0</v>
      </c>
      <c r="G7">
        <v>0</v>
      </c>
      <c r="H7">
        <v>1</v>
      </c>
      <c r="I7" t="s">
        <v>20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14.1</v>
      </c>
      <c r="AE7">
        <v>527</v>
      </c>
      <c r="AF7">
        <v>59.649122807017562</v>
      </c>
      <c r="AG7">
        <v>0</v>
      </c>
      <c r="AH7">
        <f>16.7213775575438*1</f>
        <v>16.7213775575438</v>
      </c>
      <c r="AI7">
        <v>1</v>
      </c>
      <c r="AJ7">
        <v>1</v>
      </c>
      <c r="AL7" t="s">
        <v>4</v>
      </c>
      <c r="AM7">
        <f>SUMPRODUCT(Table1[Selected],Table1[DEF])</f>
        <v>5</v>
      </c>
      <c r="AN7">
        <v>5</v>
      </c>
    </row>
    <row r="8" spans="1:40" x14ac:dyDescent="0.2">
      <c r="A8" t="s">
        <v>52</v>
      </c>
      <c r="B8" t="s">
        <v>53</v>
      </c>
      <c r="C8" s="1" t="s">
        <v>53</v>
      </c>
      <c r="D8" t="s">
        <v>5</v>
      </c>
      <c r="E8">
        <v>0</v>
      </c>
      <c r="F8">
        <v>0</v>
      </c>
      <c r="G8">
        <v>1</v>
      </c>
      <c r="H8">
        <v>0</v>
      </c>
      <c r="I8" t="s">
        <v>8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9</v>
      </c>
      <c r="AE8">
        <v>17</v>
      </c>
      <c r="AF8">
        <v>37.76216881014372</v>
      </c>
      <c r="AG8">
        <v>0</v>
      </c>
      <c r="AH8">
        <f>15.7304649354728*1</f>
        <v>15.730464935472799</v>
      </c>
      <c r="AI8">
        <v>1</v>
      </c>
      <c r="AJ8">
        <v>1</v>
      </c>
      <c r="AL8" t="s">
        <v>5</v>
      </c>
      <c r="AM8">
        <f>SUMPRODUCT(Table1[Selected],Table1[MID])</f>
        <v>5</v>
      </c>
      <c r="AN8">
        <v>5</v>
      </c>
    </row>
    <row r="9" spans="1:40" x14ac:dyDescent="0.2">
      <c r="A9" t="s">
        <v>41</v>
      </c>
      <c r="B9" t="s">
        <v>42</v>
      </c>
      <c r="C9" s="1" t="s">
        <v>42</v>
      </c>
      <c r="D9" t="s">
        <v>5</v>
      </c>
      <c r="E9">
        <v>0</v>
      </c>
      <c r="F9">
        <v>0</v>
      </c>
      <c r="G9">
        <v>1</v>
      </c>
      <c r="H9">
        <v>0</v>
      </c>
      <c r="I9" t="s">
        <v>8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7.5</v>
      </c>
      <c r="AE9">
        <v>5</v>
      </c>
      <c r="AF9">
        <v>26.181462796553699</v>
      </c>
      <c r="AG9">
        <v>0</v>
      </c>
      <c r="AH9">
        <f>12.6687535636367*1</f>
        <v>12.668753563636701</v>
      </c>
      <c r="AI9">
        <v>1</v>
      </c>
      <c r="AJ9">
        <v>1</v>
      </c>
      <c r="AL9" t="s">
        <v>6</v>
      </c>
      <c r="AM9">
        <f>SUMPRODUCT(Table1[Selected],Table1[FWD])</f>
        <v>3</v>
      </c>
      <c r="AN9">
        <v>3</v>
      </c>
    </row>
    <row r="10" spans="1:40" hidden="1" x14ac:dyDescent="0.2">
      <c r="A10" t="s">
        <v>56</v>
      </c>
      <c r="B10" t="s">
        <v>57</v>
      </c>
      <c r="C10" t="s">
        <v>57</v>
      </c>
      <c r="D10" t="s">
        <v>5</v>
      </c>
      <c r="E10">
        <v>0</v>
      </c>
      <c r="F10">
        <v>0</v>
      </c>
      <c r="G10">
        <v>1</v>
      </c>
      <c r="H10">
        <v>0</v>
      </c>
      <c r="I10" t="s">
        <v>8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6.5</v>
      </c>
      <c r="AE10">
        <v>22</v>
      </c>
      <c r="AF10">
        <v>21.500000000000011</v>
      </c>
      <c r="AG10">
        <v>0</v>
      </c>
      <c r="AH10">
        <f>8.99969398413333*1</f>
        <v>8.9996939841333301</v>
      </c>
      <c r="AI10">
        <v>1</v>
      </c>
      <c r="AJ10">
        <v>0</v>
      </c>
    </row>
    <row r="11" spans="1:40" hidden="1" x14ac:dyDescent="0.2">
      <c r="A11" t="s">
        <v>58</v>
      </c>
      <c r="B11" t="s">
        <v>59</v>
      </c>
      <c r="C11" t="s">
        <v>59</v>
      </c>
      <c r="D11" t="s">
        <v>4</v>
      </c>
      <c r="E11">
        <v>0</v>
      </c>
      <c r="F11">
        <v>1</v>
      </c>
      <c r="G11">
        <v>0</v>
      </c>
      <c r="H11">
        <v>0</v>
      </c>
      <c r="I11" t="s">
        <v>8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6</v>
      </c>
      <c r="AE11">
        <v>23</v>
      </c>
      <c r="AF11">
        <v>15.17391304347826</v>
      </c>
      <c r="AG11">
        <v>0</v>
      </c>
      <c r="AH11">
        <f>6.35165460154202*1</f>
        <v>6.3516546015420197</v>
      </c>
      <c r="AI11">
        <v>1</v>
      </c>
      <c r="AJ11">
        <v>0</v>
      </c>
      <c r="AL11" t="s">
        <v>8</v>
      </c>
      <c r="AM11">
        <f>SUMPRODUCT(Table1[Selected],Table1[ARS])</f>
        <v>5</v>
      </c>
      <c r="AN11">
        <v>5</v>
      </c>
    </row>
    <row r="12" spans="1:40" hidden="1" x14ac:dyDescent="0.2">
      <c r="A12" t="s">
        <v>60</v>
      </c>
      <c r="B12" t="s">
        <v>61</v>
      </c>
      <c r="C12" t="s">
        <v>61</v>
      </c>
      <c r="D12" t="s">
        <v>4</v>
      </c>
      <c r="E12">
        <v>0</v>
      </c>
      <c r="F12">
        <v>1</v>
      </c>
      <c r="G12">
        <v>0</v>
      </c>
      <c r="H12">
        <v>0</v>
      </c>
      <c r="I12" t="s">
        <v>8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5</v>
      </c>
      <c r="AE12">
        <v>25</v>
      </c>
      <c r="AF12">
        <v>15</v>
      </c>
      <c r="AG12">
        <v>0</v>
      </c>
      <c r="AH12">
        <f>6.278856268*1</f>
        <v>6.2788562680000002</v>
      </c>
      <c r="AI12">
        <v>1</v>
      </c>
      <c r="AJ12">
        <v>0</v>
      </c>
      <c r="AL12" t="s">
        <v>9</v>
      </c>
      <c r="AM12">
        <f>SUMPRODUCT(Table1[Selected],Table1[AVL])</f>
        <v>1</v>
      </c>
      <c r="AN12">
        <v>5</v>
      </c>
    </row>
    <row r="13" spans="1:40" hidden="1" x14ac:dyDescent="0.2">
      <c r="A13" t="s">
        <v>62</v>
      </c>
      <c r="B13" t="s">
        <v>63</v>
      </c>
      <c r="C13" t="s">
        <v>64</v>
      </c>
      <c r="D13" t="s">
        <v>3</v>
      </c>
      <c r="E13">
        <v>1</v>
      </c>
      <c r="F13">
        <v>0</v>
      </c>
      <c r="G13">
        <v>0</v>
      </c>
      <c r="H13">
        <v>0</v>
      </c>
      <c r="I13" t="s">
        <v>8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5.2</v>
      </c>
      <c r="AE13">
        <v>26</v>
      </c>
      <c r="AF13">
        <v>12.854735030973</v>
      </c>
      <c r="AG13">
        <v>0</v>
      </c>
      <c r="AH13">
        <f>5.84777385160116*1</f>
        <v>5.8477738516011604</v>
      </c>
      <c r="AI13">
        <v>1</v>
      </c>
      <c r="AJ13">
        <v>0</v>
      </c>
      <c r="AL13" t="s">
        <v>10</v>
      </c>
      <c r="AM13">
        <f>SUMPRODUCT(Table1[Selected],Table1[BOU])</f>
        <v>1</v>
      </c>
      <c r="AN13">
        <v>5</v>
      </c>
    </row>
    <row r="14" spans="1:40" hidden="1" x14ac:dyDescent="0.2">
      <c r="A14" t="s">
        <v>65</v>
      </c>
      <c r="B14" t="s">
        <v>66</v>
      </c>
      <c r="C14" t="s">
        <v>66</v>
      </c>
      <c r="D14" t="s">
        <v>5</v>
      </c>
      <c r="E14">
        <v>0</v>
      </c>
      <c r="F14">
        <v>0</v>
      </c>
      <c r="G14">
        <v>1</v>
      </c>
      <c r="H14">
        <v>0</v>
      </c>
      <c r="I14" t="s">
        <v>8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5.5</v>
      </c>
      <c r="AE14">
        <v>27</v>
      </c>
      <c r="AF14">
        <v>20.826850234296121</v>
      </c>
      <c r="AG14">
        <v>0</v>
      </c>
      <c r="AH14">
        <f>8.5973087428014*1</f>
        <v>8.5973087428014008</v>
      </c>
      <c r="AI14">
        <v>1</v>
      </c>
      <c r="AJ14">
        <v>0</v>
      </c>
      <c r="AL14" t="s">
        <v>11</v>
      </c>
      <c r="AM14">
        <f>SUMPRODUCT(Table1[Selected],Table1[BRE])</f>
        <v>0</v>
      </c>
      <c r="AN14">
        <v>5</v>
      </c>
    </row>
    <row r="15" spans="1:40" hidden="1" x14ac:dyDescent="0.2">
      <c r="A15" t="s">
        <v>67</v>
      </c>
      <c r="B15" t="s">
        <v>68</v>
      </c>
      <c r="C15" t="s">
        <v>68</v>
      </c>
      <c r="D15" t="s">
        <v>5</v>
      </c>
      <c r="E15">
        <v>0</v>
      </c>
      <c r="F15">
        <v>0</v>
      </c>
      <c r="G15">
        <v>1</v>
      </c>
      <c r="H15">
        <v>0</v>
      </c>
      <c r="I15" t="s">
        <v>9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5.5</v>
      </c>
      <c r="AE15">
        <v>39</v>
      </c>
      <c r="AF15">
        <v>18.795180722891569</v>
      </c>
      <c r="AG15">
        <v>13.825527303512841</v>
      </c>
      <c r="AH15">
        <f>6.81571478782029*1</f>
        <v>6.8157147878202897</v>
      </c>
      <c r="AI15">
        <v>1</v>
      </c>
      <c r="AJ15">
        <v>0</v>
      </c>
      <c r="AL15" t="s">
        <v>12</v>
      </c>
      <c r="AM15">
        <f>SUMPRODUCT(Table1[Selected],Table1[BHA])</f>
        <v>0</v>
      </c>
      <c r="AN15">
        <v>5</v>
      </c>
    </row>
    <row r="16" spans="1:40" hidden="1" x14ac:dyDescent="0.2">
      <c r="A16" t="s">
        <v>69</v>
      </c>
      <c r="B16" t="s">
        <v>70</v>
      </c>
      <c r="C16" t="s">
        <v>70</v>
      </c>
      <c r="D16" t="s">
        <v>4</v>
      </c>
      <c r="E16">
        <v>0</v>
      </c>
      <c r="F16">
        <v>1</v>
      </c>
      <c r="G16">
        <v>0</v>
      </c>
      <c r="H16">
        <v>0</v>
      </c>
      <c r="I16" t="s">
        <v>9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4.5</v>
      </c>
      <c r="AE16">
        <v>41</v>
      </c>
      <c r="AF16">
        <v>11</v>
      </c>
      <c r="AG16">
        <v>9.975973296333116</v>
      </c>
      <c r="AH16">
        <f>4.07082841549443*1</f>
        <v>4.0708284154944296</v>
      </c>
      <c r="AI16">
        <v>1</v>
      </c>
      <c r="AJ16">
        <v>0</v>
      </c>
      <c r="AL16" t="s">
        <v>13</v>
      </c>
      <c r="AM16">
        <f>SUMPRODUCT(Table1[Selected],Table1[BUR])</f>
        <v>0</v>
      </c>
      <c r="AN16">
        <v>5</v>
      </c>
    </row>
    <row r="17" spans="1:40" hidden="1" x14ac:dyDescent="0.2">
      <c r="A17" t="s">
        <v>71</v>
      </c>
      <c r="B17" t="s">
        <v>72</v>
      </c>
      <c r="C17" t="s">
        <v>72</v>
      </c>
      <c r="D17" t="s">
        <v>4</v>
      </c>
      <c r="E17">
        <v>0</v>
      </c>
      <c r="F17">
        <v>1</v>
      </c>
      <c r="G17">
        <v>0</v>
      </c>
      <c r="H17">
        <v>0</v>
      </c>
      <c r="I17" t="s">
        <v>9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4.5999999999999996</v>
      </c>
      <c r="AE17">
        <v>47</v>
      </c>
      <c r="AF17">
        <v>10.822572389613279</v>
      </c>
      <c r="AG17">
        <v>12.63318685640486</v>
      </c>
      <c r="AH17">
        <f>4.19781455004891*1</f>
        <v>4.1978145500489097</v>
      </c>
      <c r="AI17">
        <v>1</v>
      </c>
      <c r="AJ17">
        <v>0</v>
      </c>
      <c r="AL17" t="s">
        <v>14</v>
      </c>
      <c r="AM17">
        <f>SUMPRODUCT(Table1[Selected],Table1[CHE])</f>
        <v>1</v>
      </c>
      <c r="AN17">
        <v>5</v>
      </c>
    </row>
    <row r="18" spans="1:40" hidden="1" x14ac:dyDescent="0.2">
      <c r="A18" t="s">
        <v>73</v>
      </c>
      <c r="B18" t="s">
        <v>74</v>
      </c>
      <c r="C18" t="s">
        <v>73</v>
      </c>
      <c r="D18" t="s">
        <v>5</v>
      </c>
      <c r="E18">
        <v>0</v>
      </c>
      <c r="F18">
        <v>0</v>
      </c>
      <c r="G18">
        <v>1</v>
      </c>
      <c r="H18">
        <v>0</v>
      </c>
      <c r="I18" t="s">
        <v>9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5.4</v>
      </c>
      <c r="AE18">
        <v>48</v>
      </c>
      <c r="AF18">
        <v>18.348950761661619</v>
      </c>
      <c r="AG18">
        <v>12.306299467912689</v>
      </c>
      <c r="AH18">
        <f>6.63730955246062*1</f>
        <v>6.6373095524606196</v>
      </c>
      <c r="AI18">
        <v>1</v>
      </c>
      <c r="AJ18">
        <v>0</v>
      </c>
      <c r="AL18" t="s">
        <v>15</v>
      </c>
      <c r="AM18">
        <f>SUMPRODUCT(Table1[Selected],Table1[CRY])</f>
        <v>0</v>
      </c>
      <c r="AN18">
        <v>5</v>
      </c>
    </row>
    <row r="19" spans="1:40" hidden="1" x14ac:dyDescent="0.2">
      <c r="A19" t="s">
        <v>75</v>
      </c>
      <c r="B19" t="s">
        <v>76</v>
      </c>
      <c r="C19" t="s">
        <v>77</v>
      </c>
      <c r="D19" t="s">
        <v>4</v>
      </c>
      <c r="E19">
        <v>0</v>
      </c>
      <c r="F19">
        <v>1</v>
      </c>
      <c r="G19">
        <v>0</v>
      </c>
      <c r="H19">
        <v>0</v>
      </c>
      <c r="I19" t="s">
        <v>9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4.5</v>
      </c>
      <c r="AE19">
        <v>53</v>
      </c>
      <c r="AF19">
        <v>11.318181818181809</v>
      </c>
      <c r="AG19">
        <v>10.71200143011087</v>
      </c>
      <c r="AH19">
        <f>4.24702326990922*1</f>
        <v>4.2470232699092199</v>
      </c>
      <c r="AI19">
        <v>1</v>
      </c>
      <c r="AJ19">
        <v>0</v>
      </c>
      <c r="AL19" t="s">
        <v>16</v>
      </c>
      <c r="AM19">
        <f>SUMPRODUCT(Table1[Selected],Table1[EVE])</f>
        <v>0</v>
      </c>
      <c r="AN19">
        <v>5</v>
      </c>
    </row>
    <row r="20" spans="1:40" hidden="1" x14ac:dyDescent="0.2">
      <c r="A20" t="s">
        <v>78</v>
      </c>
      <c r="B20" t="s">
        <v>79</v>
      </c>
      <c r="C20" t="s">
        <v>80</v>
      </c>
      <c r="D20" t="s">
        <v>3</v>
      </c>
      <c r="E20">
        <v>1</v>
      </c>
      <c r="F20">
        <v>0</v>
      </c>
      <c r="G20">
        <v>0</v>
      </c>
      <c r="H20">
        <v>0</v>
      </c>
      <c r="I20" t="s">
        <v>9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5.3</v>
      </c>
      <c r="AE20">
        <v>54</v>
      </c>
      <c r="AF20">
        <v>10.544117647058821</v>
      </c>
      <c r="AG20">
        <v>9.9647960476607125</v>
      </c>
      <c r="AH20">
        <f>4.00982457785079*1</f>
        <v>4.0098245778507904</v>
      </c>
      <c r="AI20">
        <v>1</v>
      </c>
      <c r="AJ20">
        <v>0</v>
      </c>
      <c r="AL20" t="s">
        <v>17</v>
      </c>
      <c r="AM20">
        <f>SUMPRODUCT(Table1[Selected],Table1[FUL])</f>
        <v>1</v>
      </c>
      <c r="AN20">
        <v>5</v>
      </c>
    </row>
    <row r="21" spans="1:40" hidden="1" x14ac:dyDescent="0.2">
      <c r="A21" t="s">
        <v>81</v>
      </c>
      <c r="B21" t="s">
        <v>82</v>
      </c>
      <c r="C21" t="s">
        <v>82</v>
      </c>
      <c r="D21" t="s">
        <v>5</v>
      </c>
      <c r="E21">
        <v>0</v>
      </c>
      <c r="F21">
        <v>0</v>
      </c>
      <c r="G21">
        <v>1</v>
      </c>
      <c r="H21">
        <v>0</v>
      </c>
      <c r="I21" t="s">
        <v>9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5.3</v>
      </c>
      <c r="AE21">
        <v>55</v>
      </c>
      <c r="AF21">
        <v>16.83484561677427</v>
      </c>
      <c r="AG21">
        <v>15.617427388334431</v>
      </c>
      <c r="AH21">
        <f>6.14857602014755*1</f>
        <v>6.1485760201475497</v>
      </c>
      <c r="AI21">
        <v>1</v>
      </c>
      <c r="AJ21">
        <v>0</v>
      </c>
      <c r="AL21" t="s">
        <v>18</v>
      </c>
      <c r="AM21">
        <f>SUMPRODUCT(Table1[Selected],Table1[LIV])</f>
        <v>0</v>
      </c>
      <c r="AN21">
        <v>5</v>
      </c>
    </row>
    <row r="22" spans="1:40" hidden="1" x14ac:dyDescent="0.2">
      <c r="A22" t="s">
        <v>83</v>
      </c>
      <c r="B22" t="s">
        <v>84</v>
      </c>
      <c r="C22" t="s">
        <v>84</v>
      </c>
      <c r="D22" t="s">
        <v>5</v>
      </c>
      <c r="E22">
        <v>0</v>
      </c>
      <c r="F22">
        <v>0</v>
      </c>
      <c r="G22">
        <v>1</v>
      </c>
      <c r="H22">
        <v>0</v>
      </c>
      <c r="I22" t="s">
        <v>9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5.6</v>
      </c>
      <c r="AE22">
        <v>62</v>
      </c>
      <c r="AF22">
        <v>10.95586098568122</v>
      </c>
      <c r="AG22">
        <v>12.83928566488966</v>
      </c>
      <c r="AH22">
        <f>4.18394663916667*1</f>
        <v>4.1839466391666704</v>
      </c>
      <c r="AI22">
        <v>1</v>
      </c>
      <c r="AJ22">
        <v>0</v>
      </c>
      <c r="AL22" t="s">
        <v>19</v>
      </c>
      <c r="AM22">
        <f>SUMPRODUCT(Table1[Selected],Table1[LUT])</f>
        <v>0</v>
      </c>
      <c r="AN22">
        <v>5</v>
      </c>
    </row>
    <row r="23" spans="1:40" hidden="1" x14ac:dyDescent="0.2">
      <c r="A23" t="s">
        <v>85</v>
      </c>
      <c r="B23" t="s">
        <v>86</v>
      </c>
      <c r="C23" t="s">
        <v>86</v>
      </c>
      <c r="D23" t="s">
        <v>6</v>
      </c>
      <c r="E23">
        <v>0</v>
      </c>
      <c r="F23">
        <v>0</v>
      </c>
      <c r="G23">
        <v>0</v>
      </c>
      <c r="H23">
        <v>1</v>
      </c>
      <c r="I23" t="s">
        <v>9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9</v>
      </c>
      <c r="AE23">
        <v>64</v>
      </c>
      <c r="AF23">
        <v>29.64963503649636</v>
      </c>
      <c r="AG23">
        <v>23.407032912785581</v>
      </c>
      <c r="AH23">
        <f>10.8041001811039*1</f>
        <v>10.8041001811039</v>
      </c>
      <c r="AI23">
        <v>1</v>
      </c>
      <c r="AJ23">
        <v>0</v>
      </c>
      <c r="AL23" t="s">
        <v>20</v>
      </c>
      <c r="AM23">
        <f>SUMPRODUCT(Table1[Selected],Table1[MCI])</f>
        <v>3</v>
      </c>
      <c r="AN23">
        <v>5</v>
      </c>
    </row>
    <row r="24" spans="1:40" x14ac:dyDescent="0.2">
      <c r="A24" t="s">
        <v>50</v>
      </c>
      <c r="B24" t="s">
        <v>51</v>
      </c>
      <c r="C24" s="1" t="s">
        <v>51</v>
      </c>
      <c r="D24" t="s">
        <v>5</v>
      </c>
      <c r="E24">
        <v>0</v>
      </c>
      <c r="F24">
        <v>0</v>
      </c>
      <c r="G24">
        <v>1</v>
      </c>
      <c r="H24">
        <v>0</v>
      </c>
      <c r="I24" t="s">
        <v>8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8.6</v>
      </c>
      <c r="AE24">
        <v>12</v>
      </c>
      <c r="AF24">
        <v>27.82402783915721</v>
      </c>
      <c r="AG24">
        <v>0</v>
      </c>
      <c r="AH24">
        <f>11.6468714399265*1</f>
        <v>11.6468714399265</v>
      </c>
      <c r="AI24">
        <v>1</v>
      </c>
      <c r="AJ24">
        <v>1</v>
      </c>
      <c r="AL24" t="s">
        <v>21</v>
      </c>
      <c r="AM24">
        <f>SUMPRODUCT(Table1[Selected],Table1[MUN])</f>
        <v>0</v>
      </c>
      <c r="AN24">
        <v>5</v>
      </c>
    </row>
    <row r="25" spans="1:40" hidden="1" x14ac:dyDescent="0.2">
      <c r="A25" t="s">
        <v>89</v>
      </c>
      <c r="B25" t="s">
        <v>90</v>
      </c>
      <c r="C25" t="s">
        <v>90</v>
      </c>
      <c r="D25" t="s">
        <v>5</v>
      </c>
      <c r="E25">
        <v>0</v>
      </c>
      <c r="F25">
        <v>0</v>
      </c>
      <c r="G25">
        <v>1</v>
      </c>
      <c r="H25">
        <v>0</v>
      </c>
      <c r="I25" t="s">
        <v>9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6.3</v>
      </c>
      <c r="AE25">
        <v>67</v>
      </c>
      <c r="AF25">
        <v>19.542857142857141</v>
      </c>
      <c r="AG25">
        <v>18.714043430599201</v>
      </c>
      <c r="AH25">
        <f>7.34242717583023*1</f>
        <v>7.3424271758302302</v>
      </c>
      <c r="AI25">
        <v>1</v>
      </c>
      <c r="AJ25">
        <v>0</v>
      </c>
      <c r="AL25" t="s">
        <v>22</v>
      </c>
      <c r="AM25">
        <f>SUMPRODUCT(Table1[Selected],Table1[NEW])</f>
        <v>0</v>
      </c>
      <c r="AN25">
        <v>5</v>
      </c>
    </row>
    <row r="26" spans="1:40" hidden="1" x14ac:dyDescent="0.2">
      <c r="A26" t="s">
        <v>91</v>
      </c>
      <c r="B26" t="s">
        <v>92</v>
      </c>
      <c r="C26" t="s">
        <v>92</v>
      </c>
      <c r="D26" t="s">
        <v>5</v>
      </c>
      <c r="E26">
        <v>0</v>
      </c>
      <c r="F26">
        <v>0</v>
      </c>
      <c r="G26">
        <v>1</v>
      </c>
      <c r="H26">
        <v>0</v>
      </c>
      <c r="I26" t="s">
        <v>10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5.0999999999999996</v>
      </c>
      <c r="AE26">
        <v>81</v>
      </c>
      <c r="AF26">
        <v>13.524657963502831</v>
      </c>
      <c r="AG26">
        <v>12.21021136751617</v>
      </c>
      <c r="AH26">
        <f>4.31677350319593*1</f>
        <v>4.3167735031959298</v>
      </c>
      <c r="AI26">
        <v>1</v>
      </c>
      <c r="AJ26">
        <v>0</v>
      </c>
      <c r="AL26" t="s">
        <v>23</v>
      </c>
      <c r="AM26">
        <f>SUMPRODUCT(Table1[Selected],Table1[NFO])</f>
        <v>0</v>
      </c>
      <c r="AN26">
        <v>5</v>
      </c>
    </row>
    <row r="27" spans="1:40" hidden="1" x14ac:dyDescent="0.2">
      <c r="A27" t="s">
        <v>93</v>
      </c>
      <c r="B27" t="s">
        <v>94</v>
      </c>
      <c r="C27" t="s">
        <v>94</v>
      </c>
      <c r="D27" t="s">
        <v>5</v>
      </c>
      <c r="E27">
        <v>0</v>
      </c>
      <c r="F27">
        <v>0</v>
      </c>
      <c r="G27">
        <v>1</v>
      </c>
      <c r="H27">
        <v>0</v>
      </c>
      <c r="I27" t="s">
        <v>10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5</v>
      </c>
      <c r="AE27">
        <v>83</v>
      </c>
      <c r="AF27">
        <v>14.231959441397651</v>
      </c>
      <c r="AG27">
        <v>11.48523034409178</v>
      </c>
      <c r="AH27">
        <f>5.73313547392769*1</f>
        <v>5.7331354739276899</v>
      </c>
      <c r="AI27">
        <v>1</v>
      </c>
      <c r="AJ27">
        <v>0</v>
      </c>
      <c r="AL27" t="s">
        <v>24</v>
      </c>
      <c r="AM27">
        <f>SUMPRODUCT(Table1[Selected],Table1[SHU])</f>
        <v>2</v>
      </c>
      <c r="AN27">
        <v>5</v>
      </c>
    </row>
    <row r="28" spans="1:40" hidden="1" x14ac:dyDescent="0.2">
      <c r="A28" t="s">
        <v>95</v>
      </c>
      <c r="B28" t="s">
        <v>96</v>
      </c>
      <c r="C28" t="s">
        <v>97</v>
      </c>
      <c r="D28" t="s">
        <v>5</v>
      </c>
      <c r="E28">
        <v>0</v>
      </c>
      <c r="F28">
        <v>0</v>
      </c>
      <c r="G28">
        <v>1</v>
      </c>
      <c r="H28">
        <v>0</v>
      </c>
      <c r="I28" t="s">
        <v>10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4.9000000000000004</v>
      </c>
      <c r="AE28">
        <v>84</v>
      </c>
      <c r="AF28">
        <v>7.8306822908069833</v>
      </c>
      <c r="AG28">
        <v>5.0561226877176928</v>
      </c>
      <c r="AH28">
        <f>2.72543271564813*1</f>
        <v>2.7254327156481302</v>
      </c>
      <c r="AI28">
        <v>1</v>
      </c>
      <c r="AJ28">
        <v>0</v>
      </c>
      <c r="AL28" t="s">
        <v>25</v>
      </c>
      <c r="AM28">
        <f>SUMPRODUCT(Table1[Selected],Table1[TOT])</f>
        <v>0</v>
      </c>
      <c r="AN28">
        <v>5</v>
      </c>
    </row>
    <row r="29" spans="1:40" hidden="1" x14ac:dyDescent="0.2">
      <c r="A29" t="s">
        <v>98</v>
      </c>
      <c r="B29" t="s">
        <v>99</v>
      </c>
      <c r="C29" t="s">
        <v>99</v>
      </c>
      <c r="D29" t="s">
        <v>5</v>
      </c>
      <c r="E29">
        <v>0</v>
      </c>
      <c r="F29">
        <v>0</v>
      </c>
      <c r="G29">
        <v>1</v>
      </c>
      <c r="H29">
        <v>0</v>
      </c>
      <c r="I29" t="s">
        <v>10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4.5999999999999996</v>
      </c>
      <c r="AE29">
        <v>90</v>
      </c>
      <c r="AF29">
        <v>29.56323478522437</v>
      </c>
      <c r="AG29">
        <v>16.502646483745259</v>
      </c>
      <c r="AH29">
        <f>8.52951483399757*1</f>
        <v>8.5295148339975704</v>
      </c>
      <c r="AI29">
        <v>1</v>
      </c>
      <c r="AJ29">
        <v>0</v>
      </c>
      <c r="AL29" t="s">
        <v>26</v>
      </c>
      <c r="AM29">
        <f>SUMPRODUCT(Table1[Selected],Table1[WHU])</f>
        <v>0</v>
      </c>
      <c r="AN29">
        <v>5</v>
      </c>
    </row>
    <row r="30" spans="1:40" hidden="1" x14ac:dyDescent="0.2">
      <c r="A30" t="s">
        <v>100</v>
      </c>
      <c r="B30" t="s">
        <v>101</v>
      </c>
      <c r="C30" s="1" t="s">
        <v>102</v>
      </c>
      <c r="D30" t="s">
        <v>3</v>
      </c>
      <c r="E30">
        <v>1</v>
      </c>
      <c r="F30">
        <v>0</v>
      </c>
      <c r="G30">
        <v>0</v>
      </c>
      <c r="H30">
        <v>0</v>
      </c>
      <c r="I30" t="s">
        <v>10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4.7</v>
      </c>
      <c r="AE30">
        <v>95</v>
      </c>
      <c r="AF30">
        <v>11.41038446021183</v>
      </c>
      <c r="AG30">
        <v>11.59356134014701</v>
      </c>
      <c r="AH30">
        <f>5.45230473802782*1</f>
        <v>5.45230473802782</v>
      </c>
      <c r="AI30">
        <v>1</v>
      </c>
      <c r="AJ30">
        <v>0</v>
      </c>
      <c r="AL30" t="s">
        <v>27</v>
      </c>
      <c r="AM30">
        <f>SUMPRODUCT(Table1[Selected],Table1[WOL])</f>
        <v>1</v>
      </c>
      <c r="AN30">
        <v>5</v>
      </c>
    </row>
    <row r="31" spans="1:40" hidden="1" x14ac:dyDescent="0.2">
      <c r="A31" t="s">
        <v>103</v>
      </c>
      <c r="B31" t="s">
        <v>104</v>
      </c>
      <c r="C31" t="s">
        <v>105</v>
      </c>
      <c r="D31" t="s">
        <v>5</v>
      </c>
      <c r="E31">
        <v>0</v>
      </c>
      <c r="F31">
        <v>0</v>
      </c>
      <c r="G31">
        <v>1</v>
      </c>
      <c r="H31">
        <v>0</v>
      </c>
      <c r="I31" t="s">
        <v>10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4.7</v>
      </c>
      <c r="AE31">
        <v>96</v>
      </c>
      <c r="AF31">
        <v>18</v>
      </c>
      <c r="AG31">
        <v>8.1507050592592467</v>
      </c>
      <c r="AH31">
        <f>4.86421560347513*1</f>
        <v>4.86421560347513</v>
      </c>
      <c r="AI31">
        <v>1</v>
      </c>
      <c r="AJ31">
        <v>0</v>
      </c>
    </row>
    <row r="32" spans="1:40" hidden="1" x14ac:dyDescent="0.2">
      <c r="A32" t="s">
        <v>106</v>
      </c>
      <c r="B32" t="s">
        <v>107</v>
      </c>
      <c r="C32" t="s">
        <v>107</v>
      </c>
      <c r="D32" t="s">
        <v>6</v>
      </c>
      <c r="E32">
        <v>0</v>
      </c>
      <c r="F32">
        <v>0</v>
      </c>
      <c r="G32">
        <v>0</v>
      </c>
      <c r="H32">
        <v>1</v>
      </c>
      <c r="I32" t="s">
        <v>10</v>
      </c>
      <c r="J32">
        <v>0</v>
      </c>
      <c r="K32">
        <v>0</v>
      </c>
      <c r="L32">
        <v>1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4.5</v>
      </c>
      <c r="AE32">
        <v>100</v>
      </c>
      <c r="AF32">
        <v>22.73323380325197</v>
      </c>
      <c r="AG32">
        <v>13.146517896111421</v>
      </c>
      <c r="AH32">
        <f>6.75902571253193*1</f>
        <v>6.7590257125319297</v>
      </c>
      <c r="AI32">
        <v>1</v>
      </c>
      <c r="AJ32">
        <v>0</v>
      </c>
    </row>
    <row r="33" spans="1:36" x14ac:dyDescent="0.2">
      <c r="A33" t="s">
        <v>307</v>
      </c>
      <c r="B33" t="s">
        <v>308</v>
      </c>
      <c r="C33" s="1" t="s">
        <v>309</v>
      </c>
      <c r="D33" t="s">
        <v>6</v>
      </c>
      <c r="E33">
        <v>0</v>
      </c>
      <c r="F33">
        <v>0</v>
      </c>
      <c r="G33">
        <v>0</v>
      </c>
      <c r="H33">
        <v>1</v>
      </c>
      <c r="I33" t="s">
        <v>20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6.4</v>
      </c>
      <c r="AE33">
        <v>516</v>
      </c>
      <c r="AF33">
        <v>38.214149452086012</v>
      </c>
      <c r="AG33">
        <v>0</v>
      </c>
      <c r="AH33">
        <f>10.7125334113641*1</f>
        <v>10.712533411364101</v>
      </c>
      <c r="AI33">
        <v>1</v>
      </c>
      <c r="AJ33">
        <v>1</v>
      </c>
    </row>
    <row r="34" spans="1:36" hidden="1" x14ac:dyDescent="0.2">
      <c r="A34" t="s">
        <v>110</v>
      </c>
      <c r="B34" t="s">
        <v>111</v>
      </c>
      <c r="C34" t="s">
        <v>111</v>
      </c>
      <c r="D34" t="s">
        <v>4</v>
      </c>
      <c r="E34">
        <v>0</v>
      </c>
      <c r="F34">
        <v>1</v>
      </c>
      <c r="G34">
        <v>0</v>
      </c>
      <c r="H34">
        <v>0</v>
      </c>
      <c r="I34" t="s">
        <v>10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4.4000000000000004</v>
      </c>
      <c r="AE34">
        <v>102</v>
      </c>
      <c r="AF34">
        <v>7.6071428571428568</v>
      </c>
      <c r="AG34">
        <v>6.3855239872932561</v>
      </c>
      <c r="AH34">
        <f>3.10544446474442*1</f>
        <v>3.1054444647444202</v>
      </c>
      <c r="AI34">
        <v>1</v>
      </c>
      <c r="AJ34">
        <v>0</v>
      </c>
    </row>
    <row r="35" spans="1:36" hidden="1" x14ac:dyDescent="0.2">
      <c r="A35" t="s">
        <v>112</v>
      </c>
      <c r="B35" t="s">
        <v>113</v>
      </c>
      <c r="C35" t="s">
        <v>113</v>
      </c>
      <c r="D35" t="s">
        <v>6</v>
      </c>
      <c r="E35">
        <v>0</v>
      </c>
      <c r="F35">
        <v>0</v>
      </c>
      <c r="G35">
        <v>0</v>
      </c>
      <c r="H35">
        <v>1</v>
      </c>
      <c r="I35" t="s">
        <v>10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7.3</v>
      </c>
      <c r="AE35">
        <v>103</v>
      </c>
      <c r="AF35">
        <v>26.18968712107721</v>
      </c>
      <c r="AG35">
        <v>15.442580451705521</v>
      </c>
      <c r="AH35">
        <f>8.02754087760178*1</f>
        <v>8.0275408776017798</v>
      </c>
      <c r="AI35">
        <v>1</v>
      </c>
      <c r="AJ35">
        <v>0</v>
      </c>
    </row>
    <row r="36" spans="1:36" hidden="1" x14ac:dyDescent="0.2">
      <c r="A36" t="s">
        <v>114</v>
      </c>
      <c r="B36" t="s">
        <v>115</v>
      </c>
      <c r="C36" t="s">
        <v>115</v>
      </c>
      <c r="D36" t="s">
        <v>5</v>
      </c>
      <c r="E36">
        <v>0</v>
      </c>
      <c r="F36">
        <v>0</v>
      </c>
      <c r="G36">
        <v>1</v>
      </c>
      <c r="H36">
        <v>0</v>
      </c>
      <c r="I36" t="s">
        <v>10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5</v>
      </c>
      <c r="AE36">
        <v>104</v>
      </c>
      <c r="AF36">
        <v>21.061224489795919</v>
      </c>
      <c r="AG36">
        <v>21.08004585241251</v>
      </c>
      <c r="AH36">
        <f>7.4790750081989*1</f>
        <v>7.4790750081989001</v>
      </c>
      <c r="AI36">
        <v>1</v>
      </c>
      <c r="AJ36">
        <v>0</v>
      </c>
    </row>
    <row r="37" spans="1:36" hidden="1" x14ac:dyDescent="0.2">
      <c r="A37" t="s">
        <v>116</v>
      </c>
      <c r="B37" t="s">
        <v>117</v>
      </c>
      <c r="C37" t="s">
        <v>117</v>
      </c>
      <c r="D37" t="s">
        <v>4</v>
      </c>
      <c r="E37">
        <v>0</v>
      </c>
      <c r="F37">
        <v>1</v>
      </c>
      <c r="G37">
        <v>0</v>
      </c>
      <c r="H37">
        <v>0</v>
      </c>
      <c r="I37" t="s">
        <v>10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4.5</v>
      </c>
      <c r="AE37">
        <v>107</v>
      </c>
      <c r="AF37">
        <v>8.1891891891891913</v>
      </c>
      <c r="AG37">
        <v>6.396384761319954</v>
      </c>
      <c r="AH37">
        <f>2.81673351593047*1</f>
        <v>2.8167335159304701</v>
      </c>
      <c r="AI37">
        <v>1</v>
      </c>
      <c r="AJ37">
        <v>0</v>
      </c>
    </row>
    <row r="38" spans="1:36" hidden="1" x14ac:dyDescent="0.2">
      <c r="A38" t="s">
        <v>118</v>
      </c>
      <c r="B38" t="s">
        <v>119</v>
      </c>
      <c r="C38" t="s">
        <v>119</v>
      </c>
      <c r="D38" t="s">
        <v>4</v>
      </c>
      <c r="E38">
        <v>0</v>
      </c>
      <c r="F38">
        <v>1</v>
      </c>
      <c r="G38">
        <v>0</v>
      </c>
      <c r="H38">
        <v>0</v>
      </c>
      <c r="I38" t="s">
        <v>10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4.4000000000000004</v>
      </c>
      <c r="AE38">
        <v>108</v>
      </c>
      <c r="AF38">
        <v>15.06810555703704</v>
      </c>
      <c r="AG38">
        <v>8.4208026571312278</v>
      </c>
      <c r="AH38">
        <f>4.9923395365121*1</f>
        <v>4.9923395365120999</v>
      </c>
      <c r="AI38">
        <v>1</v>
      </c>
      <c r="AJ38">
        <v>0</v>
      </c>
    </row>
    <row r="39" spans="1:36" hidden="1" x14ac:dyDescent="0.2">
      <c r="A39" t="s">
        <v>120</v>
      </c>
      <c r="B39" t="s">
        <v>121</v>
      </c>
      <c r="C39" t="s">
        <v>121</v>
      </c>
      <c r="D39" t="s">
        <v>4</v>
      </c>
      <c r="E39">
        <v>0</v>
      </c>
      <c r="F39">
        <v>1</v>
      </c>
      <c r="G39">
        <v>0</v>
      </c>
      <c r="H39">
        <v>0</v>
      </c>
      <c r="I39" t="s">
        <v>11</v>
      </c>
      <c r="J39">
        <v>0</v>
      </c>
      <c r="K39">
        <v>0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4.4000000000000004</v>
      </c>
      <c r="AE39">
        <v>121</v>
      </c>
      <c r="AF39">
        <v>10.91379310344827</v>
      </c>
      <c r="AG39">
        <v>12.85881138303113</v>
      </c>
      <c r="AH39">
        <f>3.9292163167799*1</f>
        <v>3.9292163167798999</v>
      </c>
      <c r="AI39">
        <v>1</v>
      </c>
      <c r="AJ39">
        <v>0</v>
      </c>
    </row>
    <row r="40" spans="1:36" hidden="1" x14ac:dyDescent="0.2">
      <c r="A40" t="s">
        <v>122</v>
      </c>
      <c r="B40" t="s">
        <v>123</v>
      </c>
      <c r="C40" t="s">
        <v>123</v>
      </c>
      <c r="D40" t="s">
        <v>4</v>
      </c>
      <c r="E40">
        <v>0</v>
      </c>
      <c r="F40">
        <v>1</v>
      </c>
      <c r="G40">
        <v>0</v>
      </c>
      <c r="H40">
        <v>0</v>
      </c>
      <c r="I40" t="s">
        <v>11</v>
      </c>
      <c r="J40">
        <v>0</v>
      </c>
      <c r="K40">
        <v>0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4.5</v>
      </c>
      <c r="AE40">
        <v>127</v>
      </c>
      <c r="AF40">
        <v>9.4109589041095951</v>
      </c>
      <c r="AG40">
        <v>10.702897945893509</v>
      </c>
      <c r="AH40">
        <f>3.12064668777571*1</f>
        <v>3.12064668777571</v>
      </c>
      <c r="AI40">
        <v>1</v>
      </c>
      <c r="AJ40">
        <v>0</v>
      </c>
    </row>
    <row r="41" spans="1:36" hidden="1" x14ac:dyDescent="0.2">
      <c r="A41" t="s">
        <v>124</v>
      </c>
      <c r="B41" t="s">
        <v>125</v>
      </c>
      <c r="C41" t="s">
        <v>125</v>
      </c>
      <c r="D41" t="s">
        <v>3</v>
      </c>
      <c r="E41">
        <v>1</v>
      </c>
      <c r="F41">
        <v>0</v>
      </c>
      <c r="G41">
        <v>0</v>
      </c>
      <c r="H41">
        <v>0</v>
      </c>
      <c r="I41" t="s">
        <v>11</v>
      </c>
      <c r="J41">
        <v>0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4.7</v>
      </c>
      <c r="AE41">
        <v>132</v>
      </c>
      <c r="AF41">
        <v>9.4545454545454497</v>
      </c>
      <c r="AG41">
        <v>5.1993699764771968</v>
      </c>
      <c r="AH41">
        <f>2.81708463111187*1</f>
        <v>2.8170846311118698</v>
      </c>
      <c r="AI41">
        <v>1</v>
      </c>
      <c r="AJ41">
        <v>0</v>
      </c>
    </row>
    <row r="42" spans="1:36" hidden="1" x14ac:dyDescent="0.2">
      <c r="A42" t="s">
        <v>126</v>
      </c>
      <c r="B42" t="s">
        <v>127</v>
      </c>
      <c r="C42" t="s">
        <v>127</v>
      </c>
      <c r="D42" t="s">
        <v>5</v>
      </c>
      <c r="E42">
        <v>0</v>
      </c>
      <c r="F42">
        <v>0</v>
      </c>
      <c r="G42">
        <v>1</v>
      </c>
      <c r="H42">
        <v>0</v>
      </c>
      <c r="I42" t="s">
        <v>11</v>
      </c>
      <c r="J42">
        <v>0</v>
      </c>
      <c r="K42">
        <v>0</v>
      </c>
      <c r="L42">
        <v>0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5.3</v>
      </c>
      <c r="AE42">
        <v>136</v>
      </c>
      <c r="AF42">
        <v>11.505154639175259</v>
      </c>
      <c r="AG42">
        <v>12.19567186662279</v>
      </c>
      <c r="AH42">
        <f>3.82938153110493*1</f>
        <v>3.82938153110493</v>
      </c>
      <c r="AI42">
        <v>1</v>
      </c>
      <c r="AJ42">
        <v>0</v>
      </c>
    </row>
    <row r="43" spans="1:36" hidden="1" x14ac:dyDescent="0.2">
      <c r="A43" t="s">
        <v>128</v>
      </c>
      <c r="B43" t="s">
        <v>129</v>
      </c>
      <c r="C43" t="s">
        <v>129</v>
      </c>
      <c r="D43" t="s">
        <v>5</v>
      </c>
      <c r="E43">
        <v>0</v>
      </c>
      <c r="F43">
        <v>0</v>
      </c>
      <c r="G43">
        <v>1</v>
      </c>
      <c r="H43">
        <v>0</v>
      </c>
      <c r="I43" t="s">
        <v>11</v>
      </c>
      <c r="J43">
        <v>0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5.2</v>
      </c>
      <c r="AE43">
        <v>137</v>
      </c>
      <c r="AF43">
        <v>10.966065329730631</v>
      </c>
      <c r="AG43">
        <v>13.667512580826131</v>
      </c>
      <c r="AH43">
        <f>3.83613274331974*1</f>
        <v>3.8361327433197401</v>
      </c>
      <c r="AI43">
        <v>1</v>
      </c>
      <c r="AJ43">
        <v>0</v>
      </c>
    </row>
    <row r="44" spans="1:36" hidden="1" x14ac:dyDescent="0.2">
      <c r="A44" t="s">
        <v>130</v>
      </c>
      <c r="B44" t="s">
        <v>131</v>
      </c>
      <c r="C44" t="s">
        <v>131</v>
      </c>
      <c r="D44" t="s">
        <v>5</v>
      </c>
      <c r="E44">
        <v>0</v>
      </c>
      <c r="F44">
        <v>0</v>
      </c>
      <c r="G44">
        <v>1</v>
      </c>
      <c r="H44">
        <v>0</v>
      </c>
      <c r="I44" t="s">
        <v>11</v>
      </c>
      <c r="J44">
        <v>0</v>
      </c>
      <c r="K44">
        <v>0</v>
      </c>
      <c r="L44">
        <v>0</v>
      </c>
      <c r="M44">
        <v>1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4.7</v>
      </c>
      <c r="AE44">
        <v>138</v>
      </c>
      <c r="AF44">
        <v>15.49645216470935</v>
      </c>
      <c r="AG44">
        <v>13.81989862944706</v>
      </c>
      <c r="AH44">
        <f>4.88265260916089*1</f>
        <v>4.8826526091608899</v>
      </c>
      <c r="AI44">
        <v>1</v>
      </c>
      <c r="AJ44">
        <v>0</v>
      </c>
    </row>
    <row r="45" spans="1:36" hidden="1" x14ac:dyDescent="0.2">
      <c r="A45" t="s">
        <v>132</v>
      </c>
      <c r="B45" t="s">
        <v>133</v>
      </c>
      <c r="C45" t="s">
        <v>133</v>
      </c>
      <c r="D45" t="s">
        <v>5</v>
      </c>
      <c r="E45">
        <v>0</v>
      </c>
      <c r="F45">
        <v>0</v>
      </c>
      <c r="G45">
        <v>1</v>
      </c>
      <c r="H45">
        <v>0</v>
      </c>
      <c r="I45" t="s">
        <v>11</v>
      </c>
      <c r="J45">
        <v>0</v>
      </c>
      <c r="K45">
        <v>0</v>
      </c>
      <c r="L45">
        <v>0</v>
      </c>
      <c r="M45">
        <v>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6.8</v>
      </c>
      <c r="AE45">
        <v>139</v>
      </c>
      <c r="AF45">
        <v>24.521739130434781</v>
      </c>
      <c r="AG45">
        <v>22.86643285290879</v>
      </c>
      <c r="AH45">
        <f>8.0076025270483*1</f>
        <v>8.0076025270483004</v>
      </c>
      <c r="AI45">
        <v>1</v>
      </c>
      <c r="AJ45">
        <v>0</v>
      </c>
    </row>
    <row r="46" spans="1:36" hidden="1" x14ac:dyDescent="0.2">
      <c r="A46" t="s">
        <v>134</v>
      </c>
      <c r="B46" t="s">
        <v>135</v>
      </c>
      <c r="C46" t="s">
        <v>135</v>
      </c>
      <c r="D46" t="s">
        <v>5</v>
      </c>
      <c r="E46">
        <v>0</v>
      </c>
      <c r="F46">
        <v>0</v>
      </c>
      <c r="G46">
        <v>1</v>
      </c>
      <c r="H46">
        <v>0</v>
      </c>
      <c r="I46" t="s">
        <v>11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5.2</v>
      </c>
      <c r="AE46">
        <v>141</v>
      </c>
      <c r="AF46">
        <v>14.4375</v>
      </c>
      <c r="AG46">
        <v>13.737891486319381</v>
      </c>
      <c r="AH46">
        <f>4.66384522662213*1</f>
        <v>4.6638452266221302</v>
      </c>
      <c r="AI46">
        <v>1</v>
      </c>
      <c r="AJ46">
        <v>0</v>
      </c>
    </row>
    <row r="47" spans="1:36" hidden="1" x14ac:dyDescent="0.2">
      <c r="A47" t="s">
        <v>136</v>
      </c>
      <c r="B47" t="s">
        <v>137</v>
      </c>
      <c r="C47" t="s">
        <v>137</v>
      </c>
      <c r="D47" t="s">
        <v>5</v>
      </c>
      <c r="E47">
        <v>0</v>
      </c>
      <c r="F47">
        <v>0</v>
      </c>
      <c r="G47">
        <v>1</v>
      </c>
      <c r="H47">
        <v>0</v>
      </c>
      <c r="I47" t="s">
        <v>11</v>
      </c>
      <c r="J47">
        <v>0</v>
      </c>
      <c r="K47">
        <v>0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4.9000000000000004</v>
      </c>
      <c r="AE47">
        <v>142</v>
      </c>
      <c r="AF47">
        <v>9.5624999999999982</v>
      </c>
      <c r="AG47">
        <v>8.6945032718232156</v>
      </c>
      <c r="AH47">
        <f>3.14548492140583*1</f>
        <v>3.14548492140583</v>
      </c>
      <c r="AI47">
        <v>1</v>
      </c>
      <c r="AJ47">
        <v>0</v>
      </c>
    </row>
    <row r="48" spans="1:36" hidden="1" x14ac:dyDescent="0.2">
      <c r="A48" t="s">
        <v>138</v>
      </c>
      <c r="B48" t="s">
        <v>139</v>
      </c>
      <c r="C48" t="s">
        <v>139</v>
      </c>
      <c r="D48" t="s">
        <v>4</v>
      </c>
      <c r="E48">
        <v>0</v>
      </c>
      <c r="F48">
        <v>1</v>
      </c>
      <c r="G48">
        <v>0</v>
      </c>
      <c r="H48">
        <v>0</v>
      </c>
      <c r="I48" t="s">
        <v>11</v>
      </c>
      <c r="J48">
        <v>0</v>
      </c>
      <c r="K48">
        <v>0</v>
      </c>
      <c r="L48">
        <v>0</v>
      </c>
      <c r="M48">
        <v>1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4.5</v>
      </c>
      <c r="AE48">
        <v>143</v>
      </c>
      <c r="AF48">
        <v>12.535714285714279</v>
      </c>
      <c r="AG48">
        <v>12.43356066728998</v>
      </c>
      <c r="AH48">
        <f>4.22923596850009*1</f>
        <v>4.22923596850009</v>
      </c>
      <c r="AI48">
        <v>1</v>
      </c>
      <c r="AJ48">
        <v>0</v>
      </c>
    </row>
    <row r="49" spans="1:36" hidden="1" x14ac:dyDescent="0.2">
      <c r="A49" t="s">
        <v>140</v>
      </c>
      <c r="B49" t="s">
        <v>141</v>
      </c>
      <c r="C49" t="s">
        <v>142</v>
      </c>
      <c r="D49" t="s">
        <v>4</v>
      </c>
      <c r="E49">
        <v>0</v>
      </c>
      <c r="F49">
        <v>1</v>
      </c>
      <c r="G49">
        <v>0</v>
      </c>
      <c r="H49">
        <v>0</v>
      </c>
      <c r="I49" t="s">
        <v>11</v>
      </c>
      <c r="J49">
        <v>0</v>
      </c>
      <c r="K49">
        <v>0</v>
      </c>
      <c r="L49">
        <v>0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4.4000000000000004</v>
      </c>
      <c r="AE49">
        <v>144</v>
      </c>
      <c r="AF49">
        <v>7.3478260869565197</v>
      </c>
      <c r="AG49">
        <v>6.1370569996372257</v>
      </c>
      <c r="AH49">
        <f>2.37659119708263*1</f>
        <v>2.3765911970826301</v>
      </c>
      <c r="AI49">
        <v>1</v>
      </c>
      <c r="AJ49">
        <v>0</v>
      </c>
    </row>
    <row r="50" spans="1:36" hidden="1" x14ac:dyDescent="0.2">
      <c r="A50" t="s">
        <v>143</v>
      </c>
      <c r="B50" t="s">
        <v>144</v>
      </c>
      <c r="C50" t="s">
        <v>144</v>
      </c>
      <c r="D50" t="s">
        <v>6</v>
      </c>
      <c r="E50">
        <v>0</v>
      </c>
      <c r="F50">
        <v>0</v>
      </c>
      <c r="G50">
        <v>0</v>
      </c>
      <c r="H50">
        <v>1</v>
      </c>
      <c r="I50" t="s">
        <v>11</v>
      </c>
      <c r="J50">
        <v>0</v>
      </c>
      <c r="K50">
        <v>0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5.7</v>
      </c>
      <c r="AE50">
        <v>149</v>
      </c>
      <c r="AF50">
        <v>15.41056412837195</v>
      </c>
      <c r="AG50">
        <v>14.72625834035404</v>
      </c>
      <c r="AH50">
        <f>3.83866718755116*1</f>
        <v>3.83866718755116</v>
      </c>
      <c r="AI50">
        <v>1</v>
      </c>
      <c r="AJ50">
        <v>0</v>
      </c>
    </row>
    <row r="51" spans="1:36" hidden="1" x14ac:dyDescent="0.2">
      <c r="A51" t="s">
        <v>145</v>
      </c>
      <c r="B51" t="s">
        <v>146</v>
      </c>
      <c r="C51" t="s">
        <v>146</v>
      </c>
      <c r="D51" t="s">
        <v>6</v>
      </c>
      <c r="E51">
        <v>0</v>
      </c>
      <c r="F51">
        <v>0</v>
      </c>
      <c r="G51">
        <v>0</v>
      </c>
      <c r="H51">
        <v>1</v>
      </c>
      <c r="I51" t="s">
        <v>11</v>
      </c>
      <c r="J51">
        <v>0</v>
      </c>
      <c r="K51">
        <v>0</v>
      </c>
      <c r="L51">
        <v>0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4.9000000000000004</v>
      </c>
      <c r="AE51">
        <v>152</v>
      </c>
      <c r="AF51">
        <v>15.13107882181062</v>
      </c>
      <c r="AG51">
        <v>20.601979174409291</v>
      </c>
      <c r="AH51">
        <f>5.33379072239152*1</f>
        <v>5.3337907223915204</v>
      </c>
      <c r="AI51">
        <v>1</v>
      </c>
      <c r="AJ51">
        <v>0</v>
      </c>
    </row>
    <row r="52" spans="1:36" hidden="1" x14ac:dyDescent="0.2">
      <c r="A52" t="s">
        <v>147</v>
      </c>
      <c r="B52" t="s">
        <v>148</v>
      </c>
      <c r="C52" t="s">
        <v>148</v>
      </c>
      <c r="D52" t="s">
        <v>5</v>
      </c>
      <c r="E52">
        <v>0</v>
      </c>
      <c r="F52">
        <v>0</v>
      </c>
      <c r="G52">
        <v>1</v>
      </c>
      <c r="H52">
        <v>0</v>
      </c>
      <c r="I52" t="s">
        <v>12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5</v>
      </c>
      <c r="AE52">
        <v>164</v>
      </c>
      <c r="AF52">
        <v>25.333333333333339</v>
      </c>
      <c r="AG52">
        <v>26.81964560295469</v>
      </c>
      <c r="AH52">
        <f>6.77925831256948*1</f>
        <v>6.7792583125694801</v>
      </c>
      <c r="AI52">
        <v>1</v>
      </c>
      <c r="AJ52">
        <v>0</v>
      </c>
    </row>
    <row r="53" spans="1:36" hidden="1" x14ac:dyDescent="0.2">
      <c r="A53" t="s">
        <v>149</v>
      </c>
      <c r="B53" t="s">
        <v>150</v>
      </c>
      <c r="C53" t="s">
        <v>150</v>
      </c>
      <c r="D53" t="s">
        <v>5</v>
      </c>
      <c r="E53">
        <v>0</v>
      </c>
      <c r="F53">
        <v>0</v>
      </c>
      <c r="G53">
        <v>1</v>
      </c>
      <c r="H53">
        <v>0</v>
      </c>
      <c r="I53" t="s">
        <v>12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4.7</v>
      </c>
      <c r="AE53">
        <v>167</v>
      </c>
      <c r="AF53">
        <v>14.58823529411764</v>
      </c>
      <c r="AG53">
        <v>16.803916038749492</v>
      </c>
      <c r="AH53">
        <f>4.81642704121126*1</f>
        <v>4.8164270412112602</v>
      </c>
      <c r="AI53">
        <v>1</v>
      </c>
      <c r="AJ53">
        <v>0</v>
      </c>
    </row>
    <row r="54" spans="1:36" hidden="1" x14ac:dyDescent="0.2">
      <c r="A54" t="s">
        <v>95</v>
      </c>
      <c r="B54" t="s">
        <v>151</v>
      </c>
      <c r="C54" t="s">
        <v>151</v>
      </c>
      <c r="D54" t="s">
        <v>4</v>
      </c>
      <c r="E54">
        <v>0</v>
      </c>
      <c r="F54">
        <v>1</v>
      </c>
      <c r="G54">
        <v>0</v>
      </c>
      <c r="H54">
        <v>0</v>
      </c>
      <c r="I54" t="s">
        <v>12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5.2</v>
      </c>
      <c r="AE54">
        <v>170</v>
      </c>
      <c r="AF54">
        <v>19.847133757961771</v>
      </c>
      <c r="AG54">
        <v>17.429221852530961</v>
      </c>
      <c r="AH54">
        <f>5.37073049105758*1</f>
        <v>5.3707304910575804</v>
      </c>
      <c r="AI54">
        <v>1</v>
      </c>
      <c r="AJ54">
        <v>0</v>
      </c>
    </row>
    <row r="55" spans="1:36" hidden="1" x14ac:dyDescent="0.2">
      <c r="A55" t="s">
        <v>152</v>
      </c>
      <c r="B55" t="s">
        <v>153</v>
      </c>
      <c r="C55" t="s">
        <v>153</v>
      </c>
      <c r="D55" t="s">
        <v>6</v>
      </c>
      <c r="E55">
        <v>0</v>
      </c>
      <c r="F55">
        <v>0</v>
      </c>
      <c r="G55">
        <v>0</v>
      </c>
      <c r="H55">
        <v>1</v>
      </c>
      <c r="I55" t="s">
        <v>12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5.7</v>
      </c>
      <c r="AE55">
        <v>173</v>
      </c>
      <c r="AF55">
        <v>15.340142203059081</v>
      </c>
      <c r="AG55">
        <v>17.000192894218831</v>
      </c>
      <c r="AH55">
        <f>4.41330666030155*1</f>
        <v>4.4133066603015498</v>
      </c>
      <c r="AI55">
        <v>1</v>
      </c>
      <c r="AJ55">
        <v>0</v>
      </c>
    </row>
    <row r="56" spans="1:36" hidden="1" x14ac:dyDescent="0.2">
      <c r="A56" t="s">
        <v>154</v>
      </c>
      <c r="B56" t="s">
        <v>155</v>
      </c>
      <c r="C56" t="s">
        <v>155</v>
      </c>
      <c r="D56" t="s">
        <v>5</v>
      </c>
      <c r="E56">
        <v>0</v>
      </c>
      <c r="F56">
        <v>0</v>
      </c>
      <c r="G56">
        <v>1</v>
      </c>
      <c r="H56">
        <v>0</v>
      </c>
      <c r="I56" t="s">
        <v>12</v>
      </c>
      <c r="J56">
        <v>0</v>
      </c>
      <c r="K56">
        <v>0</v>
      </c>
      <c r="L56">
        <v>0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4.8</v>
      </c>
      <c r="AE56">
        <v>174</v>
      </c>
      <c r="AF56">
        <v>12.74285714285714</v>
      </c>
      <c r="AG56">
        <v>10.934845450073359</v>
      </c>
      <c r="AH56">
        <f>3.37471306973341*1</f>
        <v>3.37471306973341</v>
      </c>
      <c r="AI56">
        <v>1</v>
      </c>
      <c r="AJ56">
        <v>0</v>
      </c>
    </row>
    <row r="57" spans="1:36" hidden="1" x14ac:dyDescent="0.2">
      <c r="A57" t="s">
        <v>156</v>
      </c>
      <c r="B57" t="s">
        <v>157</v>
      </c>
      <c r="C57" t="s">
        <v>158</v>
      </c>
      <c r="D57" t="s">
        <v>5</v>
      </c>
      <c r="E57">
        <v>0</v>
      </c>
      <c r="F57">
        <v>0</v>
      </c>
      <c r="G57">
        <v>1</v>
      </c>
      <c r="H57">
        <v>0</v>
      </c>
      <c r="I57" t="s">
        <v>12</v>
      </c>
      <c r="J57">
        <v>0</v>
      </c>
      <c r="K57">
        <v>0</v>
      </c>
      <c r="L57">
        <v>0</v>
      </c>
      <c r="M57">
        <v>0</v>
      </c>
      <c r="N57">
        <v>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6.1</v>
      </c>
      <c r="AE57">
        <v>175</v>
      </c>
      <c r="AF57">
        <v>24.80288992050702</v>
      </c>
      <c r="AG57">
        <v>19.294268443119901</v>
      </c>
      <c r="AH57">
        <f>6.08861580076156*1</f>
        <v>6.0886158007615601</v>
      </c>
      <c r="AI57">
        <v>1</v>
      </c>
      <c r="AJ57">
        <v>0</v>
      </c>
    </row>
    <row r="58" spans="1:36" hidden="1" x14ac:dyDescent="0.2">
      <c r="A58" t="s">
        <v>159</v>
      </c>
      <c r="B58" t="s">
        <v>160</v>
      </c>
      <c r="C58" t="s">
        <v>159</v>
      </c>
      <c r="D58" t="s">
        <v>6</v>
      </c>
      <c r="E58">
        <v>0</v>
      </c>
      <c r="F58">
        <v>0</v>
      </c>
      <c r="G58">
        <v>0</v>
      </c>
      <c r="H58">
        <v>1</v>
      </c>
      <c r="I58" t="s">
        <v>12</v>
      </c>
      <c r="J58">
        <v>0</v>
      </c>
      <c r="K58">
        <v>0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5.2</v>
      </c>
      <c r="AE58">
        <v>176</v>
      </c>
      <c r="AF58">
        <v>31.02991930333696</v>
      </c>
      <c r="AG58">
        <v>19.186752769864039</v>
      </c>
      <c r="AH58">
        <f>6.92800897641379*1</f>
        <v>6.92800897641379</v>
      </c>
      <c r="AI58">
        <v>1</v>
      </c>
      <c r="AJ58">
        <v>0</v>
      </c>
    </row>
    <row r="59" spans="1:36" hidden="1" x14ac:dyDescent="0.2">
      <c r="A59" t="s">
        <v>161</v>
      </c>
      <c r="B59" t="s">
        <v>162</v>
      </c>
      <c r="C59" t="s">
        <v>163</v>
      </c>
      <c r="D59" t="s">
        <v>4</v>
      </c>
      <c r="E59">
        <v>0</v>
      </c>
      <c r="F59">
        <v>1</v>
      </c>
      <c r="G59">
        <v>0</v>
      </c>
      <c r="H59">
        <v>0</v>
      </c>
      <c r="I59" t="s">
        <v>12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4.0999999999999996</v>
      </c>
      <c r="AE59">
        <v>190</v>
      </c>
      <c r="AF59">
        <v>11.428571428571431</v>
      </c>
      <c r="AG59">
        <v>10.53057465028729</v>
      </c>
      <c r="AH59">
        <f>3.28887443942581*1</f>
        <v>3.2888744394258098</v>
      </c>
      <c r="AI59">
        <v>1</v>
      </c>
      <c r="AJ59">
        <v>0</v>
      </c>
    </row>
    <row r="60" spans="1:36" hidden="1" x14ac:dyDescent="0.2">
      <c r="A60" t="s">
        <v>164</v>
      </c>
      <c r="B60" t="s">
        <v>165</v>
      </c>
      <c r="C60" t="s">
        <v>165</v>
      </c>
      <c r="D60" t="s">
        <v>6</v>
      </c>
      <c r="E60">
        <v>0</v>
      </c>
      <c r="F60">
        <v>0</v>
      </c>
      <c r="G60">
        <v>0</v>
      </c>
      <c r="H60">
        <v>1</v>
      </c>
      <c r="I60" t="s">
        <v>12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5.7</v>
      </c>
      <c r="AE60">
        <v>194</v>
      </c>
      <c r="AF60">
        <v>23.52223771633426</v>
      </c>
      <c r="AG60">
        <v>21.006129740419009</v>
      </c>
      <c r="AH60">
        <f>5.38645367670295*1</f>
        <v>5.3864536767029501</v>
      </c>
      <c r="AI60">
        <v>1</v>
      </c>
      <c r="AJ60">
        <v>0</v>
      </c>
    </row>
    <row r="61" spans="1:36" hidden="1" x14ac:dyDescent="0.2">
      <c r="A61" t="s">
        <v>166</v>
      </c>
      <c r="B61" t="s">
        <v>167</v>
      </c>
      <c r="C61" t="s">
        <v>167</v>
      </c>
      <c r="D61" t="s">
        <v>5</v>
      </c>
      <c r="E61">
        <v>0</v>
      </c>
      <c r="F61">
        <v>0</v>
      </c>
      <c r="G61">
        <v>1</v>
      </c>
      <c r="H61">
        <v>0</v>
      </c>
      <c r="I61" t="s">
        <v>13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4.7</v>
      </c>
      <c r="AE61">
        <v>215</v>
      </c>
      <c r="AF61">
        <v>12.623762376237631</v>
      </c>
      <c r="AG61">
        <v>0</v>
      </c>
      <c r="AH61">
        <f>4.56127074017327*1</f>
        <v>4.5612707401732697</v>
      </c>
      <c r="AI61">
        <v>1</v>
      </c>
      <c r="AJ61">
        <v>0</v>
      </c>
    </row>
    <row r="62" spans="1:36" hidden="1" x14ac:dyDescent="0.2">
      <c r="A62" t="s">
        <v>168</v>
      </c>
      <c r="B62" t="s">
        <v>169</v>
      </c>
      <c r="C62" t="s">
        <v>169</v>
      </c>
      <c r="D62" t="s">
        <v>4</v>
      </c>
      <c r="E62">
        <v>0</v>
      </c>
      <c r="F62">
        <v>1</v>
      </c>
      <c r="G62">
        <v>0</v>
      </c>
      <c r="H62">
        <v>0</v>
      </c>
      <c r="I62" t="s">
        <v>13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4.4000000000000004</v>
      </c>
      <c r="AE62">
        <v>227</v>
      </c>
      <c r="AF62">
        <v>9.1156639115139839</v>
      </c>
      <c r="AG62">
        <v>0</v>
      </c>
      <c r="AH62">
        <f>3.29370989706749*1</f>
        <v>3.2937098970674898</v>
      </c>
      <c r="AI62">
        <v>1</v>
      </c>
      <c r="AJ62">
        <v>0</v>
      </c>
    </row>
    <row r="63" spans="1:36" hidden="1" x14ac:dyDescent="0.2">
      <c r="A63" t="s">
        <v>170</v>
      </c>
      <c r="B63" t="s">
        <v>171</v>
      </c>
      <c r="C63" t="s">
        <v>171</v>
      </c>
      <c r="D63" t="s">
        <v>4</v>
      </c>
      <c r="E63">
        <v>0</v>
      </c>
      <c r="F63">
        <v>1</v>
      </c>
      <c r="G63">
        <v>0</v>
      </c>
      <c r="H63">
        <v>0</v>
      </c>
      <c r="I63" t="s">
        <v>13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3.9</v>
      </c>
      <c r="AE63">
        <v>232</v>
      </c>
      <c r="AF63">
        <v>9.0345897578750698</v>
      </c>
      <c r="AG63">
        <v>0</v>
      </c>
      <c r="AH63">
        <f>3.3833029053667*1</f>
        <v>3.3833029053666999</v>
      </c>
      <c r="AI63">
        <v>1</v>
      </c>
      <c r="AJ63">
        <v>0</v>
      </c>
    </row>
    <row r="64" spans="1:36" hidden="1" x14ac:dyDescent="0.2">
      <c r="A64" t="s">
        <v>172</v>
      </c>
      <c r="B64" t="s">
        <v>173</v>
      </c>
      <c r="C64" t="s">
        <v>174</v>
      </c>
      <c r="D64" t="s">
        <v>4</v>
      </c>
      <c r="E64">
        <v>0</v>
      </c>
      <c r="F64">
        <v>1</v>
      </c>
      <c r="G64">
        <v>0</v>
      </c>
      <c r="H64">
        <v>0</v>
      </c>
      <c r="I64" t="s">
        <v>13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4.4000000000000004</v>
      </c>
      <c r="AE64">
        <v>236</v>
      </c>
      <c r="AF64">
        <v>9.7241379310344804</v>
      </c>
      <c r="AG64">
        <v>0</v>
      </c>
      <c r="AH64">
        <f>3.51356628050344*1</f>
        <v>3.51356628050344</v>
      </c>
      <c r="AI64">
        <v>1</v>
      </c>
      <c r="AJ64">
        <v>0</v>
      </c>
    </row>
    <row r="65" spans="1:36" hidden="1" x14ac:dyDescent="0.2">
      <c r="A65" t="s">
        <v>175</v>
      </c>
      <c r="B65" t="s">
        <v>176</v>
      </c>
      <c r="C65" t="s">
        <v>176</v>
      </c>
      <c r="D65" t="s">
        <v>5</v>
      </c>
      <c r="E65">
        <v>0</v>
      </c>
      <c r="F65">
        <v>0</v>
      </c>
      <c r="G65">
        <v>1</v>
      </c>
      <c r="H65">
        <v>0</v>
      </c>
      <c r="I65" t="s">
        <v>13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4.5999999999999996</v>
      </c>
      <c r="AE65">
        <v>240</v>
      </c>
      <c r="AF65">
        <v>10.53348996782937</v>
      </c>
      <c r="AG65">
        <v>0</v>
      </c>
      <c r="AH65">
        <f>3.62255977595823*1</f>
        <v>3.62255977595823</v>
      </c>
      <c r="AI65">
        <v>1</v>
      </c>
      <c r="AJ65">
        <v>0</v>
      </c>
    </row>
    <row r="66" spans="1:36" hidden="1" x14ac:dyDescent="0.2">
      <c r="A66" t="s">
        <v>177</v>
      </c>
      <c r="B66" t="s">
        <v>178</v>
      </c>
      <c r="C66" t="s">
        <v>178</v>
      </c>
      <c r="D66" t="s">
        <v>6</v>
      </c>
      <c r="E66">
        <v>0</v>
      </c>
      <c r="F66">
        <v>0</v>
      </c>
      <c r="G66">
        <v>0</v>
      </c>
      <c r="H66">
        <v>1</v>
      </c>
      <c r="I66" t="s">
        <v>13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5.0999999999999996</v>
      </c>
      <c r="AE66">
        <v>241</v>
      </c>
      <c r="AF66">
        <v>15.9</v>
      </c>
      <c r="AG66">
        <v>0</v>
      </c>
      <c r="AH66">
        <f>5.74505465226999*1</f>
        <v>5.7450546522699897</v>
      </c>
      <c r="AI66">
        <v>1</v>
      </c>
      <c r="AJ66">
        <v>0</v>
      </c>
    </row>
    <row r="67" spans="1:36" hidden="1" x14ac:dyDescent="0.2">
      <c r="A67" t="s">
        <v>179</v>
      </c>
      <c r="B67" t="s">
        <v>180</v>
      </c>
      <c r="C67" t="s">
        <v>180</v>
      </c>
      <c r="D67" t="s">
        <v>5</v>
      </c>
      <c r="E67">
        <v>0</v>
      </c>
      <c r="F67">
        <v>0</v>
      </c>
      <c r="G67">
        <v>1</v>
      </c>
      <c r="H67">
        <v>0</v>
      </c>
      <c r="I67" t="s">
        <v>13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4.8</v>
      </c>
      <c r="AE67">
        <v>245</v>
      </c>
      <c r="AF67">
        <v>14.46428571428571</v>
      </c>
      <c r="AG67">
        <v>0</v>
      </c>
      <c r="AH67">
        <f>5.22629634808928*1</f>
        <v>5.2262963480892797</v>
      </c>
      <c r="AI67">
        <v>1</v>
      </c>
      <c r="AJ67">
        <v>0</v>
      </c>
    </row>
    <row r="68" spans="1:36" hidden="1" x14ac:dyDescent="0.2">
      <c r="A68" t="s">
        <v>181</v>
      </c>
      <c r="B68" t="s">
        <v>182</v>
      </c>
      <c r="C68" t="s">
        <v>182</v>
      </c>
      <c r="D68" t="s">
        <v>5</v>
      </c>
      <c r="E68">
        <v>0</v>
      </c>
      <c r="F68">
        <v>0</v>
      </c>
      <c r="G68">
        <v>1</v>
      </c>
      <c r="H68">
        <v>0</v>
      </c>
      <c r="I68" t="s">
        <v>13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5</v>
      </c>
      <c r="AE68">
        <v>247</v>
      </c>
      <c r="AF68">
        <v>19.7583791150258</v>
      </c>
      <c r="AG68">
        <v>0</v>
      </c>
      <c r="AH68">
        <f>8.72358661494052*1</f>
        <v>8.7235866149405208</v>
      </c>
      <c r="AI68">
        <v>1</v>
      </c>
      <c r="AJ68">
        <v>0</v>
      </c>
    </row>
    <row r="69" spans="1:36" hidden="1" x14ac:dyDescent="0.2">
      <c r="A69" t="s">
        <v>183</v>
      </c>
      <c r="B69" t="s">
        <v>184</v>
      </c>
      <c r="C69" t="s">
        <v>185</v>
      </c>
      <c r="D69" t="s">
        <v>5</v>
      </c>
      <c r="E69">
        <v>0</v>
      </c>
      <c r="F69">
        <v>0</v>
      </c>
      <c r="G69">
        <v>1</v>
      </c>
      <c r="H69">
        <v>0</v>
      </c>
      <c r="I69" t="s">
        <v>14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4.5</v>
      </c>
      <c r="AE69">
        <v>254</v>
      </c>
      <c r="AF69">
        <v>10.641557088074361</v>
      </c>
      <c r="AG69">
        <v>0</v>
      </c>
      <c r="AH69">
        <f>3.38332784909019*1</f>
        <v>3.3833278490901901</v>
      </c>
      <c r="AI69">
        <v>1</v>
      </c>
      <c r="AJ69">
        <v>0</v>
      </c>
    </row>
    <row r="70" spans="1:36" hidden="1" x14ac:dyDescent="0.2">
      <c r="A70" t="s">
        <v>186</v>
      </c>
      <c r="B70" t="s">
        <v>187</v>
      </c>
      <c r="C70" t="s">
        <v>187</v>
      </c>
      <c r="D70" t="s">
        <v>4</v>
      </c>
      <c r="E70">
        <v>0</v>
      </c>
      <c r="F70">
        <v>1</v>
      </c>
      <c r="G70">
        <v>0</v>
      </c>
      <c r="H70">
        <v>0</v>
      </c>
      <c r="I70" t="s">
        <v>14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4.5999999999999996</v>
      </c>
      <c r="AE70">
        <v>267</v>
      </c>
      <c r="AF70">
        <v>14.461538461538471</v>
      </c>
      <c r="AG70">
        <v>0</v>
      </c>
      <c r="AH70">
        <f>4.5978352051923*1</f>
        <v>4.5978352051923004</v>
      </c>
      <c r="AI70">
        <v>1</v>
      </c>
      <c r="AJ70">
        <v>0</v>
      </c>
    </row>
    <row r="71" spans="1:36" hidden="1" x14ac:dyDescent="0.2">
      <c r="A71" t="s">
        <v>188</v>
      </c>
      <c r="B71" t="s">
        <v>189</v>
      </c>
      <c r="C71" t="s">
        <v>188</v>
      </c>
      <c r="D71" t="s">
        <v>5</v>
      </c>
      <c r="E71">
        <v>0</v>
      </c>
      <c r="F71">
        <v>0</v>
      </c>
      <c r="G71">
        <v>1</v>
      </c>
      <c r="H71">
        <v>0</v>
      </c>
      <c r="I71" t="s">
        <v>14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4.8</v>
      </c>
      <c r="AE71">
        <v>269</v>
      </c>
      <c r="AF71">
        <v>22.63636363636363</v>
      </c>
      <c r="AG71">
        <v>0</v>
      </c>
      <c r="AH71">
        <f>7.19690162437499*1</f>
        <v>7.1969016243749904</v>
      </c>
      <c r="AI71">
        <v>1</v>
      </c>
      <c r="AJ71">
        <v>0</v>
      </c>
    </row>
    <row r="72" spans="1:36" hidden="1" x14ac:dyDescent="0.2">
      <c r="A72" t="s">
        <v>190</v>
      </c>
      <c r="B72" t="s">
        <v>191</v>
      </c>
      <c r="C72" t="s">
        <v>191</v>
      </c>
      <c r="D72" t="s">
        <v>5</v>
      </c>
      <c r="E72">
        <v>0</v>
      </c>
      <c r="F72">
        <v>0</v>
      </c>
      <c r="G72">
        <v>1</v>
      </c>
      <c r="H72">
        <v>0</v>
      </c>
      <c r="I72" t="s">
        <v>14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5.4</v>
      </c>
      <c r="AE72">
        <v>271</v>
      </c>
      <c r="AF72">
        <v>20.92063492063491</v>
      </c>
      <c r="AG72">
        <v>0</v>
      </c>
      <c r="AH72">
        <f>6.65141070632936*1</f>
        <v>6.6514107063293597</v>
      </c>
      <c r="AI72">
        <v>1</v>
      </c>
      <c r="AJ72">
        <v>0</v>
      </c>
    </row>
    <row r="73" spans="1:36" hidden="1" x14ac:dyDescent="0.2">
      <c r="A73" t="s">
        <v>192</v>
      </c>
      <c r="B73" t="s">
        <v>193</v>
      </c>
      <c r="C73" t="s">
        <v>193</v>
      </c>
      <c r="D73" t="s">
        <v>5</v>
      </c>
      <c r="E73">
        <v>0</v>
      </c>
      <c r="F73">
        <v>0</v>
      </c>
      <c r="G73">
        <v>1</v>
      </c>
      <c r="H73">
        <v>0</v>
      </c>
      <c r="I73" t="s">
        <v>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6.3</v>
      </c>
      <c r="AE73">
        <v>276</v>
      </c>
      <c r="AF73">
        <v>17.7</v>
      </c>
      <c r="AG73">
        <v>0</v>
      </c>
      <c r="AH73">
        <f>5.6274568123125*1</f>
        <v>5.6274568123125004</v>
      </c>
      <c r="AI73">
        <v>1</v>
      </c>
      <c r="AJ73">
        <v>0</v>
      </c>
    </row>
    <row r="74" spans="1:36" hidden="1" x14ac:dyDescent="0.2">
      <c r="A74" t="s">
        <v>194</v>
      </c>
      <c r="B74" t="s">
        <v>195</v>
      </c>
      <c r="C74" t="s">
        <v>196</v>
      </c>
      <c r="D74" t="s">
        <v>6</v>
      </c>
      <c r="E74">
        <v>0</v>
      </c>
      <c r="F74">
        <v>0</v>
      </c>
      <c r="G74">
        <v>0</v>
      </c>
      <c r="H74">
        <v>1</v>
      </c>
      <c r="I74" t="s">
        <v>14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6.9</v>
      </c>
      <c r="AE74">
        <v>277</v>
      </c>
      <c r="AF74">
        <v>31.86666666666666</v>
      </c>
      <c r="AG74">
        <v>0</v>
      </c>
      <c r="AH74">
        <f>10.1315418315833*1</f>
        <v>10.1315418315833</v>
      </c>
      <c r="AI74">
        <v>1</v>
      </c>
      <c r="AJ74">
        <v>0</v>
      </c>
    </row>
    <row r="75" spans="1:36" hidden="1" x14ac:dyDescent="0.2">
      <c r="A75" t="s">
        <v>197</v>
      </c>
      <c r="B75" t="s">
        <v>198</v>
      </c>
      <c r="C75" t="s">
        <v>198</v>
      </c>
      <c r="D75" t="s">
        <v>5</v>
      </c>
      <c r="E75">
        <v>0</v>
      </c>
      <c r="F75">
        <v>0</v>
      </c>
      <c r="G75">
        <v>1</v>
      </c>
      <c r="H75">
        <v>0</v>
      </c>
      <c r="I75" t="s">
        <v>14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6.8</v>
      </c>
      <c r="AE75">
        <v>282</v>
      </c>
      <c r="AF75">
        <v>25.825216185242379</v>
      </c>
      <c r="AG75">
        <v>0</v>
      </c>
      <c r="AH75">
        <f>8.09895480012344*1</f>
        <v>8.0989548001234404</v>
      </c>
      <c r="AI75">
        <v>1</v>
      </c>
      <c r="AJ75">
        <v>0</v>
      </c>
    </row>
    <row r="76" spans="1:36" hidden="1" x14ac:dyDescent="0.2">
      <c r="A76" t="s">
        <v>199</v>
      </c>
      <c r="B76" t="s">
        <v>200</v>
      </c>
      <c r="C76" t="s">
        <v>201</v>
      </c>
      <c r="D76" t="s">
        <v>4</v>
      </c>
      <c r="E76">
        <v>0</v>
      </c>
      <c r="F76">
        <v>1</v>
      </c>
      <c r="G76">
        <v>0</v>
      </c>
      <c r="H76">
        <v>0</v>
      </c>
      <c r="I76" t="s">
        <v>14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5</v>
      </c>
      <c r="AE76">
        <v>283</v>
      </c>
      <c r="AF76">
        <v>17.46341463414635</v>
      </c>
      <c r="AG76">
        <v>0</v>
      </c>
      <c r="AH76">
        <f>5.55223794628048*1</f>
        <v>5.5522379462804796</v>
      </c>
      <c r="AI76">
        <v>1</v>
      </c>
      <c r="AJ76">
        <v>0</v>
      </c>
    </row>
    <row r="77" spans="1:36" x14ac:dyDescent="0.2">
      <c r="A77" t="s">
        <v>442</v>
      </c>
      <c r="B77" t="s">
        <v>443</v>
      </c>
      <c r="C77" s="1" t="s">
        <v>444</v>
      </c>
      <c r="D77" t="s">
        <v>6</v>
      </c>
      <c r="E77">
        <v>0</v>
      </c>
      <c r="F77">
        <v>0</v>
      </c>
      <c r="G77">
        <v>0</v>
      </c>
      <c r="H77">
        <v>1</v>
      </c>
      <c r="I77" t="s">
        <v>27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5.6</v>
      </c>
      <c r="AE77">
        <v>841</v>
      </c>
      <c r="AF77">
        <v>28.23426229051508</v>
      </c>
      <c r="AG77">
        <v>19.124909804626139</v>
      </c>
      <c r="AH77">
        <f>10.0174025597294*1</f>
        <v>10.017402559729399</v>
      </c>
      <c r="AI77">
        <v>1</v>
      </c>
      <c r="AJ77">
        <v>1</v>
      </c>
    </row>
    <row r="78" spans="1:36" hidden="1" x14ac:dyDescent="0.2">
      <c r="A78" t="s">
        <v>204</v>
      </c>
      <c r="B78" t="s">
        <v>205</v>
      </c>
      <c r="C78" t="s">
        <v>205</v>
      </c>
      <c r="D78" t="s">
        <v>4</v>
      </c>
      <c r="E78">
        <v>0</v>
      </c>
      <c r="F78">
        <v>1</v>
      </c>
      <c r="G78">
        <v>0</v>
      </c>
      <c r="H78">
        <v>0</v>
      </c>
      <c r="I78" t="s">
        <v>14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4.9000000000000004</v>
      </c>
      <c r="AE78">
        <v>288</v>
      </c>
      <c r="AF78">
        <v>13.6</v>
      </c>
      <c r="AG78">
        <v>0</v>
      </c>
      <c r="AH78">
        <f>4.32392161849999*1</f>
        <v>4.3239216184999902</v>
      </c>
      <c r="AI78">
        <v>1</v>
      </c>
      <c r="AJ78">
        <v>0</v>
      </c>
    </row>
    <row r="79" spans="1:36" hidden="1" x14ac:dyDescent="0.2">
      <c r="A79" t="s">
        <v>206</v>
      </c>
      <c r="B79" t="s">
        <v>207</v>
      </c>
      <c r="C79" t="s">
        <v>207</v>
      </c>
      <c r="D79" t="s">
        <v>4</v>
      </c>
      <c r="E79">
        <v>0</v>
      </c>
      <c r="F79">
        <v>1</v>
      </c>
      <c r="G79">
        <v>0</v>
      </c>
      <c r="H79">
        <v>0</v>
      </c>
      <c r="I79" t="s">
        <v>15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4.7</v>
      </c>
      <c r="AE79">
        <v>315</v>
      </c>
      <c r="AF79">
        <v>11.904000000000011</v>
      </c>
      <c r="AG79">
        <v>0</v>
      </c>
      <c r="AH79">
        <f>5.186098104192*1</f>
        <v>5.1860981041920002</v>
      </c>
      <c r="AI79">
        <v>1</v>
      </c>
      <c r="AJ79">
        <v>0</v>
      </c>
    </row>
    <row r="80" spans="1:36" hidden="1" x14ac:dyDescent="0.2">
      <c r="A80" t="s">
        <v>208</v>
      </c>
      <c r="B80" t="s">
        <v>209</v>
      </c>
      <c r="C80" t="s">
        <v>210</v>
      </c>
      <c r="D80" t="s">
        <v>5</v>
      </c>
      <c r="E80">
        <v>0</v>
      </c>
      <c r="F80">
        <v>0</v>
      </c>
      <c r="G80">
        <v>1</v>
      </c>
      <c r="H80">
        <v>0</v>
      </c>
      <c r="I80" t="s">
        <v>15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5.4</v>
      </c>
      <c r="AE80">
        <v>316</v>
      </c>
      <c r="AF80">
        <v>15.497676487634291</v>
      </c>
      <c r="AG80">
        <v>0</v>
      </c>
      <c r="AH80">
        <f>7.09805859691313*1</f>
        <v>7.0980585969131296</v>
      </c>
      <c r="AI80">
        <v>1</v>
      </c>
      <c r="AJ80">
        <v>0</v>
      </c>
    </row>
    <row r="81" spans="1:36" hidden="1" x14ac:dyDescent="0.2">
      <c r="A81" t="s">
        <v>211</v>
      </c>
      <c r="B81" t="s">
        <v>212</v>
      </c>
      <c r="C81" t="s">
        <v>212</v>
      </c>
      <c r="D81" t="s">
        <v>6</v>
      </c>
      <c r="E81">
        <v>0</v>
      </c>
      <c r="F81">
        <v>0</v>
      </c>
      <c r="G81">
        <v>0</v>
      </c>
      <c r="H81">
        <v>1</v>
      </c>
      <c r="I81" t="s">
        <v>15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5.3</v>
      </c>
      <c r="AE81">
        <v>320</v>
      </c>
      <c r="AF81">
        <v>16.97727272727273</v>
      </c>
      <c r="AG81">
        <v>0</v>
      </c>
      <c r="AH81">
        <f>7.39632072456818*1</f>
        <v>7.3963207245681799</v>
      </c>
      <c r="AI81">
        <v>1</v>
      </c>
      <c r="AJ81">
        <v>0</v>
      </c>
    </row>
    <row r="82" spans="1:36" hidden="1" x14ac:dyDescent="0.2">
      <c r="A82" t="s">
        <v>213</v>
      </c>
      <c r="B82" t="s">
        <v>214</v>
      </c>
      <c r="C82" s="1" t="s">
        <v>214</v>
      </c>
      <c r="D82" t="s">
        <v>5</v>
      </c>
      <c r="E82">
        <v>0</v>
      </c>
      <c r="F82">
        <v>0</v>
      </c>
      <c r="G82">
        <v>1</v>
      </c>
      <c r="H82">
        <v>0</v>
      </c>
      <c r="I82" t="s">
        <v>15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6.1</v>
      </c>
      <c r="AE82">
        <v>321</v>
      </c>
      <c r="AF82">
        <v>29.21591645942949</v>
      </c>
      <c r="AG82">
        <v>0</v>
      </c>
      <c r="AH82">
        <f>12.7282097582727*0.75</f>
        <v>9.546157318704525</v>
      </c>
      <c r="AI82">
        <v>0.75</v>
      </c>
      <c r="AJ82">
        <v>0</v>
      </c>
    </row>
    <row r="83" spans="1:36" hidden="1" x14ac:dyDescent="0.2">
      <c r="A83" t="s">
        <v>215</v>
      </c>
      <c r="B83" t="s">
        <v>216</v>
      </c>
      <c r="C83" t="s">
        <v>216</v>
      </c>
      <c r="D83" t="s">
        <v>5</v>
      </c>
      <c r="E83">
        <v>0</v>
      </c>
      <c r="F83">
        <v>0</v>
      </c>
      <c r="G83">
        <v>1</v>
      </c>
      <c r="H83">
        <v>0</v>
      </c>
      <c r="I83" t="s">
        <v>15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4.9000000000000004</v>
      </c>
      <c r="AE83">
        <v>324</v>
      </c>
      <c r="AF83">
        <v>7.8599131825149211</v>
      </c>
      <c r="AG83">
        <v>0</v>
      </c>
      <c r="AH83">
        <f>3.42425074386377*1</f>
        <v>3.4242507438637699</v>
      </c>
      <c r="AI83">
        <v>1</v>
      </c>
      <c r="AJ83">
        <v>0</v>
      </c>
    </row>
    <row r="84" spans="1:36" hidden="1" x14ac:dyDescent="0.2">
      <c r="A84" t="s">
        <v>217</v>
      </c>
      <c r="B84" t="s">
        <v>218</v>
      </c>
      <c r="C84" t="s">
        <v>219</v>
      </c>
      <c r="D84" t="s">
        <v>5</v>
      </c>
      <c r="E84">
        <v>0</v>
      </c>
      <c r="F84">
        <v>0</v>
      </c>
      <c r="G84">
        <v>1</v>
      </c>
      <c r="H84">
        <v>0</v>
      </c>
      <c r="I84" t="s">
        <v>15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4.7</v>
      </c>
      <c r="AE84">
        <v>326</v>
      </c>
      <c r="AF84">
        <v>14.047619047619049</v>
      </c>
      <c r="AG84">
        <v>0</v>
      </c>
      <c r="AH84">
        <f>6.11998744214285*1</f>
        <v>6.1199874421428504</v>
      </c>
      <c r="AI84">
        <v>1</v>
      </c>
      <c r="AJ84">
        <v>0</v>
      </c>
    </row>
    <row r="85" spans="1:36" hidden="1" x14ac:dyDescent="0.2">
      <c r="A85" t="s">
        <v>220</v>
      </c>
      <c r="B85" t="s">
        <v>221</v>
      </c>
      <c r="C85" t="s">
        <v>221</v>
      </c>
      <c r="D85" t="s">
        <v>6</v>
      </c>
      <c r="E85">
        <v>0</v>
      </c>
      <c r="F85">
        <v>0</v>
      </c>
      <c r="G85">
        <v>0</v>
      </c>
      <c r="H85">
        <v>1</v>
      </c>
      <c r="I85" t="s">
        <v>15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5.0999999999999996</v>
      </c>
      <c r="AE85">
        <v>327</v>
      </c>
      <c r="AF85">
        <v>20.556335697683782</v>
      </c>
      <c r="AG85">
        <v>0</v>
      </c>
      <c r="AH85">
        <f>9.22285289411544*1</f>
        <v>9.2228528941154408</v>
      </c>
      <c r="AI85">
        <v>1</v>
      </c>
      <c r="AJ85">
        <v>0</v>
      </c>
    </row>
    <row r="86" spans="1:36" hidden="1" x14ac:dyDescent="0.2">
      <c r="A86" t="s">
        <v>222</v>
      </c>
      <c r="B86" t="s">
        <v>223</v>
      </c>
      <c r="C86" t="s">
        <v>223</v>
      </c>
      <c r="D86" t="s">
        <v>4</v>
      </c>
      <c r="E86">
        <v>0</v>
      </c>
      <c r="F86">
        <v>1</v>
      </c>
      <c r="G86">
        <v>0</v>
      </c>
      <c r="H86">
        <v>0</v>
      </c>
      <c r="I86" t="s">
        <v>15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4.5</v>
      </c>
      <c r="AE86">
        <v>329</v>
      </c>
      <c r="AF86">
        <v>8.7003593276279556</v>
      </c>
      <c r="AG86">
        <v>0</v>
      </c>
      <c r="AH86">
        <f>2.65974881977704*1</f>
        <v>2.65974881977704</v>
      </c>
      <c r="AI86">
        <v>1</v>
      </c>
      <c r="AJ86">
        <v>0</v>
      </c>
    </row>
    <row r="87" spans="1:36" hidden="1" x14ac:dyDescent="0.2">
      <c r="A87" t="s">
        <v>224</v>
      </c>
      <c r="B87" t="s">
        <v>225</v>
      </c>
      <c r="C87" t="s">
        <v>225</v>
      </c>
      <c r="D87" t="s">
        <v>5</v>
      </c>
      <c r="E87">
        <v>0</v>
      </c>
      <c r="F87">
        <v>0</v>
      </c>
      <c r="G87">
        <v>1</v>
      </c>
      <c r="H87">
        <v>0</v>
      </c>
      <c r="I87" t="s">
        <v>15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4.8</v>
      </c>
      <c r="AE87">
        <v>335</v>
      </c>
      <c r="AF87">
        <v>12.84090909090909</v>
      </c>
      <c r="AG87">
        <v>0</v>
      </c>
      <c r="AH87">
        <f>5.59427203397727*1</f>
        <v>5.59427203397727</v>
      </c>
      <c r="AI87">
        <v>1</v>
      </c>
      <c r="AJ87">
        <v>0</v>
      </c>
    </row>
    <row r="88" spans="1:36" hidden="1" x14ac:dyDescent="0.2">
      <c r="A88" t="s">
        <v>226</v>
      </c>
      <c r="B88" t="s">
        <v>227</v>
      </c>
      <c r="C88" t="s">
        <v>227</v>
      </c>
      <c r="D88" t="s">
        <v>4</v>
      </c>
      <c r="E88">
        <v>0</v>
      </c>
      <c r="F88">
        <v>1</v>
      </c>
      <c r="G88">
        <v>0</v>
      </c>
      <c r="H88">
        <v>0</v>
      </c>
      <c r="I88" t="s">
        <v>16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1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4.4000000000000004</v>
      </c>
      <c r="AE88">
        <v>353</v>
      </c>
      <c r="AF88">
        <v>11.487804878048779</v>
      </c>
      <c r="AG88">
        <v>10.56407824954581</v>
      </c>
      <c r="AH88">
        <f>4.29834484941367*1</f>
        <v>4.2983448494136702</v>
      </c>
      <c r="AI88">
        <v>1</v>
      </c>
      <c r="AJ88">
        <v>0</v>
      </c>
    </row>
    <row r="89" spans="1:36" hidden="1" x14ac:dyDescent="0.2">
      <c r="A89" t="s">
        <v>112</v>
      </c>
      <c r="B89" t="s">
        <v>228</v>
      </c>
      <c r="C89" t="s">
        <v>228</v>
      </c>
      <c r="D89" t="s">
        <v>6</v>
      </c>
      <c r="E89">
        <v>0</v>
      </c>
      <c r="F89">
        <v>0</v>
      </c>
      <c r="G89">
        <v>0</v>
      </c>
      <c r="H89">
        <v>1</v>
      </c>
      <c r="I89" t="s">
        <v>16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5.8</v>
      </c>
      <c r="AE89">
        <v>354</v>
      </c>
      <c r="AF89">
        <v>24.868770375388291</v>
      </c>
      <c r="AG89">
        <v>21.941717375296211</v>
      </c>
      <c r="AH89">
        <f>7.51497186008314*1</f>
        <v>7.5149718600831399</v>
      </c>
      <c r="AI89">
        <v>1</v>
      </c>
      <c r="AJ89">
        <v>0</v>
      </c>
    </row>
    <row r="90" spans="1:36" hidden="1" x14ac:dyDescent="0.2">
      <c r="A90" t="s">
        <v>229</v>
      </c>
      <c r="B90" t="s">
        <v>230</v>
      </c>
      <c r="C90" t="s">
        <v>231</v>
      </c>
      <c r="D90" t="s">
        <v>5</v>
      </c>
      <c r="E90">
        <v>0</v>
      </c>
      <c r="F90">
        <v>0</v>
      </c>
      <c r="G90">
        <v>1</v>
      </c>
      <c r="H90">
        <v>0</v>
      </c>
      <c r="I90" t="s">
        <v>16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5.5</v>
      </c>
      <c r="AE90">
        <v>357</v>
      </c>
      <c r="AF90">
        <v>14.706124031952021</v>
      </c>
      <c r="AG90">
        <v>14.28567244197404</v>
      </c>
      <c r="AH90">
        <f>5.0460517099106*1</f>
        <v>5.0460517099105999</v>
      </c>
      <c r="AI90">
        <v>1</v>
      </c>
      <c r="AJ90">
        <v>0</v>
      </c>
    </row>
    <row r="91" spans="1:36" hidden="1" x14ac:dyDescent="0.2">
      <c r="A91" t="s">
        <v>232</v>
      </c>
      <c r="B91" t="s">
        <v>233</v>
      </c>
      <c r="C91" t="s">
        <v>233</v>
      </c>
      <c r="D91" t="s">
        <v>5</v>
      </c>
      <c r="E91">
        <v>0</v>
      </c>
      <c r="F91">
        <v>0</v>
      </c>
      <c r="G91">
        <v>1</v>
      </c>
      <c r="H91">
        <v>0</v>
      </c>
      <c r="I91" t="s">
        <v>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4.9000000000000004</v>
      </c>
      <c r="AE91">
        <v>358</v>
      </c>
      <c r="AF91">
        <v>11.18423273315922</v>
      </c>
      <c r="AG91">
        <v>13.0688027586482</v>
      </c>
      <c r="AH91">
        <f>3.74340006584589*1</f>
        <v>3.7434000658458899</v>
      </c>
      <c r="AI91">
        <v>1</v>
      </c>
      <c r="AJ91">
        <v>0</v>
      </c>
    </row>
    <row r="92" spans="1:36" hidden="1" x14ac:dyDescent="0.2">
      <c r="A92" t="s">
        <v>234</v>
      </c>
      <c r="B92" t="s">
        <v>235</v>
      </c>
      <c r="C92" t="s">
        <v>235</v>
      </c>
      <c r="D92" t="s">
        <v>5</v>
      </c>
      <c r="E92">
        <v>0</v>
      </c>
      <c r="F92">
        <v>0</v>
      </c>
      <c r="G92">
        <v>1</v>
      </c>
      <c r="H92">
        <v>0</v>
      </c>
      <c r="I92" t="s">
        <v>16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5.4</v>
      </c>
      <c r="AE92">
        <v>364</v>
      </c>
      <c r="AF92">
        <v>16.863905325443781</v>
      </c>
      <c r="AG92">
        <v>15.60054021341762</v>
      </c>
      <c r="AH92">
        <f>6.12683902240872*1</f>
        <v>6.1268390224087197</v>
      </c>
      <c r="AI92">
        <v>1</v>
      </c>
      <c r="AJ92">
        <v>0</v>
      </c>
    </row>
    <row r="93" spans="1:36" hidden="1" x14ac:dyDescent="0.2">
      <c r="A93" t="s">
        <v>236</v>
      </c>
      <c r="B93" t="s">
        <v>237</v>
      </c>
      <c r="C93" t="s">
        <v>237</v>
      </c>
      <c r="D93" t="s">
        <v>4</v>
      </c>
      <c r="E93">
        <v>0</v>
      </c>
      <c r="F93">
        <v>1</v>
      </c>
      <c r="G93">
        <v>0</v>
      </c>
      <c r="H93">
        <v>0</v>
      </c>
      <c r="I93" t="s">
        <v>16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4.5999999999999996</v>
      </c>
      <c r="AE93">
        <v>365</v>
      </c>
      <c r="AF93">
        <v>11.502074064851829</v>
      </c>
      <c r="AG93">
        <v>11.43986790798122</v>
      </c>
      <c r="AH93">
        <f>4.28290141022742*1</f>
        <v>4.2829014102274199</v>
      </c>
      <c r="AI93">
        <v>1</v>
      </c>
      <c r="AJ93">
        <v>0</v>
      </c>
    </row>
    <row r="94" spans="1:36" hidden="1" x14ac:dyDescent="0.2">
      <c r="A94" t="s">
        <v>238</v>
      </c>
      <c r="B94" t="s">
        <v>239</v>
      </c>
      <c r="C94" t="s">
        <v>239</v>
      </c>
      <c r="D94" t="s">
        <v>5</v>
      </c>
      <c r="E94">
        <v>0</v>
      </c>
      <c r="F94">
        <v>0</v>
      </c>
      <c r="G94">
        <v>1</v>
      </c>
      <c r="H94">
        <v>0</v>
      </c>
      <c r="I94" t="s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4.7</v>
      </c>
      <c r="AE94">
        <v>366</v>
      </c>
      <c r="AF94">
        <v>13.973129499184219</v>
      </c>
      <c r="AG94">
        <v>14.40929848399451</v>
      </c>
      <c r="AH94">
        <f>6.48155645729621*1</f>
        <v>6.4815564572962101</v>
      </c>
      <c r="AI94">
        <v>1</v>
      </c>
      <c r="AJ94">
        <v>0</v>
      </c>
    </row>
    <row r="95" spans="1:36" hidden="1" x14ac:dyDescent="0.2">
      <c r="A95" t="s">
        <v>208</v>
      </c>
      <c r="B95" t="s">
        <v>240</v>
      </c>
      <c r="C95" t="s">
        <v>240</v>
      </c>
      <c r="D95" t="s">
        <v>3</v>
      </c>
      <c r="E95">
        <v>1</v>
      </c>
      <c r="F95">
        <v>0</v>
      </c>
      <c r="G95">
        <v>0</v>
      </c>
      <c r="H95">
        <v>0</v>
      </c>
      <c r="I95" t="s">
        <v>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4.8</v>
      </c>
      <c r="AE95">
        <v>368</v>
      </c>
      <c r="AF95">
        <v>7.2444264850323767</v>
      </c>
      <c r="AG95">
        <v>9.0623363017548577</v>
      </c>
      <c r="AH95">
        <f>3.48651120177184*1</f>
        <v>3.4865112017718398</v>
      </c>
      <c r="AI95">
        <v>1</v>
      </c>
      <c r="AJ95">
        <v>0</v>
      </c>
    </row>
    <row r="96" spans="1:36" hidden="1" x14ac:dyDescent="0.2">
      <c r="A96" t="s">
        <v>232</v>
      </c>
      <c r="B96" t="s">
        <v>241</v>
      </c>
      <c r="C96" t="s">
        <v>241</v>
      </c>
      <c r="D96" t="s">
        <v>4</v>
      </c>
      <c r="E96">
        <v>0</v>
      </c>
      <c r="F96">
        <v>1</v>
      </c>
      <c r="G96">
        <v>0</v>
      </c>
      <c r="H96">
        <v>0</v>
      </c>
      <c r="I96" t="s">
        <v>16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1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4.5999999999999996</v>
      </c>
      <c r="AE96">
        <v>370</v>
      </c>
      <c r="AF96">
        <v>12.634294533722271</v>
      </c>
      <c r="AG96">
        <v>11.98456958542044</v>
      </c>
      <c r="AH96">
        <f>4.9450863032095*1</f>
        <v>4.9450863032095</v>
      </c>
      <c r="AI96">
        <v>1</v>
      </c>
      <c r="AJ96">
        <v>0</v>
      </c>
    </row>
    <row r="97" spans="1:36" hidden="1" x14ac:dyDescent="0.2">
      <c r="A97" t="s">
        <v>242</v>
      </c>
      <c r="B97" t="s">
        <v>243</v>
      </c>
      <c r="C97" t="s">
        <v>243</v>
      </c>
      <c r="D97" t="s">
        <v>4</v>
      </c>
      <c r="E97">
        <v>0</v>
      </c>
      <c r="F97">
        <v>1</v>
      </c>
      <c r="G97">
        <v>0</v>
      </c>
      <c r="H97">
        <v>0</v>
      </c>
      <c r="I97" t="s">
        <v>16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4.4000000000000004</v>
      </c>
      <c r="AE97">
        <v>373</v>
      </c>
      <c r="AF97">
        <v>9.6666666666666643</v>
      </c>
      <c r="AG97">
        <v>9.0699500288602586</v>
      </c>
      <c r="AH97">
        <f>3.81799792015394*1</f>
        <v>3.8179979201539398</v>
      </c>
      <c r="AI97">
        <v>1</v>
      </c>
      <c r="AJ97">
        <v>0</v>
      </c>
    </row>
    <row r="98" spans="1:36" hidden="1" x14ac:dyDescent="0.2">
      <c r="A98" t="s">
        <v>244</v>
      </c>
      <c r="B98" t="s">
        <v>245</v>
      </c>
      <c r="C98" t="s">
        <v>245</v>
      </c>
      <c r="D98" t="s">
        <v>5</v>
      </c>
      <c r="E98">
        <v>0</v>
      </c>
      <c r="F98">
        <v>0</v>
      </c>
      <c r="G98">
        <v>1</v>
      </c>
      <c r="H98">
        <v>0</v>
      </c>
      <c r="I98" t="s">
        <v>16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5.5</v>
      </c>
      <c r="AE98">
        <v>379</v>
      </c>
      <c r="AF98">
        <v>18.46875</v>
      </c>
      <c r="AG98">
        <v>20.390686983238218</v>
      </c>
      <c r="AH98">
        <f>7.00792533989688*1</f>
        <v>7.0079253398968797</v>
      </c>
      <c r="AI98">
        <v>1</v>
      </c>
      <c r="AJ98">
        <v>0</v>
      </c>
    </row>
    <row r="99" spans="1:36" hidden="1" x14ac:dyDescent="0.2">
      <c r="A99" t="s">
        <v>246</v>
      </c>
      <c r="B99" t="s">
        <v>247</v>
      </c>
      <c r="C99" t="s">
        <v>248</v>
      </c>
      <c r="D99" t="s">
        <v>6</v>
      </c>
      <c r="E99">
        <v>0</v>
      </c>
      <c r="F99">
        <v>0</v>
      </c>
      <c r="G99">
        <v>0</v>
      </c>
      <c r="H99">
        <v>1</v>
      </c>
      <c r="I99" t="s">
        <v>16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5.7</v>
      </c>
      <c r="AE99">
        <v>380</v>
      </c>
      <c r="AF99">
        <v>16.045696740267442</v>
      </c>
      <c r="AG99">
        <v>10.040107277013449</v>
      </c>
      <c r="AH99">
        <f>3.70318812410922*1</f>
        <v>3.7031881241092202</v>
      </c>
      <c r="AI99">
        <v>1</v>
      </c>
      <c r="AJ99">
        <v>0</v>
      </c>
    </row>
    <row r="100" spans="1:36" hidden="1" x14ac:dyDescent="0.2">
      <c r="A100" t="s">
        <v>249</v>
      </c>
      <c r="B100" t="s">
        <v>250</v>
      </c>
      <c r="C100" t="s">
        <v>250</v>
      </c>
      <c r="D100" t="s">
        <v>5</v>
      </c>
      <c r="E100">
        <v>0</v>
      </c>
      <c r="F100">
        <v>0</v>
      </c>
      <c r="G100">
        <v>1</v>
      </c>
      <c r="H100">
        <v>0</v>
      </c>
      <c r="I100" t="s">
        <v>17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5.3</v>
      </c>
      <c r="AE100">
        <v>386</v>
      </c>
      <c r="AF100">
        <v>0</v>
      </c>
      <c r="AG100">
        <v>12.85122382688462</v>
      </c>
      <c r="AH100">
        <f>5.50485670937673*1</f>
        <v>5.50485670937673</v>
      </c>
      <c r="AI100">
        <v>1</v>
      </c>
      <c r="AJ100">
        <v>0</v>
      </c>
    </row>
    <row r="101" spans="1:36" hidden="1" x14ac:dyDescent="0.2">
      <c r="A101" t="s">
        <v>251</v>
      </c>
      <c r="B101" t="s">
        <v>252</v>
      </c>
      <c r="C101" t="s">
        <v>251</v>
      </c>
      <c r="D101" t="s">
        <v>5</v>
      </c>
      <c r="E101">
        <v>0</v>
      </c>
      <c r="F101">
        <v>0</v>
      </c>
      <c r="G101">
        <v>1</v>
      </c>
      <c r="H101">
        <v>0</v>
      </c>
      <c r="I101" t="s">
        <v>17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5.3</v>
      </c>
      <c r="AE101">
        <v>387</v>
      </c>
      <c r="AF101">
        <v>0</v>
      </c>
      <c r="AG101">
        <v>17.870231521005671</v>
      </c>
      <c r="AH101">
        <f>7.00235951605559*1</f>
        <v>7.0023595160555896</v>
      </c>
      <c r="AI101">
        <v>1</v>
      </c>
      <c r="AJ101">
        <v>0</v>
      </c>
    </row>
    <row r="102" spans="1:36" hidden="1" x14ac:dyDescent="0.2">
      <c r="A102" t="s">
        <v>253</v>
      </c>
      <c r="B102" t="s">
        <v>254</v>
      </c>
      <c r="C102" t="s">
        <v>254</v>
      </c>
      <c r="D102" t="s">
        <v>5</v>
      </c>
      <c r="E102">
        <v>0</v>
      </c>
      <c r="F102">
        <v>0</v>
      </c>
      <c r="G102">
        <v>1</v>
      </c>
      <c r="H102">
        <v>0</v>
      </c>
      <c r="I102" t="s">
        <v>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4.9000000000000004</v>
      </c>
      <c r="AE102">
        <v>388</v>
      </c>
      <c r="AF102">
        <v>0</v>
      </c>
      <c r="AG102">
        <v>11.165490080885309</v>
      </c>
      <c r="AH102">
        <f>3.96523625596553*1</f>
        <v>3.9652362559655301</v>
      </c>
      <c r="AI102">
        <v>1</v>
      </c>
      <c r="AJ102">
        <v>0</v>
      </c>
    </row>
    <row r="103" spans="1:36" hidden="1" x14ac:dyDescent="0.2">
      <c r="A103" t="s">
        <v>255</v>
      </c>
      <c r="B103" t="s">
        <v>256</v>
      </c>
      <c r="C103" t="s">
        <v>256</v>
      </c>
      <c r="D103" t="s">
        <v>5</v>
      </c>
      <c r="E103">
        <v>0</v>
      </c>
      <c r="F103">
        <v>0</v>
      </c>
      <c r="G103">
        <v>1</v>
      </c>
      <c r="H103">
        <v>0</v>
      </c>
      <c r="I103" t="s">
        <v>17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5.2</v>
      </c>
      <c r="AE103">
        <v>390</v>
      </c>
      <c r="AF103">
        <v>0</v>
      </c>
      <c r="AG103">
        <v>10.703186290088951</v>
      </c>
      <c r="AH103">
        <f>4.35230593540964*1</f>
        <v>4.3523059354096398</v>
      </c>
      <c r="AI103">
        <v>1</v>
      </c>
      <c r="AJ103">
        <v>0</v>
      </c>
    </row>
    <row r="104" spans="1:36" x14ac:dyDescent="0.2">
      <c r="A104" t="s">
        <v>54</v>
      </c>
      <c r="B104" t="s">
        <v>55</v>
      </c>
      <c r="C104" s="1" t="s">
        <v>55</v>
      </c>
      <c r="D104" t="s">
        <v>4</v>
      </c>
      <c r="E104">
        <v>0</v>
      </c>
      <c r="F104">
        <v>1</v>
      </c>
      <c r="G104">
        <v>0</v>
      </c>
      <c r="H104">
        <v>0</v>
      </c>
      <c r="I104" t="s">
        <v>8</v>
      </c>
      <c r="J104">
        <v>1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5.9</v>
      </c>
      <c r="AE104">
        <v>18</v>
      </c>
      <c r="AF104">
        <v>15.0015148877155</v>
      </c>
      <c r="AG104">
        <v>0</v>
      </c>
      <c r="AH104">
        <f>7.07908009339769*1</f>
        <v>7.0790800933976898</v>
      </c>
      <c r="AI104">
        <v>1</v>
      </c>
      <c r="AJ104">
        <v>1</v>
      </c>
    </row>
    <row r="105" spans="1:36" hidden="1" x14ac:dyDescent="0.2">
      <c r="A105" t="s">
        <v>259</v>
      </c>
      <c r="B105" t="s">
        <v>260</v>
      </c>
      <c r="C105" t="s">
        <v>261</v>
      </c>
      <c r="D105" t="s">
        <v>5</v>
      </c>
      <c r="E105">
        <v>0</v>
      </c>
      <c r="F105">
        <v>0</v>
      </c>
      <c r="G105">
        <v>1</v>
      </c>
      <c r="H105">
        <v>0</v>
      </c>
      <c r="I105" t="s">
        <v>17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5</v>
      </c>
      <c r="AE105">
        <v>400</v>
      </c>
      <c r="AF105">
        <v>0</v>
      </c>
      <c r="AG105">
        <v>12.0582308269737</v>
      </c>
      <c r="AH105">
        <f>4.43298219077528*1</f>
        <v>4.43298219077528</v>
      </c>
      <c r="AI105">
        <v>1</v>
      </c>
      <c r="AJ105">
        <v>0</v>
      </c>
    </row>
    <row r="106" spans="1:36" hidden="1" x14ac:dyDescent="0.2">
      <c r="A106" t="s">
        <v>262</v>
      </c>
      <c r="B106" t="s">
        <v>263</v>
      </c>
      <c r="C106" t="s">
        <v>263</v>
      </c>
      <c r="D106" t="s">
        <v>4</v>
      </c>
      <c r="E106">
        <v>0</v>
      </c>
      <c r="F106">
        <v>1</v>
      </c>
      <c r="G106">
        <v>0</v>
      </c>
      <c r="H106">
        <v>0</v>
      </c>
      <c r="I106" t="s">
        <v>17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4.5999999999999996</v>
      </c>
      <c r="AE106">
        <v>403</v>
      </c>
      <c r="AF106">
        <v>0</v>
      </c>
      <c r="AG106">
        <v>8.6668126911594037</v>
      </c>
      <c r="AH106">
        <f>3.91657434413529*1</f>
        <v>3.9165743441352898</v>
      </c>
      <c r="AI106">
        <v>1</v>
      </c>
      <c r="AJ106">
        <v>0</v>
      </c>
    </row>
    <row r="107" spans="1:36" hidden="1" x14ac:dyDescent="0.2">
      <c r="A107" t="s">
        <v>264</v>
      </c>
      <c r="B107" t="s">
        <v>265</v>
      </c>
      <c r="C107" t="s">
        <v>264</v>
      </c>
      <c r="D107" t="s">
        <v>5</v>
      </c>
      <c r="E107">
        <v>0</v>
      </c>
      <c r="F107">
        <v>0</v>
      </c>
      <c r="G107">
        <v>1</v>
      </c>
      <c r="H107">
        <v>0</v>
      </c>
      <c r="I107" t="s">
        <v>17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5.3</v>
      </c>
      <c r="AE107">
        <v>410</v>
      </c>
      <c r="AF107">
        <v>0</v>
      </c>
      <c r="AG107">
        <v>21.549900457354742</v>
      </c>
      <c r="AH107">
        <f>7.61375834717657*1</f>
        <v>7.61375834717657</v>
      </c>
      <c r="AI107">
        <v>1</v>
      </c>
      <c r="AJ107">
        <v>0</v>
      </c>
    </row>
    <row r="108" spans="1:36" hidden="1" x14ac:dyDescent="0.2">
      <c r="A108" t="s">
        <v>266</v>
      </c>
      <c r="B108" t="s">
        <v>267</v>
      </c>
      <c r="C108" t="s">
        <v>267</v>
      </c>
      <c r="D108" t="s">
        <v>4</v>
      </c>
      <c r="E108">
        <v>0</v>
      </c>
      <c r="F108">
        <v>1</v>
      </c>
      <c r="G108">
        <v>0</v>
      </c>
      <c r="H108">
        <v>0</v>
      </c>
      <c r="I108" t="s">
        <v>17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4.4000000000000004</v>
      </c>
      <c r="AE108">
        <v>411</v>
      </c>
      <c r="AF108">
        <v>0</v>
      </c>
      <c r="AG108">
        <v>7.8388303307291904</v>
      </c>
      <c r="AH108">
        <f>2.94181103380383*1</f>
        <v>2.9418110338038299</v>
      </c>
      <c r="AI108">
        <v>1</v>
      </c>
      <c r="AJ108">
        <v>0</v>
      </c>
    </row>
    <row r="109" spans="1:36" hidden="1" x14ac:dyDescent="0.2">
      <c r="A109" t="s">
        <v>268</v>
      </c>
      <c r="B109" t="s">
        <v>269</v>
      </c>
      <c r="C109" t="s">
        <v>269</v>
      </c>
      <c r="D109" t="s">
        <v>4</v>
      </c>
      <c r="E109">
        <v>0</v>
      </c>
      <c r="F109">
        <v>1</v>
      </c>
      <c r="G109">
        <v>0</v>
      </c>
      <c r="H109">
        <v>0</v>
      </c>
      <c r="I109" t="s">
        <v>17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4.5</v>
      </c>
      <c r="AE109">
        <v>417</v>
      </c>
      <c r="AF109">
        <v>0</v>
      </c>
      <c r="AG109">
        <v>9.315847175945331</v>
      </c>
      <c r="AH109">
        <f>3.83720708032721*1</f>
        <v>3.83720708032721</v>
      </c>
      <c r="AI109">
        <v>1</v>
      </c>
      <c r="AJ109">
        <v>0</v>
      </c>
    </row>
    <row r="110" spans="1:36" hidden="1" x14ac:dyDescent="0.2">
      <c r="A110" t="s">
        <v>270</v>
      </c>
      <c r="B110" t="s">
        <v>271</v>
      </c>
      <c r="C110" t="s">
        <v>271</v>
      </c>
      <c r="D110" t="s">
        <v>4</v>
      </c>
      <c r="E110">
        <v>0</v>
      </c>
      <c r="F110">
        <v>1</v>
      </c>
      <c r="G110">
        <v>0</v>
      </c>
      <c r="H110">
        <v>0</v>
      </c>
      <c r="I110" t="s">
        <v>18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8.4</v>
      </c>
      <c r="AE110">
        <v>424</v>
      </c>
      <c r="AF110">
        <v>18.940742332395331</v>
      </c>
      <c r="AG110">
        <v>20.23588606588806</v>
      </c>
      <c r="AH110">
        <f>5.05354946966831*1</f>
        <v>5.0535494696683099</v>
      </c>
      <c r="AI110">
        <v>1</v>
      </c>
      <c r="AJ110">
        <v>0</v>
      </c>
    </row>
    <row r="111" spans="1:36" hidden="1" x14ac:dyDescent="0.2">
      <c r="A111" t="s">
        <v>272</v>
      </c>
      <c r="B111" t="s">
        <v>273</v>
      </c>
      <c r="C111" t="s">
        <v>274</v>
      </c>
      <c r="D111" t="s">
        <v>3</v>
      </c>
      <c r="E111">
        <v>1</v>
      </c>
      <c r="F111">
        <v>0</v>
      </c>
      <c r="G111">
        <v>0</v>
      </c>
      <c r="H111">
        <v>0</v>
      </c>
      <c r="I111" t="s">
        <v>18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5.7</v>
      </c>
      <c r="AE111">
        <v>425</v>
      </c>
      <c r="AF111">
        <v>12.790866561175831</v>
      </c>
      <c r="AG111">
        <v>12.31539480431903</v>
      </c>
      <c r="AH111">
        <f>3.31554423742754*1</f>
        <v>3.3155442374275399</v>
      </c>
      <c r="AI111">
        <v>1</v>
      </c>
      <c r="AJ111">
        <v>0</v>
      </c>
    </row>
    <row r="112" spans="1:36" hidden="1" x14ac:dyDescent="0.2">
      <c r="A112" t="s">
        <v>275</v>
      </c>
      <c r="B112" t="s">
        <v>276</v>
      </c>
      <c r="C112" t="s">
        <v>275</v>
      </c>
      <c r="D112" t="s">
        <v>6</v>
      </c>
      <c r="E112">
        <v>0</v>
      </c>
      <c r="F112">
        <v>0</v>
      </c>
      <c r="G112">
        <v>0</v>
      </c>
      <c r="H112">
        <v>1</v>
      </c>
      <c r="I112" t="s">
        <v>18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7.6</v>
      </c>
      <c r="AE112">
        <v>427</v>
      </c>
      <c r="AF112">
        <v>30.711864406779661</v>
      </c>
      <c r="AG112">
        <v>22.06441422922628</v>
      </c>
      <c r="AH112">
        <f>5.98440968832573*1</f>
        <v>5.9844096883257301</v>
      </c>
      <c r="AI112">
        <v>1</v>
      </c>
      <c r="AJ112">
        <v>0</v>
      </c>
    </row>
    <row r="113" spans="1:36" hidden="1" x14ac:dyDescent="0.2">
      <c r="A113" t="s">
        <v>277</v>
      </c>
      <c r="B113" t="s">
        <v>278</v>
      </c>
      <c r="C113" t="s">
        <v>278</v>
      </c>
      <c r="D113" t="s">
        <v>5</v>
      </c>
      <c r="E113">
        <v>0</v>
      </c>
      <c r="F113">
        <v>0</v>
      </c>
      <c r="G113">
        <v>1</v>
      </c>
      <c r="H113">
        <v>0</v>
      </c>
      <c r="I113" t="s">
        <v>18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4.8</v>
      </c>
      <c r="AE113">
        <v>429</v>
      </c>
      <c r="AF113">
        <v>12.761786343073011</v>
      </c>
      <c r="AG113">
        <v>10.088987473895081</v>
      </c>
      <c r="AH113">
        <f>2.78648614868455*1</f>
        <v>2.78648614868455</v>
      </c>
      <c r="AI113">
        <v>1</v>
      </c>
      <c r="AJ113">
        <v>0</v>
      </c>
    </row>
    <row r="114" spans="1:36" hidden="1" x14ac:dyDescent="0.2">
      <c r="A114" t="s">
        <v>279</v>
      </c>
      <c r="B114" t="s">
        <v>280</v>
      </c>
      <c r="C114" t="s">
        <v>280</v>
      </c>
      <c r="D114" t="s">
        <v>6</v>
      </c>
      <c r="E114">
        <v>0</v>
      </c>
      <c r="F114">
        <v>0</v>
      </c>
      <c r="G114">
        <v>0</v>
      </c>
      <c r="H114">
        <v>1</v>
      </c>
      <c r="I114" t="s">
        <v>18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7.1</v>
      </c>
      <c r="AE114">
        <v>431</v>
      </c>
      <c r="AF114">
        <v>20.278204228614111</v>
      </c>
      <c r="AG114">
        <v>19.393597744611832</v>
      </c>
      <c r="AH114">
        <f>5.98870904071148*1</f>
        <v>5.9887090407114796</v>
      </c>
      <c r="AI114">
        <v>1</v>
      </c>
      <c r="AJ114">
        <v>0</v>
      </c>
    </row>
    <row r="115" spans="1:36" hidden="1" x14ac:dyDescent="0.2">
      <c r="A115" t="s">
        <v>281</v>
      </c>
      <c r="B115" t="s">
        <v>282</v>
      </c>
      <c r="C115" t="s">
        <v>282</v>
      </c>
      <c r="D115" t="s">
        <v>4</v>
      </c>
      <c r="E115">
        <v>0</v>
      </c>
      <c r="F115">
        <v>1</v>
      </c>
      <c r="G115">
        <v>0</v>
      </c>
      <c r="H115">
        <v>0</v>
      </c>
      <c r="I115" t="s">
        <v>18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4.5999999999999996</v>
      </c>
      <c r="AE115">
        <v>432</v>
      </c>
      <c r="AF115">
        <v>11.92285124095007</v>
      </c>
      <c r="AG115">
        <v>9.5902675562596436</v>
      </c>
      <c r="AH115">
        <f>3.52306121712784*1</f>
        <v>3.5230612171278399</v>
      </c>
      <c r="AI115">
        <v>1</v>
      </c>
      <c r="AJ115">
        <v>0</v>
      </c>
    </row>
    <row r="116" spans="1:36" hidden="1" x14ac:dyDescent="0.2">
      <c r="A116" t="s">
        <v>283</v>
      </c>
      <c r="B116" t="s">
        <v>284</v>
      </c>
      <c r="C116" t="s">
        <v>285</v>
      </c>
      <c r="D116" t="s">
        <v>5</v>
      </c>
      <c r="E116">
        <v>0</v>
      </c>
      <c r="F116">
        <v>0</v>
      </c>
      <c r="G116">
        <v>1</v>
      </c>
      <c r="H116">
        <v>0</v>
      </c>
      <c r="I116" t="s">
        <v>18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7.7</v>
      </c>
      <c r="AE116">
        <v>437</v>
      </c>
      <c r="AF116">
        <v>23.771091939781069</v>
      </c>
      <c r="AG116">
        <v>13.47552432921718</v>
      </c>
      <c r="AH116">
        <f>4.07040005624591*1</f>
        <v>4.0704000562459104</v>
      </c>
      <c r="AI116">
        <v>1</v>
      </c>
      <c r="AJ116">
        <v>0</v>
      </c>
    </row>
    <row r="117" spans="1:36" hidden="1" x14ac:dyDescent="0.2">
      <c r="A117" t="s">
        <v>286</v>
      </c>
      <c r="B117" t="s">
        <v>287</v>
      </c>
      <c r="C117" t="s">
        <v>287</v>
      </c>
      <c r="D117" t="s">
        <v>5</v>
      </c>
      <c r="E117">
        <v>0</v>
      </c>
      <c r="F117">
        <v>0</v>
      </c>
      <c r="G117">
        <v>1</v>
      </c>
      <c r="H117">
        <v>0</v>
      </c>
      <c r="I117" t="s">
        <v>18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5.9</v>
      </c>
      <c r="AE117">
        <v>438</v>
      </c>
      <c r="AF117">
        <v>17.747259384267331</v>
      </c>
      <c r="AG117">
        <v>16.90976878435935</v>
      </c>
      <c r="AH117">
        <f>4.2546548586129*1</f>
        <v>4.2546548586129003</v>
      </c>
      <c r="AI117">
        <v>1</v>
      </c>
      <c r="AJ117">
        <v>0</v>
      </c>
    </row>
    <row r="118" spans="1:36" hidden="1" x14ac:dyDescent="0.2">
      <c r="A118" t="s">
        <v>288</v>
      </c>
      <c r="B118" t="s">
        <v>289</v>
      </c>
      <c r="C118" t="s">
        <v>289</v>
      </c>
      <c r="D118" t="s">
        <v>5</v>
      </c>
      <c r="E118">
        <v>0</v>
      </c>
      <c r="F118">
        <v>0</v>
      </c>
      <c r="G118">
        <v>1</v>
      </c>
      <c r="H118">
        <v>0</v>
      </c>
      <c r="I118" t="s">
        <v>18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13.5</v>
      </c>
      <c r="AE118">
        <v>442</v>
      </c>
      <c r="AF118">
        <v>43.757591778401498</v>
      </c>
      <c r="AG118">
        <v>40.854095094207437</v>
      </c>
      <c r="AH118">
        <f>11.909144313614*1</f>
        <v>11.909144313614</v>
      </c>
      <c r="AI118">
        <v>1</v>
      </c>
      <c r="AJ118">
        <v>0</v>
      </c>
    </row>
    <row r="119" spans="1:36" hidden="1" x14ac:dyDescent="0.2">
      <c r="A119" t="s">
        <v>290</v>
      </c>
      <c r="B119" t="s">
        <v>291</v>
      </c>
      <c r="C119" t="s">
        <v>291</v>
      </c>
      <c r="D119" t="s">
        <v>5</v>
      </c>
      <c r="E119">
        <v>0</v>
      </c>
      <c r="F119">
        <v>0</v>
      </c>
      <c r="G119">
        <v>1</v>
      </c>
      <c r="H119">
        <v>0</v>
      </c>
      <c r="I119" t="s">
        <v>18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7.1</v>
      </c>
      <c r="AE119">
        <v>443</v>
      </c>
      <c r="AF119">
        <v>21.41379310344827</v>
      </c>
      <c r="AG119">
        <v>15.80138901128433</v>
      </c>
      <c r="AH119">
        <f>3.84710139718809*1</f>
        <v>3.8471013971880899</v>
      </c>
      <c r="AI119">
        <v>1</v>
      </c>
      <c r="AJ119">
        <v>0</v>
      </c>
    </row>
    <row r="120" spans="1:36" hidden="1" x14ac:dyDescent="0.2">
      <c r="A120" t="s">
        <v>292</v>
      </c>
      <c r="B120" t="s">
        <v>293</v>
      </c>
      <c r="C120" t="s">
        <v>292</v>
      </c>
      <c r="D120" t="s">
        <v>4</v>
      </c>
      <c r="E120">
        <v>0</v>
      </c>
      <c r="F120">
        <v>1</v>
      </c>
      <c r="G120">
        <v>0</v>
      </c>
      <c r="H120">
        <v>0</v>
      </c>
      <c r="I120" t="s">
        <v>18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6.7</v>
      </c>
      <c r="AE120">
        <v>447</v>
      </c>
      <c r="AF120">
        <v>18.8955223880597</v>
      </c>
      <c r="AG120">
        <v>18.852786685166919</v>
      </c>
      <c r="AH120">
        <f>5.02849904380288*1</f>
        <v>5.0284990438028796</v>
      </c>
      <c r="AI120">
        <v>1</v>
      </c>
      <c r="AJ120">
        <v>0</v>
      </c>
    </row>
    <row r="121" spans="1:36" hidden="1" x14ac:dyDescent="0.2">
      <c r="A121" t="s">
        <v>294</v>
      </c>
      <c r="B121" t="s">
        <v>295</v>
      </c>
      <c r="C121" t="s">
        <v>295</v>
      </c>
      <c r="D121" t="s">
        <v>6</v>
      </c>
      <c r="E121">
        <v>0</v>
      </c>
      <c r="F121">
        <v>0</v>
      </c>
      <c r="G121">
        <v>0</v>
      </c>
      <c r="H121">
        <v>1</v>
      </c>
      <c r="I121" t="s">
        <v>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4.8</v>
      </c>
      <c r="AE121">
        <v>479</v>
      </c>
      <c r="AF121">
        <v>0</v>
      </c>
      <c r="AG121">
        <v>8.8767458773014596</v>
      </c>
      <c r="AH121">
        <f>4.31669375902178*1</f>
        <v>4.3166937590217804</v>
      </c>
      <c r="AI121">
        <v>1</v>
      </c>
      <c r="AJ121">
        <v>0</v>
      </c>
    </row>
    <row r="122" spans="1:36" hidden="1" x14ac:dyDescent="0.2">
      <c r="A122" t="s">
        <v>296</v>
      </c>
      <c r="B122" t="s">
        <v>297</v>
      </c>
      <c r="C122" t="s">
        <v>297</v>
      </c>
      <c r="D122" t="s">
        <v>6</v>
      </c>
      <c r="E122">
        <v>0</v>
      </c>
      <c r="F122">
        <v>0</v>
      </c>
      <c r="G122">
        <v>0</v>
      </c>
      <c r="H122">
        <v>1</v>
      </c>
      <c r="I122" t="s">
        <v>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1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4.8</v>
      </c>
      <c r="AE122">
        <v>481</v>
      </c>
      <c r="AF122">
        <v>0</v>
      </c>
      <c r="AG122">
        <v>9.9424336485213871</v>
      </c>
      <c r="AH122">
        <f>5.24502719409792*1</f>
        <v>5.2450271940979203</v>
      </c>
      <c r="AI122">
        <v>1</v>
      </c>
      <c r="AJ122">
        <v>0</v>
      </c>
    </row>
    <row r="123" spans="1:36" hidden="1" x14ac:dyDescent="0.2">
      <c r="A123" t="s">
        <v>298</v>
      </c>
      <c r="B123" t="s">
        <v>299</v>
      </c>
      <c r="C123" t="s">
        <v>299</v>
      </c>
      <c r="D123" t="s">
        <v>5</v>
      </c>
      <c r="E123">
        <v>0</v>
      </c>
      <c r="F123">
        <v>0</v>
      </c>
      <c r="G123">
        <v>1</v>
      </c>
      <c r="H123">
        <v>0</v>
      </c>
      <c r="I123" t="s">
        <v>19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4.4000000000000004</v>
      </c>
      <c r="AE123">
        <v>498</v>
      </c>
      <c r="AF123">
        <v>0</v>
      </c>
      <c r="AG123">
        <v>14.550954513139949</v>
      </c>
      <c r="AH123">
        <f>6.44320697645701*1</f>
        <v>6.4432069764570103</v>
      </c>
      <c r="AI123">
        <v>1</v>
      </c>
      <c r="AJ123">
        <v>0</v>
      </c>
    </row>
    <row r="124" spans="1:36" hidden="1" x14ac:dyDescent="0.2">
      <c r="A124" t="s">
        <v>300</v>
      </c>
      <c r="B124" t="s">
        <v>301</v>
      </c>
      <c r="C124" t="s">
        <v>301</v>
      </c>
      <c r="D124" t="s">
        <v>3</v>
      </c>
      <c r="E124">
        <v>1</v>
      </c>
      <c r="F124">
        <v>0</v>
      </c>
      <c r="G124">
        <v>0</v>
      </c>
      <c r="H124">
        <v>0</v>
      </c>
      <c r="I124" t="s">
        <v>19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4.5</v>
      </c>
      <c r="AE124">
        <v>500</v>
      </c>
      <c r="AF124">
        <v>0</v>
      </c>
      <c r="AG124">
        <v>7.0729322640482666</v>
      </c>
      <c r="AH124">
        <f>4.424761416921*1</f>
        <v>4.4247614169210001</v>
      </c>
      <c r="AI124">
        <v>1</v>
      </c>
      <c r="AJ124">
        <v>0</v>
      </c>
    </row>
    <row r="125" spans="1:36" hidden="1" x14ac:dyDescent="0.2">
      <c r="A125" t="s">
        <v>302</v>
      </c>
      <c r="B125" t="s">
        <v>303</v>
      </c>
      <c r="C125" t="s">
        <v>303</v>
      </c>
      <c r="D125" t="s">
        <v>5</v>
      </c>
      <c r="E125">
        <v>0</v>
      </c>
      <c r="F125">
        <v>0</v>
      </c>
      <c r="G125">
        <v>1</v>
      </c>
      <c r="H125">
        <v>0</v>
      </c>
      <c r="I125" t="s">
        <v>19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4.5999999999999996</v>
      </c>
      <c r="AE125">
        <v>501</v>
      </c>
      <c r="AF125">
        <v>0</v>
      </c>
      <c r="AG125">
        <v>17.401603744216569</v>
      </c>
      <c r="AH125">
        <f>9.0308035467287*1</f>
        <v>9.0308035467287002</v>
      </c>
      <c r="AI125">
        <v>1</v>
      </c>
      <c r="AJ125">
        <v>0</v>
      </c>
    </row>
    <row r="126" spans="1:36" hidden="1" x14ac:dyDescent="0.2">
      <c r="A126" t="s">
        <v>304</v>
      </c>
      <c r="B126" t="s">
        <v>305</v>
      </c>
      <c r="C126" t="s">
        <v>305</v>
      </c>
      <c r="D126" t="s">
        <v>4</v>
      </c>
      <c r="E126">
        <v>0</v>
      </c>
      <c r="F126">
        <v>1</v>
      </c>
      <c r="G126">
        <v>0</v>
      </c>
      <c r="H126">
        <v>0</v>
      </c>
      <c r="I126" t="s">
        <v>20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5</v>
      </c>
      <c r="AE126">
        <v>514</v>
      </c>
      <c r="AF126">
        <v>17.56862745098039</v>
      </c>
      <c r="AG126">
        <v>0</v>
      </c>
      <c r="AH126">
        <f>4.92499535535686*1</f>
        <v>4.9249953553568604</v>
      </c>
      <c r="AI126">
        <v>1</v>
      </c>
      <c r="AJ126">
        <v>0</v>
      </c>
    </row>
    <row r="127" spans="1:36" hidden="1" x14ac:dyDescent="0.2">
      <c r="A127" t="s">
        <v>122</v>
      </c>
      <c r="B127" t="s">
        <v>306</v>
      </c>
      <c r="C127" t="s">
        <v>306</v>
      </c>
      <c r="D127" t="s">
        <v>4</v>
      </c>
      <c r="E127">
        <v>0</v>
      </c>
      <c r="F127">
        <v>1</v>
      </c>
      <c r="G127">
        <v>0</v>
      </c>
      <c r="H127">
        <v>0</v>
      </c>
      <c r="I127" t="s">
        <v>20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5</v>
      </c>
      <c r="AE127">
        <v>515</v>
      </c>
      <c r="AF127">
        <v>17.877553946224481</v>
      </c>
      <c r="AG127">
        <v>0</v>
      </c>
      <c r="AH127">
        <f>4.68357003835929*1</f>
        <v>4.6835700383592904</v>
      </c>
      <c r="AI127">
        <v>1</v>
      </c>
      <c r="AJ127">
        <v>0</v>
      </c>
    </row>
    <row r="128" spans="1:36" x14ac:dyDescent="0.2">
      <c r="A128" t="s">
        <v>39</v>
      </c>
      <c r="B128" t="s">
        <v>40</v>
      </c>
      <c r="C128" s="1" t="s">
        <v>39</v>
      </c>
      <c r="D128" t="s">
        <v>4</v>
      </c>
      <c r="E128">
        <v>0</v>
      </c>
      <c r="F128">
        <v>1</v>
      </c>
      <c r="G128">
        <v>0</v>
      </c>
      <c r="H128">
        <v>0</v>
      </c>
      <c r="I128" t="s">
        <v>8</v>
      </c>
      <c r="J128">
        <v>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5.4</v>
      </c>
      <c r="AE128">
        <v>4</v>
      </c>
      <c r="AF128">
        <v>16.808823529411761</v>
      </c>
      <c r="AG128">
        <v>0</v>
      </c>
      <c r="AH128">
        <f>7.03601246502352*1</f>
        <v>7.0360124650235196</v>
      </c>
      <c r="AI128">
        <v>1</v>
      </c>
      <c r="AJ128">
        <v>1</v>
      </c>
    </row>
    <row r="129" spans="1:36" hidden="1" x14ac:dyDescent="0.2">
      <c r="A129" t="s">
        <v>310</v>
      </c>
      <c r="B129" t="s">
        <v>311</v>
      </c>
      <c r="C129" t="s">
        <v>310</v>
      </c>
      <c r="D129" t="s">
        <v>5</v>
      </c>
      <c r="E129">
        <v>0</v>
      </c>
      <c r="F129">
        <v>0</v>
      </c>
      <c r="G129">
        <v>1</v>
      </c>
      <c r="H129">
        <v>0</v>
      </c>
      <c r="I129" t="s">
        <v>20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6.2</v>
      </c>
      <c r="AE129">
        <v>517</v>
      </c>
      <c r="AF129">
        <v>21.491525423728799</v>
      </c>
      <c r="AG129">
        <v>0</v>
      </c>
      <c r="AH129">
        <f>6.02469732975592*1</f>
        <v>6.0246973297559201</v>
      </c>
      <c r="AI129">
        <v>1</v>
      </c>
      <c r="AJ129">
        <v>0</v>
      </c>
    </row>
    <row r="130" spans="1:36" hidden="1" x14ac:dyDescent="0.2">
      <c r="A130" t="s">
        <v>312</v>
      </c>
      <c r="B130" t="s">
        <v>313</v>
      </c>
      <c r="C130" t="s">
        <v>312</v>
      </c>
      <c r="D130" t="s">
        <v>4</v>
      </c>
      <c r="E130">
        <v>0</v>
      </c>
      <c r="F130">
        <v>1</v>
      </c>
      <c r="G130">
        <v>0</v>
      </c>
      <c r="H130">
        <v>0</v>
      </c>
      <c r="I130" t="s">
        <v>20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5.5</v>
      </c>
      <c r="AE130">
        <v>523</v>
      </c>
      <c r="AF130">
        <v>17.557671255058779</v>
      </c>
      <c r="AG130">
        <v>0</v>
      </c>
      <c r="AH130">
        <f>5.99325726490875*1</f>
        <v>5.9932572649087499</v>
      </c>
      <c r="AI130">
        <v>1</v>
      </c>
      <c r="AJ130">
        <v>0</v>
      </c>
    </row>
    <row r="131" spans="1:36" hidden="1" x14ac:dyDescent="0.2">
      <c r="A131" t="s">
        <v>314</v>
      </c>
      <c r="B131" t="s">
        <v>315</v>
      </c>
      <c r="C131" t="s">
        <v>316</v>
      </c>
      <c r="D131" t="s">
        <v>3</v>
      </c>
      <c r="E131">
        <v>1</v>
      </c>
      <c r="F131">
        <v>0</v>
      </c>
      <c r="G131">
        <v>0</v>
      </c>
      <c r="H131">
        <v>0</v>
      </c>
      <c r="I131" t="s">
        <v>20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5.5</v>
      </c>
      <c r="AE131">
        <v>524</v>
      </c>
      <c r="AF131">
        <v>15.195121951219519</v>
      </c>
      <c r="AG131">
        <v>0</v>
      </c>
      <c r="AH131">
        <f>4.25963298741707*1</f>
        <v>4.2596329874170697</v>
      </c>
      <c r="AI131">
        <v>1</v>
      </c>
      <c r="AJ131">
        <v>0</v>
      </c>
    </row>
    <row r="132" spans="1:36" x14ac:dyDescent="0.2">
      <c r="A132" t="s">
        <v>108</v>
      </c>
      <c r="B132" t="s">
        <v>109</v>
      </c>
      <c r="C132" s="1" t="s">
        <v>109</v>
      </c>
      <c r="D132" t="s">
        <v>4</v>
      </c>
      <c r="E132">
        <v>0</v>
      </c>
      <c r="F132">
        <v>1</v>
      </c>
      <c r="G132">
        <v>0</v>
      </c>
      <c r="H132">
        <v>0</v>
      </c>
      <c r="I132" t="s">
        <v>10</v>
      </c>
      <c r="J132">
        <v>0</v>
      </c>
      <c r="K132">
        <v>0</v>
      </c>
      <c r="L132">
        <v>1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4.4000000000000004</v>
      </c>
      <c r="AE132">
        <v>101</v>
      </c>
      <c r="AF132">
        <v>13.38573087074958</v>
      </c>
      <c r="AG132">
        <v>9.4637499594460905</v>
      </c>
      <c r="AH132">
        <f>6.00665210102484*1</f>
        <v>6.0066521010248399</v>
      </c>
      <c r="AI132">
        <v>1</v>
      </c>
      <c r="AJ132">
        <v>1</v>
      </c>
    </row>
    <row r="133" spans="1:36" x14ac:dyDescent="0.2">
      <c r="A133" t="s">
        <v>377</v>
      </c>
      <c r="B133" t="s">
        <v>378</v>
      </c>
      <c r="C133" s="1" t="s">
        <v>378</v>
      </c>
      <c r="D133" t="s">
        <v>4</v>
      </c>
      <c r="E133">
        <v>0</v>
      </c>
      <c r="F133">
        <v>1</v>
      </c>
      <c r="G133">
        <v>0</v>
      </c>
      <c r="H133">
        <v>0</v>
      </c>
      <c r="I133" t="s">
        <v>24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</v>
      </c>
      <c r="AA133">
        <v>0</v>
      </c>
      <c r="AB133">
        <v>0</v>
      </c>
      <c r="AC133">
        <v>0</v>
      </c>
      <c r="AD133">
        <v>4.5</v>
      </c>
      <c r="AE133">
        <v>700</v>
      </c>
      <c r="AF133">
        <v>0</v>
      </c>
      <c r="AG133">
        <v>12.739773839341259</v>
      </c>
      <c r="AH133">
        <f>6.00460646702177*1</f>
        <v>6.0046064670217696</v>
      </c>
      <c r="AI133">
        <v>1</v>
      </c>
      <c r="AJ133">
        <v>1</v>
      </c>
    </row>
    <row r="134" spans="1:36" hidden="1" x14ac:dyDescent="0.2">
      <c r="A134" t="s">
        <v>321</v>
      </c>
      <c r="B134" t="s">
        <v>322</v>
      </c>
      <c r="C134" t="s">
        <v>322</v>
      </c>
      <c r="D134" t="s">
        <v>5</v>
      </c>
      <c r="E134">
        <v>0</v>
      </c>
      <c r="F134">
        <v>0</v>
      </c>
      <c r="G134">
        <v>1</v>
      </c>
      <c r="H134">
        <v>0</v>
      </c>
      <c r="I134" t="s">
        <v>20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1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4.5999999999999996</v>
      </c>
      <c r="AE134">
        <v>528</v>
      </c>
      <c r="AF134">
        <v>13.69230769230769</v>
      </c>
      <c r="AG134">
        <v>0</v>
      </c>
      <c r="AH134">
        <f>3.83835060404615*1</f>
        <v>3.8383506040461501</v>
      </c>
      <c r="AI134">
        <v>1</v>
      </c>
      <c r="AJ134">
        <v>0</v>
      </c>
    </row>
    <row r="135" spans="1:36" hidden="1" x14ac:dyDescent="0.2">
      <c r="A135" t="s">
        <v>323</v>
      </c>
      <c r="B135" t="s">
        <v>324</v>
      </c>
      <c r="C135" t="s">
        <v>323</v>
      </c>
      <c r="D135" t="s">
        <v>5</v>
      </c>
      <c r="E135">
        <v>0</v>
      </c>
      <c r="F135">
        <v>0</v>
      </c>
      <c r="G135">
        <v>1</v>
      </c>
      <c r="H135">
        <v>0</v>
      </c>
      <c r="I135" t="s">
        <v>20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5.6</v>
      </c>
      <c r="AE135">
        <v>534</v>
      </c>
      <c r="AF135">
        <v>29.859545408513881</v>
      </c>
      <c r="AG135">
        <v>0</v>
      </c>
      <c r="AH135">
        <f>8.23831631645846*1</f>
        <v>8.2383163164584605</v>
      </c>
      <c r="AI135">
        <v>1</v>
      </c>
      <c r="AJ135">
        <v>0</v>
      </c>
    </row>
    <row r="136" spans="1:36" hidden="1" x14ac:dyDescent="0.2">
      <c r="A136" t="s">
        <v>325</v>
      </c>
      <c r="B136" t="s">
        <v>326</v>
      </c>
      <c r="C136" t="s">
        <v>326</v>
      </c>
      <c r="D136" t="s">
        <v>4</v>
      </c>
      <c r="E136">
        <v>0</v>
      </c>
      <c r="F136">
        <v>1</v>
      </c>
      <c r="G136">
        <v>0</v>
      </c>
      <c r="H136">
        <v>0</v>
      </c>
      <c r="I136" t="s">
        <v>20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5.4</v>
      </c>
      <c r="AE136">
        <v>538</v>
      </c>
      <c r="AF136">
        <v>17.899999999999999</v>
      </c>
      <c r="AG136">
        <v>0</v>
      </c>
      <c r="AH136">
        <f>5.01788868293*1</f>
        <v>5.0178886829299998</v>
      </c>
      <c r="AI136">
        <v>1</v>
      </c>
      <c r="AJ136">
        <v>0</v>
      </c>
    </row>
    <row r="137" spans="1:36" hidden="1" x14ac:dyDescent="0.2">
      <c r="A137" t="s">
        <v>327</v>
      </c>
      <c r="B137" t="s">
        <v>328</v>
      </c>
      <c r="C137" t="s">
        <v>329</v>
      </c>
      <c r="D137" t="s">
        <v>5</v>
      </c>
      <c r="E137">
        <v>0</v>
      </c>
      <c r="F137">
        <v>0</v>
      </c>
      <c r="G137">
        <v>1</v>
      </c>
      <c r="H137">
        <v>0</v>
      </c>
      <c r="I137" t="s">
        <v>21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6.8</v>
      </c>
      <c r="AE137">
        <v>548</v>
      </c>
      <c r="AF137">
        <v>22.433461019160941</v>
      </c>
      <c r="AG137">
        <v>21.648608714050571</v>
      </c>
      <c r="AH137">
        <f>4.72486433129362*1</f>
        <v>4.7248643312936203</v>
      </c>
      <c r="AI137">
        <v>1</v>
      </c>
      <c r="AJ137">
        <v>0</v>
      </c>
    </row>
    <row r="138" spans="1:36" hidden="1" x14ac:dyDescent="0.2">
      <c r="A138" t="s">
        <v>330</v>
      </c>
      <c r="B138" t="s">
        <v>331</v>
      </c>
      <c r="C138" t="s">
        <v>332</v>
      </c>
      <c r="D138" t="s">
        <v>5</v>
      </c>
      <c r="E138">
        <v>0</v>
      </c>
      <c r="F138">
        <v>0</v>
      </c>
      <c r="G138">
        <v>1</v>
      </c>
      <c r="H138">
        <v>0</v>
      </c>
      <c r="I138" t="s">
        <v>21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8.5</v>
      </c>
      <c r="AE138">
        <v>549</v>
      </c>
      <c r="AF138">
        <v>39.753846153846148</v>
      </c>
      <c r="AG138">
        <v>28.205636259410159</v>
      </c>
      <c r="AH138">
        <f>7.85570874845903*1</f>
        <v>7.8557087484590298</v>
      </c>
      <c r="AI138">
        <v>1</v>
      </c>
      <c r="AJ138">
        <v>0</v>
      </c>
    </row>
    <row r="139" spans="1:36" hidden="1" x14ac:dyDescent="0.2">
      <c r="A139" t="s">
        <v>333</v>
      </c>
      <c r="B139" t="s">
        <v>334</v>
      </c>
      <c r="C139" t="s">
        <v>335</v>
      </c>
      <c r="D139" t="s">
        <v>4</v>
      </c>
      <c r="E139">
        <v>0</v>
      </c>
      <c r="F139">
        <v>1</v>
      </c>
      <c r="G139">
        <v>0</v>
      </c>
      <c r="H139">
        <v>0</v>
      </c>
      <c r="I139" t="s">
        <v>21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5.2</v>
      </c>
      <c r="AE139">
        <v>553</v>
      </c>
      <c r="AF139">
        <v>20.071428571428569</v>
      </c>
      <c r="AG139">
        <v>15.838920868801649</v>
      </c>
      <c r="AH139">
        <f>4.88615410335383*1</f>
        <v>4.8861541033538298</v>
      </c>
      <c r="AI139">
        <v>1</v>
      </c>
      <c r="AJ139">
        <v>0</v>
      </c>
    </row>
    <row r="140" spans="1:36" hidden="1" x14ac:dyDescent="0.2">
      <c r="A140" t="s">
        <v>336</v>
      </c>
      <c r="B140" t="s">
        <v>337</v>
      </c>
      <c r="C140" t="s">
        <v>337</v>
      </c>
      <c r="D140" t="s">
        <v>5</v>
      </c>
      <c r="E140">
        <v>0</v>
      </c>
      <c r="F140">
        <v>0</v>
      </c>
      <c r="G140">
        <v>1</v>
      </c>
      <c r="H140">
        <v>0</v>
      </c>
      <c r="I140" t="s">
        <v>21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5</v>
      </c>
      <c r="AE140">
        <v>557</v>
      </c>
      <c r="AF140">
        <v>38.811615852271672</v>
      </c>
      <c r="AG140">
        <v>30.261249073977549</v>
      </c>
      <c r="AH140">
        <f>8.21246136180913*1</f>
        <v>8.2124613618091296</v>
      </c>
      <c r="AI140">
        <v>1</v>
      </c>
      <c r="AJ140">
        <v>0</v>
      </c>
    </row>
    <row r="141" spans="1:36" hidden="1" x14ac:dyDescent="0.2">
      <c r="A141" t="s">
        <v>338</v>
      </c>
      <c r="B141" t="s">
        <v>339</v>
      </c>
      <c r="C141" t="s">
        <v>339</v>
      </c>
      <c r="D141" t="s">
        <v>5</v>
      </c>
      <c r="E141">
        <v>0</v>
      </c>
      <c r="F141">
        <v>0</v>
      </c>
      <c r="G141">
        <v>1</v>
      </c>
      <c r="H141">
        <v>0</v>
      </c>
      <c r="I141" t="s">
        <v>21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4.5</v>
      </c>
      <c r="AE141">
        <v>566</v>
      </c>
      <c r="AF141">
        <v>17.03284247386544</v>
      </c>
      <c r="AG141">
        <v>14.664902624679589</v>
      </c>
      <c r="AH141">
        <f>4.19761623606943*1</f>
        <v>4.1976162360694298</v>
      </c>
      <c r="AI141">
        <v>1</v>
      </c>
      <c r="AJ141">
        <v>0</v>
      </c>
    </row>
    <row r="142" spans="1:36" hidden="1" x14ac:dyDescent="0.2">
      <c r="A142" t="s">
        <v>114</v>
      </c>
      <c r="B142" t="s">
        <v>340</v>
      </c>
      <c r="C142" t="s">
        <v>340</v>
      </c>
      <c r="D142" t="s">
        <v>5</v>
      </c>
      <c r="E142">
        <v>0</v>
      </c>
      <c r="F142">
        <v>0</v>
      </c>
      <c r="G142">
        <v>1</v>
      </c>
      <c r="H142">
        <v>0</v>
      </c>
      <c r="I142" t="s">
        <v>21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8.4</v>
      </c>
      <c r="AE142">
        <v>569</v>
      </c>
      <c r="AF142">
        <v>28.107403511865101</v>
      </c>
      <c r="AG142">
        <v>26.780428251758082</v>
      </c>
      <c r="AH142">
        <f>7.10710868751278*1</f>
        <v>7.1071086875127802</v>
      </c>
      <c r="AI142">
        <v>1</v>
      </c>
      <c r="AJ142">
        <v>0</v>
      </c>
    </row>
    <row r="143" spans="1:36" hidden="1" x14ac:dyDescent="0.2">
      <c r="A143" t="s">
        <v>341</v>
      </c>
      <c r="B143" t="s">
        <v>239</v>
      </c>
      <c r="C143" t="s">
        <v>239</v>
      </c>
      <c r="D143" t="s">
        <v>3</v>
      </c>
      <c r="E143">
        <v>1</v>
      </c>
      <c r="F143">
        <v>0</v>
      </c>
      <c r="G143">
        <v>0</v>
      </c>
      <c r="H143">
        <v>0</v>
      </c>
      <c r="I143" t="s">
        <v>21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5</v>
      </c>
      <c r="AE143">
        <v>575</v>
      </c>
      <c r="AF143">
        <v>14</v>
      </c>
      <c r="AG143">
        <v>12.44831329322038</v>
      </c>
      <c r="AH143">
        <f>3.71726234773821*1</f>
        <v>3.7172623477382101</v>
      </c>
      <c r="AI143">
        <v>1</v>
      </c>
      <c r="AJ143">
        <v>0</v>
      </c>
    </row>
    <row r="144" spans="1:36" hidden="1" x14ac:dyDescent="0.2">
      <c r="A144" t="s">
        <v>342</v>
      </c>
      <c r="B144" t="s">
        <v>343</v>
      </c>
      <c r="C144" t="s">
        <v>343</v>
      </c>
      <c r="D144" t="s">
        <v>6</v>
      </c>
      <c r="E144">
        <v>0</v>
      </c>
      <c r="F144">
        <v>0</v>
      </c>
      <c r="G144">
        <v>0</v>
      </c>
      <c r="H144">
        <v>1</v>
      </c>
      <c r="I144" t="s">
        <v>21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7.1</v>
      </c>
      <c r="AE144">
        <v>576</v>
      </c>
      <c r="AF144">
        <v>25.07692307692307</v>
      </c>
      <c r="AG144">
        <v>12.442427113488041</v>
      </c>
      <c r="AH144">
        <f>4.5450179260918*1</f>
        <v>4.5450179260918002</v>
      </c>
      <c r="AI144">
        <v>1</v>
      </c>
      <c r="AJ144">
        <v>0</v>
      </c>
    </row>
    <row r="145" spans="1:36" hidden="1" x14ac:dyDescent="0.2">
      <c r="A145" t="s">
        <v>344</v>
      </c>
      <c r="B145" t="s">
        <v>345</v>
      </c>
      <c r="C145" t="s">
        <v>346</v>
      </c>
      <c r="D145" t="s">
        <v>5</v>
      </c>
      <c r="E145">
        <v>0</v>
      </c>
      <c r="F145">
        <v>0</v>
      </c>
      <c r="G145">
        <v>1</v>
      </c>
      <c r="H145">
        <v>0</v>
      </c>
      <c r="I145" t="s">
        <v>22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6</v>
      </c>
      <c r="AE145">
        <v>593</v>
      </c>
      <c r="AF145">
        <v>17.67258454617685</v>
      </c>
      <c r="AG145">
        <v>26.59775782690614</v>
      </c>
      <c r="AH145">
        <f>4.58139896822579*1</f>
        <v>4.5813989682257903</v>
      </c>
      <c r="AI145">
        <v>1</v>
      </c>
      <c r="AJ145">
        <v>0</v>
      </c>
    </row>
    <row r="146" spans="1:36" hidden="1" x14ac:dyDescent="0.2">
      <c r="A146" t="s">
        <v>330</v>
      </c>
      <c r="B146" t="s">
        <v>347</v>
      </c>
      <c r="C146" t="s">
        <v>348</v>
      </c>
      <c r="D146" t="s">
        <v>5</v>
      </c>
      <c r="E146">
        <v>0</v>
      </c>
      <c r="F146">
        <v>0</v>
      </c>
      <c r="G146">
        <v>1</v>
      </c>
      <c r="H146">
        <v>0</v>
      </c>
      <c r="I146" t="s">
        <v>22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5.8</v>
      </c>
      <c r="AE146">
        <v>597</v>
      </c>
      <c r="AF146">
        <v>22.472667951795849</v>
      </c>
      <c r="AG146">
        <v>23.132967233640329</v>
      </c>
      <c r="AH146">
        <f>5.62923687148816*1</f>
        <v>5.6292368714881604</v>
      </c>
      <c r="AI146">
        <v>1</v>
      </c>
      <c r="AJ146">
        <v>0</v>
      </c>
    </row>
    <row r="147" spans="1:36" hidden="1" x14ac:dyDescent="0.2">
      <c r="A147" t="s">
        <v>349</v>
      </c>
      <c r="B147" t="s">
        <v>350</v>
      </c>
      <c r="C147" t="s">
        <v>350</v>
      </c>
      <c r="D147" t="s">
        <v>4</v>
      </c>
      <c r="E147">
        <v>0</v>
      </c>
      <c r="F147">
        <v>1</v>
      </c>
      <c r="G147">
        <v>0</v>
      </c>
      <c r="H147">
        <v>0</v>
      </c>
      <c r="I147" t="s">
        <v>22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4.5999999999999996</v>
      </c>
      <c r="AE147">
        <v>598</v>
      </c>
      <c r="AF147">
        <v>16.10596026490067</v>
      </c>
      <c r="AG147">
        <v>16.373494137569441</v>
      </c>
      <c r="AH147">
        <f>4.8620988766342*1</f>
        <v>4.8620988766342004</v>
      </c>
      <c r="AI147">
        <v>1</v>
      </c>
      <c r="AJ147">
        <v>0</v>
      </c>
    </row>
    <row r="148" spans="1:36" hidden="1" x14ac:dyDescent="0.2">
      <c r="A148" t="s">
        <v>351</v>
      </c>
      <c r="B148" t="s">
        <v>352</v>
      </c>
      <c r="C148" t="s">
        <v>352</v>
      </c>
      <c r="D148" t="s">
        <v>5</v>
      </c>
      <c r="E148">
        <v>0</v>
      </c>
      <c r="F148">
        <v>0</v>
      </c>
      <c r="G148">
        <v>1</v>
      </c>
      <c r="H148">
        <v>0</v>
      </c>
      <c r="I148" t="s">
        <v>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6.3</v>
      </c>
      <c r="AE148">
        <v>603</v>
      </c>
      <c r="AF148">
        <v>41.336396208020091</v>
      </c>
      <c r="AG148">
        <v>18.193183903914921</v>
      </c>
      <c r="AH148">
        <f>7.82519522601525*1</f>
        <v>7.82519522601525</v>
      </c>
      <c r="AI148">
        <v>1</v>
      </c>
      <c r="AJ148">
        <v>0</v>
      </c>
    </row>
    <row r="149" spans="1:36" hidden="1" x14ac:dyDescent="0.2">
      <c r="A149" t="s">
        <v>353</v>
      </c>
      <c r="B149" t="s">
        <v>354</v>
      </c>
      <c r="C149" t="s">
        <v>354</v>
      </c>
      <c r="D149" t="s">
        <v>6</v>
      </c>
      <c r="E149">
        <v>0</v>
      </c>
      <c r="F149">
        <v>0</v>
      </c>
      <c r="G149">
        <v>0</v>
      </c>
      <c r="H149">
        <v>1</v>
      </c>
      <c r="I149" t="s">
        <v>22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8.3000000000000007</v>
      </c>
      <c r="AE149">
        <v>606</v>
      </c>
      <c r="AF149">
        <v>39.652173913043477</v>
      </c>
      <c r="AG149">
        <v>33.298719707166541</v>
      </c>
      <c r="AH149">
        <f>10.8941723738508*1</f>
        <v>10.8941723738508</v>
      </c>
      <c r="AI149">
        <v>1</v>
      </c>
      <c r="AJ149">
        <v>0</v>
      </c>
    </row>
    <row r="150" spans="1:36" hidden="1" x14ac:dyDescent="0.2">
      <c r="A150" t="s">
        <v>355</v>
      </c>
      <c r="B150" t="s">
        <v>356</v>
      </c>
      <c r="C150" t="s">
        <v>356</v>
      </c>
      <c r="D150" t="s">
        <v>5</v>
      </c>
      <c r="E150">
        <v>0</v>
      </c>
      <c r="F150">
        <v>0</v>
      </c>
      <c r="G150">
        <v>1</v>
      </c>
      <c r="H150">
        <v>0</v>
      </c>
      <c r="I150" t="s">
        <v>22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4.8</v>
      </c>
      <c r="AE150">
        <v>612</v>
      </c>
      <c r="AF150">
        <v>16.641221374045809</v>
      </c>
      <c r="AG150">
        <v>15.4547719103677</v>
      </c>
      <c r="AH150">
        <f>4.80503959471774*1</f>
        <v>4.8050395947177398</v>
      </c>
      <c r="AI150">
        <v>1</v>
      </c>
      <c r="AJ150">
        <v>0</v>
      </c>
    </row>
    <row r="151" spans="1:36" hidden="1" x14ac:dyDescent="0.2">
      <c r="A151" t="s">
        <v>357</v>
      </c>
      <c r="B151" t="s">
        <v>358</v>
      </c>
      <c r="C151" s="1" t="s">
        <v>358</v>
      </c>
      <c r="D151" t="s">
        <v>4</v>
      </c>
      <c r="E151">
        <v>0</v>
      </c>
      <c r="F151">
        <v>1</v>
      </c>
      <c r="G151">
        <v>0</v>
      </c>
      <c r="H151">
        <v>0</v>
      </c>
      <c r="I151" t="s">
        <v>22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5.7</v>
      </c>
      <c r="AE151">
        <v>618</v>
      </c>
      <c r="AF151">
        <v>22.855472588322399</v>
      </c>
      <c r="AG151">
        <v>19.53555633295548</v>
      </c>
      <c r="AH151">
        <f>6.43745050595279*0.75</f>
        <v>4.8280878794645927</v>
      </c>
      <c r="AI151">
        <v>0.75</v>
      </c>
      <c r="AJ151">
        <v>0</v>
      </c>
    </row>
    <row r="152" spans="1:36" hidden="1" x14ac:dyDescent="0.2">
      <c r="A152" t="s">
        <v>359</v>
      </c>
      <c r="B152" t="s">
        <v>360</v>
      </c>
      <c r="C152" t="s">
        <v>360</v>
      </c>
      <c r="D152" t="s">
        <v>4</v>
      </c>
      <c r="E152">
        <v>0</v>
      </c>
      <c r="F152">
        <v>1</v>
      </c>
      <c r="G152">
        <v>0</v>
      </c>
      <c r="H152">
        <v>0</v>
      </c>
      <c r="I152" t="s">
        <v>22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6.6</v>
      </c>
      <c r="AE152">
        <v>621</v>
      </c>
      <c r="AF152">
        <v>22.208624627233849</v>
      </c>
      <c r="AG152">
        <v>7.2497111338356408</v>
      </c>
      <c r="AH152">
        <f>5.18553780071981*0</f>
        <v>0</v>
      </c>
      <c r="AI152">
        <v>0</v>
      </c>
      <c r="AJ152">
        <v>0</v>
      </c>
    </row>
    <row r="153" spans="1:36" hidden="1" x14ac:dyDescent="0.2">
      <c r="A153" t="s">
        <v>361</v>
      </c>
      <c r="B153" t="s">
        <v>362</v>
      </c>
      <c r="C153" t="s">
        <v>362</v>
      </c>
      <c r="D153" t="s">
        <v>5</v>
      </c>
      <c r="E153">
        <v>0</v>
      </c>
      <c r="F153">
        <v>0</v>
      </c>
      <c r="G153">
        <v>1</v>
      </c>
      <c r="H153">
        <v>0</v>
      </c>
      <c r="I153" t="s">
        <v>23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4.7</v>
      </c>
      <c r="AE153">
        <v>638</v>
      </c>
      <c r="AF153">
        <v>14.639808629405691</v>
      </c>
      <c r="AG153">
        <v>11.219080705296239</v>
      </c>
      <c r="AH153">
        <f>4.52932212530548*1</f>
        <v>4.5293221253054803</v>
      </c>
      <c r="AI153">
        <v>1</v>
      </c>
      <c r="AJ153">
        <v>0</v>
      </c>
    </row>
    <row r="154" spans="1:36" hidden="1" x14ac:dyDescent="0.2">
      <c r="A154" t="s">
        <v>351</v>
      </c>
      <c r="B154" t="s">
        <v>363</v>
      </c>
      <c r="C154" t="s">
        <v>363</v>
      </c>
      <c r="D154" t="s">
        <v>5</v>
      </c>
      <c r="E154">
        <v>0</v>
      </c>
      <c r="F154">
        <v>0</v>
      </c>
      <c r="G154">
        <v>1</v>
      </c>
      <c r="H154">
        <v>0</v>
      </c>
      <c r="I154" t="s">
        <v>23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5</v>
      </c>
      <c r="AE154">
        <v>639</v>
      </c>
      <c r="AF154">
        <v>15.26128395479444</v>
      </c>
      <c r="AG154">
        <v>17.051026637911409</v>
      </c>
      <c r="AH154">
        <f>6.08322219349594*1</f>
        <v>6.0832221934959403</v>
      </c>
      <c r="AI154">
        <v>1</v>
      </c>
      <c r="AJ154">
        <v>0</v>
      </c>
    </row>
    <row r="155" spans="1:36" hidden="1" x14ac:dyDescent="0.2">
      <c r="A155" t="s">
        <v>364</v>
      </c>
      <c r="B155" t="s">
        <v>365</v>
      </c>
      <c r="C155" t="s">
        <v>364</v>
      </c>
      <c r="D155" t="s">
        <v>5</v>
      </c>
      <c r="E155">
        <v>0</v>
      </c>
      <c r="F155">
        <v>0</v>
      </c>
      <c r="G155">
        <v>1</v>
      </c>
      <c r="H155">
        <v>0</v>
      </c>
      <c r="I155" t="s">
        <v>23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5.3</v>
      </c>
      <c r="AE155">
        <v>648</v>
      </c>
      <c r="AF155">
        <v>12.71052631578948</v>
      </c>
      <c r="AG155">
        <v>10.304557041343861</v>
      </c>
      <c r="AH155">
        <f>3.58781640875926*1</f>
        <v>3.5878164087592599</v>
      </c>
      <c r="AI155">
        <v>1</v>
      </c>
      <c r="AJ155">
        <v>0</v>
      </c>
    </row>
    <row r="156" spans="1:36" hidden="1" x14ac:dyDescent="0.2">
      <c r="A156" t="s">
        <v>366</v>
      </c>
      <c r="B156" t="s">
        <v>367</v>
      </c>
      <c r="C156" t="s">
        <v>367</v>
      </c>
      <c r="D156" t="s">
        <v>5</v>
      </c>
      <c r="E156">
        <v>0</v>
      </c>
      <c r="F156">
        <v>0</v>
      </c>
      <c r="G156">
        <v>1</v>
      </c>
      <c r="H156">
        <v>0</v>
      </c>
      <c r="I156" t="s">
        <v>23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0</v>
      </c>
      <c r="AD156">
        <v>5.7</v>
      </c>
      <c r="AE156">
        <v>653</v>
      </c>
      <c r="AF156">
        <v>22.22707203760239</v>
      </c>
      <c r="AG156">
        <v>15.30364598935946</v>
      </c>
      <c r="AH156">
        <f>6.66008543650711*1</f>
        <v>6.66008543650711</v>
      </c>
      <c r="AI156">
        <v>1</v>
      </c>
      <c r="AJ156">
        <v>0</v>
      </c>
    </row>
    <row r="157" spans="1:36" hidden="1" x14ac:dyDescent="0.2">
      <c r="A157" t="s">
        <v>368</v>
      </c>
      <c r="B157" t="s">
        <v>369</v>
      </c>
      <c r="C157" t="s">
        <v>369</v>
      </c>
      <c r="D157" t="s">
        <v>4</v>
      </c>
      <c r="E157">
        <v>0</v>
      </c>
      <c r="F157">
        <v>1</v>
      </c>
      <c r="G157">
        <v>0</v>
      </c>
      <c r="H157">
        <v>0</v>
      </c>
      <c r="I157" t="s">
        <v>23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0</v>
      </c>
      <c r="AD157">
        <v>4.3</v>
      </c>
      <c r="AE157">
        <v>672</v>
      </c>
      <c r="AF157">
        <v>9.304347826086957</v>
      </c>
      <c r="AG157">
        <v>9.6763200434143766</v>
      </c>
      <c r="AH157">
        <f>3.8542676331968*1</f>
        <v>3.8542676331968</v>
      </c>
      <c r="AI157">
        <v>1</v>
      </c>
      <c r="AJ157">
        <v>0</v>
      </c>
    </row>
    <row r="158" spans="1:36" hidden="1" x14ac:dyDescent="0.2">
      <c r="A158" t="s">
        <v>370</v>
      </c>
      <c r="B158" t="s">
        <v>371</v>
      </c>
      <c r="C158" t="s">
        <v>371</v>
      </c>
      <c r="D158" t="s">
        <v>6</v>
      </c>
      <c r="E158">
        <v>0</v>
      </c>
      <c r="F158">
        <v>0</v>
      </c>
      <c r="G158">
        <v>0</v>
      </c>
      <c r="H158">
        <v>1</v>
      </c>
      <c r="I158" t="s">
        <v>23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4.8</v>
      </c>
      <c r="AE158">
        <v>673</v>
      </c>
      <c r="AF158">
        <v>21.32689515939925</v>
      </c>
      <c r="AG158">
        <v>21.32320586970593</v>
      </c>
      <c r="AH158">
        <f>7.8934599914839*1</f>
        <v>7.8934599914839003</v>
      </c>
      <c r="AI158">
        <v>1</v>
      </c>
      <c r="AJ158">
        <v>0</v>
      </c>
    </row>
    <row r="159" spans="1:36" hidden="1" x14ac:dyDescent="0.2">
      <c r="A159" t="s">
        <v>93</v>
      </c>
      <c r="B159" t="s">
        <v>372</v>
      </c>
      <c r="C159" t="s">
        <v>372</v>
      </c>
      <c r="D159" t="s">
        <v>5</v>
      </c>
      <c r="E159">
        <v>0</v>
      </c>
      <c r="F159">
        <v>0</v>
      </c>
      <c r="G159">
        <v>1</v>
      </c>
      <c r="H159">
        <v>0</v>
      </c>
      <c r="I159" t="s">
        <v>23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4.8</v>
      </c>
      <c r="AE159">
        <v>675</v>
      </c>
      <c r="AF159">
        <v>10.293103448275859</v>
      </c>
      <c r="AG159">
        <v>11.61357323516158</v>
      </c>
      <c r="AH159">
        <f>4.06713720433407*1</f>
        <v>4.0671372043340703</v>
      </c>
      <c r="AI159">
        <v>1</v>
      </c>
      <c r="AJ159">
        <v>0</v>
      </c>
    </row>
    <row r="160" spans="1:36" hidden="1" x14ac:dyDescent="0.2">
      <c r="A160" t="s">
        <v>373</v>
      </c>
      <c r="B160" t="s">
        <v>374</v>
      </c>
      <c r="C160" t="s">
        <v>374</v>
      </c>
      <c r="D160" t="s">
        <v>6</v>
      </c>
      <c r="E160">
        <v>0</v>
      </c>
      <c r="F160">
        <v>0</v>
      </c>
      <c r="G160">
        <v>0</v>
      </c>
      <c r="H160">
        <v>1</v>
      </c>
      <c r="I160" t="s">
        <v>24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0</v>
      </c>
      <c r="AB160">
        <v>0</v>
      </c>
      <c r="AC160">
        <v>0</v>
      </c>
      <c r="AD160">
        <v>4.2</v>
      </c>
      <c r="AE160">
        <v>693</v>
      </c>
      <c r="AF160">
        <v>0</v>
      </c>
      <c r="AG160">
        <v>14.380069540199029</v>
      </c>
      <c r="AH160">
        <f>5.7737528673549*1</f>
        <v>5.7737528673548999</v>
      </c>
      <c r="AI160">
        <v>1</v>
      </c>
      <c r="AJ160">
        <v>0</v>
      </c>
    </row>
    <row r="161" spans="1:36" hidden="1" x14ac:dyDescent="0.2">
      <c r="A161" t="s">
        <v>375</v>
      </c>
      <c r="B161" t="s">
        <v>376</v>
      </c>
      <c r="C161" t="s">
        <v>376</v>
      </c>
      <c r="D161" t="s">
        <v>4</v>
      </c>
      <c r="E161">
        <v>0</v>
      </c>
      <c r="F161">
        <v>1</v>
      </c>
      <c r="G161">
        <v>0</v>
      </c>
      <c r="H161">
        <v>0</v>
      </c>
      <c r="I161" t="s">
        <v>24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4.3</v>
      </c>
      <c r="AE161">
        <v>696</v>
      </c>
      <c r="AF161">
        <v>0</v>
      </c>
      <c r="AG161">
        <v>7.2789019998289426</v>
      </c>
      <c r="AH161">
        <f>3.45412458946418*1</f>
        <v>3.4541245894641799</v>
      </c>
      <c r="AI161">
        <v>1</v>
      </c>
      <c r="AJ161">
        <v>0</v>
      </c>
    </row>
    <row r="162" spans="1:36" x14ac:dyDescent="0.2">
      <c r="A162" t="s">
        <v>257</v>
      </c>
      <c r="B162" t="s">
        <v>258</v>
      </c>
      <c r="C162" s="1" t="s">
        <v>258</v>
      </c>
      <c r="D162" t="s">
        <v>3</v>
      </c>
      <c r="E162">
        <v>1</v>
      </c>
      <c r="F162">
        <v>0</v>
      </c>
      <c r="G162">
        <v>0</v>
      </c>
      <c r="H162">
        <v>0</v>
      </c>
      <c r="I162" t="s">
        <v>17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4.8</v>
      </c>
      <c r="AE162">
        <v>395</v>
      </c>
      <c r="AF162">
        <v>0</v>
      </c>
      <c r="AG162">
        <v>11.101932472857129</v>
      </c>
      <c r="AH162">
        <f>5.81252530910776*1</f>
        <v>5.8125253091077598</v>
      </c>
      <c r="AI162">
        <v>1</v>
      </c>
      <c r="AJ162">
        <v>1</v>
      </c>
    </row>
    <row r="163" spans="1:36" x14ac:dyDescent="0.2">
      <c r="A163" t="s">
        <v>87</v>
      </c>
      <c r="B163" t="s">
        <v>88</v>
      </c>
      <c r="C163" s="1" t="s">
        <v>87</v>
      </c>
      <c r="D163" t="s">
        <v>4</v>
      </c>
      <c r="E163">
        <v>0</v>
      </c>
      <c r="F163">
        <v>1</v>
      </c>
      <c r="G163">
        <v>0</v>
      </c>
      <c r="H163">
        <v>0</v>
      </c>
      <c r="I163" t="s">
        <v>9</v>
      </c>
      <c r="J163">
        <v>0</v>
      </c>
      <c r="K163">
        <v>1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4.5999999999999996</v>
      </c>
      <c r="AE163">
        <v>66</v>
      </c>
      <c r="AF163">
        <v>12.43654221967714</v>
      </c>
      <c r="AG163">
        <v>13.270920479435789</v>
      </c>
      <c r="AH163">
        <f>5.61070285371725*1</f>
        <v>5.6107028537172496</v>
      </c>
      <c r="AI163">
        <v>1</v>
      </c>
      <c r="AJ163">
        <v>1</v>
      </c>
    </row>
    <row r="164" spans="1:36" hidden="1" x14ac:dyDescent="0.2">
      <c r="A164" t="s">
        <v>381</v>
      </c>
      <c r="B164" t="s">
        <v>382</v>
      </c>
      <c r="C164" t="s">
        <v>382</v>
      </c>
      <c r="D164" t="s">
        <v>5</v>
      </c>
      <c r="E164">
        <v>0</v>
      </c>
      <c r="F164">
        <v>0</v>
      </c>
      <c r="G164">
        <v>1</v>
      </c>
      <c r="H164">
        <v>0</v>
      </c>
      <c r="I164" t="s">
        <v>24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0</v>
      </c>
      <c r="AB164">
        <v>0</v>
      </c>
      <c r="AC164">
        <v>0</v>
      </c>
      <c r="AD164">
        <v>4.9000000000000004</v>
      </c>
      <c r="AE164">
        <v>724</v>
      </c>
      <c r="AF164">
        <v>0</v>
      </c>
      <c r="AG164">
        <v>10.260887497605349</v>
      </c>
      <c r="AH164">
        <f>3.54548253275836*1</f>
        <v>3.5454825327583599</v>
      </c>
      <c r="AI164">
        <v>1</v>
      </c>
      <c r="AJ164">
        <v>0</v>
      </c>
    </row>
    <row r="165" spans="1:36" hidden="1" x14ac:dyDescent="0.2">
      <c r="A165" t="s">
        <v>383</v>
      </c>
      <c r="B165" t="s">
        <v>384</v>
      </c>
      <c r="C165" t="s">
        <v>384</v>
      </c>
      <c r="D165" t="s">
        <v>5</v>
      </c>
      <c r="E165">
        <v>0</v>
      </c>
      <c r="F165">
        <v>0</v>
      </c>
      <c r="G165">
        <v>1</v>
      </c>
      <c r="H165">
        <v>0</v>
      </c>
      <c r="I165" t="s">
        <v>25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1</v>
      </c>
      <c r="AB165">
        <v>0</v>
      </c>
      <c r="AC165">
        <v>0</v>
      </c>
      <c r="AD165">
        <v>5.8</v>
      </c>
      <c r="AE165">
        <v>737</v>
      </c>
      <c r="AF165">
        <v>24.656716417910449</v>
      </c>
      <c r="AG165">
        <v>21.51733825948499</v>
      </c>
      <c r="AH165">
        <f>4.86785076308596*1</f>
        <v>4.8678507630859604</v>
      </c>
      <c r="AI165">
        <v>1</v>
      </c>
      <c r="AJ165">
        <v>0</v>
      </c>
    </row>
    <row r="166" spans="1:36" hidden="1" x14ac:dyDescent="0.2">
      <c r="A166" t="s">
        <v>385</v>
      </c>
      <c r="B166" t="s">
        <v>386</v>
      </c>
      <c r="C166" t="s">
        <v>386</v>
      </c>
      <c r="D166" t="s">
        <v>5</v>
      </c>
      <c r="E166">
        <v>0</v>
      </c>
      <c r="F166">
        <v>0</v>
      </c>
      <c r="G166">
        <v>1</v>
      </c>
      <c r="H166">
        <v>0</v>
      </c>
      <c r="I166" t="s">
        <v>25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5</v>
      </c>
      <c r="AE166">
        <v>740</v>
      </c>
      <c r="AF166">
        <v>13.93395937179001</v>
      </c>
      <c r="AG166">
        <v>13.24684319207366</v>
      </c>
      <c r="AH166">
        <f>2.71067920261897*1</f>
        <v>2.7106792026189699</v>
      </c>
      <c r="AI166">
        <v>1</v>
      </c>
      <c r="AJ166">
        <v>0</v>
      </c>
    </row>
    <row r="167" spans="1:36" hidden="1" x14ac:dyDescent="0.2">
      <c r="A167" t="s">
        <v>387</v>
      </c>
      <c r="B167" t="s">
        <v>388</v>
      </c>
      <c r="C167" t="s">
        <v>388</v>
      </c>
      <c r="D167" t="s">
        <v>5</v>
      </c>
      <c r="E167">
        <v>0</v>
      </c>
      <c r="F167">
        <v>0</v>
      </c>
      <c r="G167">
        <v>1</v>
      </c>
      <c r="H167">
        <v>0</v>
      </c>
      <c r="I167" t="s">
        <v>25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1</v>
      </c>
      <c r="AB167">
        <v>0</v>
      </c>
      <c r="AC167">
        <v>0</v>
      </c>
      <c r="AD167">
        <v>5.0999999999999996</v>
      </c>
      <c r="AE167">
        <v>746</v>
      </c>
      <c r="AF167">
        <v>9.5405369981210661</v>
      </c>
      <c r="AG167">
        <v>14.697919214969129</v>
      </c>
      <c r="AH167">
        <f>2.48074447398431*1</f>
        <v>2.4807444739843101</v>
      </c>
      <c r="AI167">
        <v>1</v>
      </c>
      <c r="AJ167">
        <v>0</v>
      </c>
    </row>
    <row r="168" spans="1:36" hidden="1" x14ac:dyDescent="0.2">
      <c r="A168" t="s">
        <v>389</v>
      </c>
      <c r="B168" t="s">
        <v>390</v>
      </c>
      <c r="C168" t="s">
        <v>390</v>
      </c>
      <c r="D168" t="s">
        <v>5</v>
      </c>
      <c r="E168">
        <v>0</v>
      </c>
      <c r="F168">
        <v>0</v>
      </c>
      <c r="G168">
        <v>1</v>
      </c>
      <c r="H168">
        <v>0</v>
      </c>
      <c r="I168" t="s">
        <v>25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6.7</v>
      </c>
      <c r="AE168">
        <v>748</v>
      </c>
      <c r="AF168">
        <v>26.826666666666661</v>
      </c>
      <c r="AG168">
        <v>25.394249776833579</v>
      </c>
      <c r="AH168">
        <f>4.97294859700659*1</f>
        <v>4.9729485970065896</v>
      </c>
      <c r="AI168">
        <v>1</v>
      </c>
      <c r="AJ168">
        <v>0</v>
      </c>
    </row>
    <row r="169" spans="1:36" hidden="1" x14ac:dyDescent="0.2">
      <c r="A169" t="s">
        <v>232</v>
      </c>
      <c r="B169" t="s">
        <v>391</v>
      </c>
      <c r="C169" t="s">
        <v>391</v>
      </c>
      <c r="D169" t="s">
        <v>5</v>
      </c>
      <c r="E169">
        <v>0</v>
      </c>
      <c r="F169">
        <v>0</v>
      </c>
      <c r="G169">
        <v>1</v>
      </c>
      <c r="H169">
        <v>0</v>
      </c>
      <c r="I169" t="s">
        <v>25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1</v>
      </c>
      <c r="AB169">
        <v>0</v>
      </c>
      <c r="AC169">
        <v>0</v>
      </c>
      <c r="AD169">
        <v>7.8</v>
      </c>
      <c r="AE169">
        <v>751</v>
      </c>
      <c r="AF169">
        <v>31.09700857956787</v>
      </c>
      <c r="AG169">
        <v>33.038567662931698</v>
      </c>
      <c r="AH169">
        <f>6.3032378123206*1</f>
        <v>6.3032378123206003</v>
      </c>
      <c r="AI169">
        <v>1</v>
      </c>
      <c r="AJ169">
        <v>0</v>
      </c>
    </row>
    <row r="170" spans="1:36" hidden="1" x14ac:dyDescent="0.2">
      <c r="A170" t="s">
        <v>392</v>
      </c>
      <c r="B170" t="s">
        <v>393</v>
      </c>
      <c r="C170" t="s">
        <v>394</v>
      </c>
      <c r="D170" t="s">
        <v>4</v>
      </c>
      <c r="E170">
        <v>0</v>
      </c>
      <c r="F170">
        <v>1</v>
      </c>
      <c r="G170">
        <v>0</v>
      </c>
      <c r="H170">
        <v>0</v>
      </c>
      <c r="I170" t="s">
        <v>25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5.8</v>
      </c>
      <c r="AE170">
        <v>753</v>
      </c>
      <c r="AF170">
        <v>27.022222222222219</v>
      </c>
      <c r="AG170">
        <v>15.446469569051679</v>
      </c>
      <c r="AH170">
        <f>4.16945207835489*1</f>
        <v>4.1694520783548903</v>
      </c>
      <c r="AI170">
        <v>1</v>
      </c>
      <c r="AJ170">
        <v>0</v>
      </c>
    </row>
    <row r="171" spans="1:36" hidden="1" x14ac:dyDescent="0.2">
      <c r="A171" t="s">
        <v>395</v>
      </c>
      <c r="B171" t="s">
        <v>396</v>
      </c>
      <c r="C171" t="s">
        <v>395</v>
      </c>
      <c r="D171" t="s">
        <v>5</v>
      </c>
      <c r="E171">
        <v>0</v>
      </c>
      <c r="F171">
        <v>0</v>
      </c>
      <c r="G171">
        <v>1</v>
      </c>
      <c r="H171">
        <v>0</v>
      </c>
      <c r="I171" t="s">
        <v>25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0</v>
      </c>
      <c r="AC171">
        <v>0</v>
      </c>
      <c r="AD171">
        <v>6.8</v>
      </c>
      <c r="AE171">
        <v>755</v>
      </c>
      <c r="AF171">
        <v>27.05764665279041</v>
      </c>
      <c r="AG171">
        <v>28.638819538219611</v>
      </c>
      <c r="AH171">
        <f>5.23560299133262*1</f>
        <v>5.2356029913326196</v>
      </c>
      <c r="AI171">
        <v>1</v>
      </c>
      <c r="AJ171">
        <v>0</v>
      </c>
    </row>
    <row r="172" spans="1:36" hidden="1" x14ac:dyDescent="0.2">
      <c r="A172" t="s">
        <v>397</v>
      </c>
      <c r="B172" t="s">
        <v>398</v>
      </c>
      <c r="C172" t="s">
        <v>398</v>
      </c>
      <c r="D172" t="s">
        <v>5</v>
      </c>
      <c r="E172">
        <v>0</v>
      </c>
      <c r="F172">
        <v>0</v>
      </c>
      <c r="G172">
        <v>1</v>
      </c>
      <c r="H172">
        <v>0</v>
      </c>
      <c r="I172" t="s">
        <v>25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1</v>
      </c>
      <c r="AB172">
        <v>0</v>
      </c>
      <c r="AC172">
        <v>0</v>
      </c>
      <c r="AD172">
        <v>4.4000000000000004</v>
      </c>
      <c r="AE172">
        <v>759</v>
      </c>
      <c r="AF172">
        <v>13.570965327995181</v>
      </c>
      <c r="AG172">
        <v>15.15117682942323</v>
      </c>
      <c r="AH172">
        <f>2.75011886395965*1</f>
        <v>2.7501188639596501</v>
      </c>
      <c r="AI172">
        <v>1</v>
      </c>
      <c r="AJ172">
        <v>0</v>
      </c>
    </row>
    <row r="173" spans="1:36" hidden="1" x14ac:dyDescent="0.2">
      <c r="A173" t="s">
        <v>399</v>
      </c>
      <c r="B173" t="s">
        <v>400</v>
      </c>
      <c r="C173" t="s">
        <v>399</v>
      </c>
      <c r="D173" t="s">
        <v>5</v>
      </c>
      <c r="E173">
        <v>0</v>
      </c>
      <c r="F173">
        <v>0</v>
      </c>
      <c r="G173">
        <v>1</v>
      </c>
      <c r="H173">
        <v>0</v>
      </c>
      <c r="I173" t="s">
        <v>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</v>
      </c>
      <c r="AB173">
        <v>0</v>
      </c>
      <c r="AC173">
        <v>0</v>
      </c>
      <c r="AD173">
        <v>9.9</v>
      </c>
      <c r="AE173">
        <v>762</v>
      </c>
      <c r="AF173">
        <v>38.892307692307703</v>
      </c>
      <c r="AG173">
        <v>34.495837949402834</v>
      </c>
      <c r="AH173">
        <f>7.90024549885124*1</f>
        <v>7.9002454988512403</v>
      </c>
      <c r="AI173">
        <v>1</v>
      </c>
      <c r="AJ173">
        <v>0</v>
      </c>
    </row>
    <row r="174" spans="1:36" hidden="1" x14ac:dyDescent="0.2">
      <c r="A174" t="s">
        <v>401</v>
      </c>
      <c r="B174" t="s">
        <v>402</v>
      </c>
      <c r="C174" t="s">
        <v>402</v>
      </c>
      <c r="D174" t="s">
        <v>3</v>
      </c>
      <c r="E174">
        <v>1</v>
      </c>
      <c r="F174">
        <v>0</v>
      </c>
      <c r="G174">
        <v>0</v>
      </c>
      <c r="H174">
        <v>0</v>
      </c>
      <c r="I174" t="s">
        <v>25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5.3</v>
      </c>
      <c r="AE174">
        <v>766</v>
      </c>
      <c r="AF174">
        <v>11.059427821052431</v>
      </c>
      <c r="AG174">
        <v>10.088788652984499</v>
      </c>
      <c r="AH174">
        <f>1.95696213323624*1</f>
        <v>1.9569621332362399</v>
      </c>
      <c r="AI174">
        <v>1</v>
      </c>
      <c r="AJ174">
        <v>0</v>
      </c>
    </row>
    <row r="175" spans="1:36" hidden="1" x14ac:dyDescent="0.2">
      <c r="A175" t="s">
        <v>403</v>
      </c>
      <c r="B175" t="s">
        <v>404</v>
      </c>
      <c r="C175" t="s">
        <v>404</v>
      </c>
      <c r="D175" t="s">
        <v>3</v>
      </c>
      <c r="E175">
        <v>1</v>
      </c>
      <c r="F175">
        <v>0</v>
      </c>
      <c r="G175">
        <v>0</v>
      </c>
      <c r="H175">
        <v>0</v>
      </c>
      <c r="I175" t="s">
        <v>26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1</v>
      </c>
      <c r="AC175">
        <v>0</v>
      </c>
      <c r="AD175">
        <v>4.2</v>
      </c>
      <c r="AE175">
        <v>782</v>
      </c>
      <c r="AF175">
        <v>10.07462686567164</v>
      </c>
      <c r="AG175">
        <v>0</v>
      </c>
      <c r="AH175">
        <f>3.21579072520522*1</f>
        <v>3.21579072520522</v>
      </c>
      <c r="AI175">
        <v>1</v>
      </c>
      <c r="AJ175">
        <v>0</v>
      </c>
    </row>
    <row r="176" spans="1:36" hidden="1" x14ac:dyDescent="0.2">
      <c r="A176" t="s">
        <v>405</v>
      </c>
      <c r="B176" t="s">
        <v>406</v>
      </c>
      <c r="C176" t="s">
        <v>406</v>
      </c>
      <c r="D176" t="s">
        <v>5</v>
      </c>
      <c r="E176">
        <v>0</v>
      </c>
      <c r="F176">
        <v>0</v>
      </c>
      <c r="G176">
        <v>1</v>
      </c>
      <c r="H176">
        <v>0</v>
      </c>
      <c r="I176" t="s">
        <v>26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1</v>
      </c>
      <c r="AC176">
        <v>0</v>
      </c>
      <c r="AD176">
        <v>7.6</v>
      </c>
      <c r="AE176">
        <v>784</v>
      </c>
      <c r="AF176">
        <v>26.411427703227311</v>
      </c>
      <c r="AG176">
        <v>0</v>
      </c>
      <c r="AH176">
        <f>9.03238991365968*1</f>
        <v>9.0323899136596797</v>
      </c>
      <c r="AI176">
        <v>1</v>
      </c>
      <c r="AJ176">
        <v>0</v>
      </c>
    </row>
    <row r="177" spans="1:36" hidden="1" x14ac:dyDescent="0.2">
      <c r="A177" t="s">
        <v>71</v>
      </c>
      <c r="B177" t="s">
        <v>407</v>
      </c>
      <c r="C177" t="s">
        <v>408</v>
      </c>
      <c r="D177" t="s">
        <v>5</v>
      </c>
      <c r="E177">
        <v>0</v>
      </c>
      <c r="F177">
        <v>0</v>
      </c>
      <c r="G177">
        <v>1</v>
      </c>
      <c r="H177">
        <v>0</v>
      </c>
      <c r="I177" t="s">
        <v>26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6</v>
      </c>
      <c r="AE177">
        <v>797</v>
      </c>
      <c r="AF177">
        <v>20.555555555555561</v>
      </c>
      <c r="AG177">
        <v>0</v>
      </c>
      <c r="AH177">
        <f>6.5612717759537*1</f>
        <v>6.5612717759537</v>
      </c>
      <c r="AI177">
        <v>1</v>
      </c>
      <c r="AJ177">
        <v>0</v>
      </c>
    </row>
    <row r="178" spans="1:36" hidden="1" x14ac:dyDescent="0.2">
      <c r="A178" t="s">
        <v>409</v>
      </c>
      <c r="B178" t="s">
        <v>410</v>
      </c>
      <c r="C178" t="s">
        <v>410</v>
      </c>
      <c r="D178" t="s">
        <v>5</v>
      </c>
      <c r="E178">
        <v>0</v>
      </c>
      <c r="F178">
        <v>0</v>
      </c>
      <c r="G178">
        <v>1</v>
      </c>
      <c r="H178">
        <v>0</v>
      </c>
      <c r="I178" t="s">
        <v>26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</v>
      </c>
      <c r="AC178">
        <v>0</v>
      </c>
      <c r="AD178">
        <v>4.9000000000000004</v>
      </c>
      <c r="AE178">
        <v>799</v>
      </c>
      <c r="AF178">
        <v>14.376617617047691</v>
      </c>
      <c r="AG178">
        <v>0</v>
      </c>
      <c r="AH178">
        <f>3.69773554365541*1</f>
        <v>3.6977355436554098</v>
      </c>
      <c r="AI178">
        <v>1</v>
      </c>
      <c r="AJ178">
        <v>0</v>
      </c>
    </row>
    <row r="179" spans="1:36" hidden="1" x14ac:dyDescent="0.2">
      <c r="A179" t="s">
        <v>411</v>
      </c>
      <c r="B179" t="s">
        <v>412</v>
      </c>
      <c r="C179" t="s">
        <v>412</v>
      </c>
      <c r="D179" t="s">
        <v>4</v>
      </c>
      <c r="E179">
        <v>0</v>
      </c>
      <c r="F179">
        <v>1</v>
      </c>
      <c r="G179">
        <v>0</v>
      </c>
      <c r="H179">
        <v>0</v>
      </c>
      <c r="I179" t="s">
        <v>26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1</v>
      </c>
      <c r="AC179">
        <v>0</v>
      </c>
      <c r="AD179">
        <v>4.5</v>
      </c>
      <c r="AE179">
        <v>801</v>
      </c>
      <c r="AF179">
        <v>12.83720930232559</v>
      </c>
      <c r="AG179">
        <v>0</v>
      </c>
      <c r="AH179">
        <f>4.09759876592558*1</f>
        <v>4.0975987659255804</v>
      </c>
      <c r="AI179">
        <v>1</v>
      </c>
      <c r="AJ179">
        <v>0</v>
      </c>
    </row>
    <row r="180" spans="1:36" hidden="1" x14ac:dyDescent="0.2">
      <c r="A180" t="s">
        <v>232</v>
      </c>
      <c r="B180" t="s">
        <v>413</v>
      </c>
      <c r="C180" t="s">
        <v>413</v>
      </c>
      <c r="D180" t="s">
        <v>5</v>
      </c>
      <c r="E180">
        <v>0</v>
      </c>
      <c r="F180">
        <v>0</v>
      </c>
      <c r="G180">
        <v>1</v>
      </c>
      <c r="H180">
        <v>0</v>
      </c>
      <c r="I180" t="s">
        <v>26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1</v>
      </c>
      <c r="AC180">
        <v>0</v>
      </c>
      <c r="AD180">
        <v>5.8</v>
      </c>
      <c r="AE180">
        <v>805</v>
      </c>
      <c r="AF180">
        <v>19.382022471910119</v>
      </c>
      <c r="AG180">
        <v>0</v>
      </c>
      <c r="AH180">
        <f>6.18668353001404*1</f>
        <v>6.1866835300140401</v>
      </c>
      <c r="AI180">
        <v>1</v>
      </c>
      <c r="AJ180">
        <v>0</v>
      </c>
    </row>
    <row r="181" spans="1:36" hidden="1" x14ac:dyDescent="0.2">
      <c r="A181" t="s">
        <v>414</v>
      </c>
      <c r="B181" t="s">
        <v>415</v>
      </c>
      <c r="C181" t="s">
        <v>415</v>
      </c>
      <c r="D181" t="s">
        <v>5</v>
      </c>
      <c r="E181">
        <v>0</v>
      </c>
      <c r="F181">
        <v>0</v>
      </c>
      <c r="G181">
        <v>1</v>
      </c>
      <c r="H181">
        <v>0</v>
      </c>
      <c r="I181" t="s">
        <v>26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1</v>
      </c>
      <c r="AC181">
        <v>0</v>
      </c>
      <c r="AD181">
        <v>6.7</v>
      </c>
      <c r="AE181">
        <v>807</v>
      </c>
      <c r="AF181">
        <v>21.091546484277881</v>
      </c>
      <c r="AG181">
        <v>0</v>
      </c>
      <c r="AH181">
        <f>8.20011293237462*1</f>
        <v>8.2001129323746191</v>
      </c>
      <c r="AI181">
        <v>1</v>
      </c>
      <c r="AJ181">
        <v>0</v>
      </c>
    </row>
    <row r="182" spans="1:36" hidden="1" x14ac:dyDescent="0.2">
      <c r="A182" t="s">
        <v>416</v>
      </c>
      <c r="B182" t="s">
        <v>417</v>
      </c>
      <c r="C182" t="s">
        <v>417</v>
      </c>
      <c r="D182" t="s">
        <v>4</v>
      </c>
      <c r="E182">
        <v>0</v>
      </c>
      <c r="F182">
        <v>1</v>
      </c>
      <c r="G182">
        <v>0</v>
      </c>
      <c r="H182">
        <v>0</v>
      </c>
      <c r="I182" t="s">
        <v>27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</v>
      </c>
      <c r="AD182">
        <v>4.8</v>
      </c>
      <c r="AE182">
        <v>814</v>
      </c>
      <c r="AF182">
        <v>11.080351430162731</v>
      </c>
      <c r="AG182">
        <v>6.7677650225146451</v>
      </c>
      <c r="AH182">
        <f>4.11054956759872*1</f>
        <v>4.1105495675987198</v>
      </c>
      <c r="AI182">
        <v>1</v>
      </c>
      <c r="AJ182">
        <v>0</v>
      </c>
    </row>
    <row r="183" spans="1:36" hidden="1" x14ac:dyDescent="0.2">
      <c r="A183" t="s">
        <v>418</v>
      </c>
      <c r="B183" t="s">
        <v>419</v>
      </c>
      <c r="C183" t="s">
        <v>419</v>
      </c>
      <c r="D183" t="s">
        <v>4</v>
      </c>
      <c r="E183">
        <v>0</v>
      </c>
      <c r="F183">
        <v>1</v>
      </c>
      <c r="G183">
        <v>0</v>
      </c>
      <c r="H183">
        <v>0</v>
      </c>
      <c r="I183" t="s">
        <v>27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</v>
      </c>
      <c r="AD183">
        <v>4.5</v>
      </c>
      <c r="AE183">
        <v>820</v>
      </c>
      <c r="AF183">
        <v>12.70454545454545</v>
      </c>
      <c r="AG183">
        <v>9.7550633987917941</v>
      </c>
      <c r="AH183">
        <f>4.20329443804669*1</f>
        <v>4.2032944380466901</v>
      </c>
      <c r="AI183">
        <v>1</v>
      </c>
      <c r="AJ183">
        <v>0</v>
      </c>
    </row>
    <row r="184" spans="1:36" hidden="1" x14ac:dyDescent="0.2">
      <c r="A184" t="s">
        <v>420</v>
      </c>
      <c r="B184" t="s">
        <v>421</v>
      </c>
      <c r="C184" t="s">
        <v>422</v>
      </c>
      <c r="D184" t="s">
        <v>5</v>
      </c>
      <c r="E184">
        <v>0</v>
      </c>
      <c r="F184">
        <v>0</v>
      </c>
      <c r="G184">
        <v>1</v>
      </c>
      <c r="H184">
        <v>0</v>
      </c>
      <c r="I184" t="s">
        <v>27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5.4</v>
      </c>
      <c r="AE184">
        <v>825</v>
      </c>
      <c r="AF184">
        <v>16.64590497817905</v>
      </c>
      <c r="AG184">
        <v>11.13982362170078</v>
      </c>
      <c r="AH184">
        <f>7.06163719394214*1</f>
        <v>7.0616371939421398</v>
      </c>
      <c r="AI184">
        <v>1</v>
      </c>
      <c r="AJ184">
        <v>0</v>
      </c>
    </row>
    <row r="185" spans="1:36" hidden="1" x14ac:dyDescent="0.2">
      <c r="A185" t="s">
        <v>423</v>
      </c>
      <c r="B185" t="s">
        <v>424</v>
      </c>
      <c r="C185" t="s">
        <v>425</v>
      </c>
      <c r="D185" t="s">
        <v>5</v>
      </c>
      <c r="E185">
        <v>0</v>
      </c>
      <c r="F185">
        <v>0</v>
      </c>
      <c r="G185">
        <v>1</v>
      </c>
      <c r="H185">
        <v>0</v>
      </c>
      <c r="I185" t="s">
        <v>27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4.9000000000000004</v>
      </c>
      <c r="AE185">
        <v>826</v>
      </c>
      <c r="AF185">
        <v>10.170731707317071</v>
      </c>
      <c r="AG185">
        <v>11.07285397803245</v>
      </c>
      <c r="AH185">
        <f>4.76940183356638*1</f>
        <v>4.7694018335663797</v>
      </c>
      <c r="AI185">
        <v>1</v>
      </c>
      <c r="AJ185">
        <v>0</v>
      </c>
    </row>
    <row r="186" spans="1:36" hidden="1" x14ac:dyDescent="0.2">
      <c r="A186" t="s">
        <v>426</v>
      </c>
      <c r="B186" t="s">
        <v>427</v>
      </c>
      <c r="C186" t="s">
        <v>427</v>
      </c>
      <c r="D186" t="s">
        <v>4</v>
      </c>
      <c r="E186">
        <v>0</v>
      </c>
      <c r="F186">
        <v>1</v>
      </c>
      <c r="G186">
        <v>0</v>
      </c>
      <c r="H186">
        <v>0</v>
      </c>
      <c r="I186" t="s">
        <v>27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1</v>
      </c>
      <c r="AD186">
        <v>4.5999999999999996</v>
      </c>
      <c r="AE186">
        <v>830</v>
      </c>
      <c r="AF186">
        <v>10.77052567499779</v>
      </c>
      <c r="AG186">
        <v>10.24052663840099</v>
      </c>
      <c r="AH186">
        <f>4.51175166336175*1</f>
        <v>4.5117516633617498</v>
      </c>
      <c r="AI186">
        <v>1</v>
      </c>
      <c r="AJ186">
        <v>0</v>
      </c>
    </row>
    <row r="187" spans="1:36" hidden="1" x14ac:dyDescent="0.2">
      <c r="A187" t="s">
        <v>428</v>
      </c>
      <c r="B187" t="s">
        <v>429</v>
      </c>
      <c r="C187" t="s">
        <v>430</v>
      </c>
      <c r="D187" t="s">
        <v>5</v>
      </c>
      <c r="E187">
        <v>0</v>
      </c>
      <c r="F187">
        <v>0</v>
      </c>
      <c r="G187">
        <v>1</v>
      </c>
      <c r="H187">
        <v>0</v>
      </c>
      <c r="I187" t="s">
        <v>27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1</v>
      </c>
      <c r="AD187">
        <v>4.9000000000000004</v>
      </c>
      <c r="AE187">
        <v>832</v>
      </c>
      <c r="AF187">
        <v>16.667400477303872</v>
      </c>
      <c r="AG187">
        <v>9.1651131763143301</v>
      </c>
      <c r="AH187">
        <f>5.44816009371324*1</f>
        <v>5.4481600937132404</v>
      </c>
      <c r="AI187">
        <v>1</v>
      </c>
      <c r="AJ187">
        <v>0</v>
      </c>
    </row>
    <row r="188" spans="1:36" hidden="1" x14ac:dyDescent="0.2">
      <c r="A188" t="s">
        <v>431</v>
      </c>
      <c r="B188" t="s">
        <v>432</v>
      </c>
      <c r="C188" t="s">
        <v>433</v>
      </c>
      <c r="D188" t="s">
        <v>3</v>
      </c>
      <c r="E188">
        <v>1</v>
      </c>
      <c r="F188">
        <v>0</v>
      </c>
      <c r="G188">
        <v>0</v>
      </c>
      <c r="H188">
        <v>0</v>
      </c>
      <c r="I188" t="s">
        <v>27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5</v>
      </c>
      <c r="AE188">
        <v>835</v>
      </c>
      <c r="AF188">
        <v>11.461406729173889</v>
      </c>
      <c r="AG188">
        <v>9.388638330401891</v>
      </c>
      <c r="AH188">
        <f>4.39660307478712*1</f>
        <v>4.3966030747871203</v>
      </c>
      <c r="AI188">
        <v>1</v>
      </c>
      <c r="AJ188">
        <v>0</v>
      </c>
    </row>
    <row r="189" spans="1:36" hidden="1" x14ac:dyDescent="0.2">
      <c r="A189" t="s">
        <v>434</v>
      </c>
      <c r="B189" t="s">
        <v>435</v>
      </c>
      <c r="C189" t="s">
        <v>435</v>
      </c>
      <c r="D189" t="s">
        <v>5</v>
      </c>
      <c r="E189">
        <v>0</v>
      </c>
      <c r="F189">
        <v>0</v>
      </c>
      <c r="G189">
        <v>1</v>
      </c>
      <c r="H189">
        <v>0</v>
      </c>
      <c r="I189" t="s">
        <v>27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4.7</v>
      </c>
      <c r="AE189">
        <v>836</v>
      </c>
      <c r="AF189">
        <v>18.461538461538471</v>
      </c>
      <c r="AG189">
        <v>12.830105712297531</v>
      </c>
      <c r="AH189">
        <f>5.77412396676202*1</f>
        <v>5.7741239667620201</v>
      </c>
      <c r="AI189">
        <v>1</v>
      </c>
      <c r="AJ189">
        <v>0</v>
      </c>
    </row>
    <row r="190" spans="1:36" hidden="1" x14ac:dyDescent="0.2">
      <c r="A190" t="s">
        <v>436</v>
      </c>
      <c r="B190" t="s">
        <v>437</v>
      </c>
      <c r="C190" t="s">
        <v>438</v>
      </c>
      <c r="D190" t="s">
        <v>4</v>
      </c>
      <c r="E190">
        <v>0</v>
      </c>
      <c r="F190">
        <v>1</v>
      </c>
      <c r="G190">
        <v>0</v>
      </c>
      <c r="H190">
        <v>0</v>
      </c>
      <c r="I190" t="s">
        <v>27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4.5</v>
      </c>
      <c r="AE190">
        <v>838</v>
      </c>
      <c r="AF190">
        <v>8.9054002124364402</v>
      </c>
      <c r="AG190">
        <v>9.6182309508259376</v>
      </c>
      <c r="AH190">
        <f>3.48427430805233*1</f>
        <v>3.48427430805233</v>
      </c>
      <c r="AI190">
        <v>1</v>
      </c>
      <c r="AJ190">
        <v>0</v>
      </c>
    </row>
    <row r="191" spans="1:36" hidden="1" x14ac:dyDescent="0.2">
      <c r="A191" t="s">
        <v>439</v>
      </c>
      <c r="B191" t="s">
        <v>440</v>
      </c>
      <c r="C191" t="s">
        <v>441</v>
      </c>
      <c r="D191" t="s">
        <v>4</v>
      </c>
      <c r="E191">
        <v>0</v>
      </c>
      <c r="F191">
        <v>1</v>
      </c>
      <c r="G191">
        <v>0</v>
      </c>
      <c r="H191">
        <v>0</v>
      </c>
      <c r="I191" t="s">
        <v>27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</v>
      </c>
      <c r="AD191">
        <v>4.4000000000000004</v>
      </c>
      <c r="AE191">
        <v>839</v>
      </c>
      <c r="AF191">
        <v>9.115384615384615</v>
      </c>
      <c r="AG191">
        <v>7.7682590018189703</v>
      </c>
      <c r="AH191">
        <f>3.35777794103533*1</f>
        <v>3.3577779410353301</v>
      </c>
      <c r="AI191">
        <v>1</v>
      </c>
      <c r="AJ191">
        <v>0</v>
      </c>
    </row>
    <row r="192" spans="1:36" x14ac:dyDescent="0.2">
      <c r="A192" t="s">
        <v>379</v>
      </c>
      <c r="B192" t="s">
        <v>380</v>
      </c>
      <c r="C192" s="1" t="s">
        <v>380</v>
      </c>
      <c r="D192" t="s">
        <v>3</v>
      </c>
      <c r="E192">
        <v>1</v>
      </c>
      <c r="F192">
        <v>0</v>
      </c>
      <c r="G192">
        <v>0</v>
      </c>
      <c r="H192">
        <v>0</v>
      </c>
      <c r="I192" t="s">
        <v>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4.4000000000000004</v>
      </c>
      <c r="AE192">
        <v>706</v>
      </c>
      <c r="AF192">
        <v>0</v>
      </c>
      <c r="AG192">
        <v>8.3169819944473993</v>
      </c>
      <c r="AH192">
        <f>4.97496011240359*1</f>
        <v>4.9749601124035898</v>
      </c>
      <c r="AI192">
        <v>1</v>
      </c>
      <c r="AJ19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Corridore, Gabe</cp:lastModifiedBy>
  <dcterms:created xsi:type="dcterms:W3CDTF">2024-05-03T01:16:46Z</dcterms:created>
  <dcterms:modified xsi:type="dcterms:W3CDTF">2024-05-03T01:26:20Z</dcterms:modified>
</cp:coreProperties>
</file>