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A2237792-1C3D-C744-9122-C0ACAEE2DB4C}" xr6:coauthVersionLast="47" xr6:coauthVersionMax="47" xr10:uidLastSave="{00000000-0000-0000-0000-000000000000}"/>
  <bookViews>
    <workbookView xWindow="240" yWindow="760" windowWidth="18900" windowHeight="13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5" i="1" l="1"/>
  <c r="AH145" i="1"/>
  <c r="AI144" i="1"/>
  <c r="AH144" i="1"/>
  <c r="AI143" i="1"/>
  <c r="AH143" i="1"/>
  <c r="AI103" i="1"/>
  <c r="AH103" i="1"/>
  <c r="AI141" i="1"/>
  <c r="AH141" i="1"/>
  <c r="AI114" i="1"/>
  <c r="AH114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45" i="1"/>
  <c r="AH45" i="1"/>
  <c r="AI93" i="1"/>
  <c r="AH93" i="1"/>
  <c r="AI115" i="1"/>
  <c r="AH115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44" i="1"/>
  <c r="AH44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19" i="1"/>
  <c r="AH19" i="1"/>
  <c r="AI142" i="1"/>
  <c r="AH14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6" i="1"/>
  <c r="AH6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113" i="1"/>
  <c r="AH113" i="1"/>
  <c r="AI140" i="1"/>
  <c r="AH140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1" i="1"/>
  <c r="AH11" i="1"/>
  <c r="AO18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O11" i="1"/>
  <c r="AO14" i="1" s="1"/>
  <c r="AI57" i="1"/>
  <c r="AH57" i="1"/>
  <c r="AI10" i="1"/>
  <c r="AH10" i="1"/>
  <c r="AO9" i="1"/>
  <c r="AI9" i="1"/>
  <c r="AH9" i="1"/>
  <c r="AO8" i="1"/>
  <c r="AI8" i="1"/>
  <c r="AH8" i="1"/>
  <c r="AO2" i="1" s="1"/>
  <c r="AO7" i="1"/>
  <c r="AI92" i="1"/>
  <c r="AH92" i="1"/>
  <c r="AO6" i="1"/>
  <c r="AI7" i="1"/>
  <c r="AH7" i="1"/>
  <c r="AI5" i="1"/>
  <c r="AH5" i="1"/>
  <c r="AO4" i="1"/>
  <c r="AI4" i="1"/>
  <c r="AH4" i="1"/>
  <c r="AI3" i="1"/>
  <c r="AH3" i="1"/>
  <c r="AI2" i="1"/>
  <c r="AH2" i="1"/>
  <c r="AO16" i="1" l="1"/>
</calcChain>
</file>

<file path=xl/sharedStrings.xml><?xml version="1.0" encoding="utf-8"?>
<sst xmlns="http://schemas.openxmlformats.org/spreadsheetml/2006/main" count="789" uniqueCount="348">
  <si>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</si>
  <si>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</si>
  <si>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</si>
  <si>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</si>
  <si>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</si>
  <si>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</si>
  <si>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</si>
  <si>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</si>
  <si>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</si>
  <si>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</si>
  <si>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</si>
  <si>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</si>
  <si>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</si>
  <si>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</si>
  <si>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</si>
  <si>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</si>
  <si>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</si>
  <si>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</si>
  <si>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</si>
  <si>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</si>
  <si>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</si>
  <si>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</si>
  <si>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</si>
  <si>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</si>
  <si>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</si>
  <si>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</si>
  <si>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</si>
  <si>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</si>
  <si>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</si>
  <si>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</si>
  <si>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</si>
  <si>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</si>
  <si>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</si>
  <si>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</si>
  <si>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</si>
  <si>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</si>
  <si>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</si>
  <si>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</si>
  <si>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</si>
  <si>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</si>
  <si>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</si>
  <si>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</si>
  <si>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</si>
  <si>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</si>
  <si>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</si>
  <si>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</si>
  <si>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</si>
  <si>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</si>
  <si>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</si>
  <si>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</si>
  <si>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</si>
  <si>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</si>
  <si>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</si>
  <si>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</si>
  <si>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</si>
  <si>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</si>
  <si>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</si>
  <si>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</si>
  <si>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</si>
  <si>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</si>
  <si>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</si>
  <si>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</si>
  <si>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</si>
  <si>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</si>
  <si>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</si>
  <si>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</si>
  <si>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</si>
  <si>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</si>
  <si>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</si>
  <si>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Lucas</t>
  </si>
  <si>
    <t>Digne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</si>
  <si>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</si>
  <si>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</si>
  <si>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</si>
  <si>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</si>
  <si>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</si>
  <si>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</si>
  <si>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</si>
  <si>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</si>
  <si>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</si>
  <si>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</si>
  <si>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</si>
  <si>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</si>
  <si>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</si>
  <si>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</si>
  <si>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</si>
  <si>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</si>
  <si>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</si>
  <si>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</si>
  <si>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</si>
  <si>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</si>
  <si>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</si>
  <si>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</si>
  <si>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</si>
  <si>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</si>
  <si>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</si>
  <si>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</si>
  <si>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</si>
  <si>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</si>
  <si>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</si>
  <si>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</si>
  <si>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</si>
  <si>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</si>
  <si>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</si>
  <si>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</si>
  <si>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</si>
  <si>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</si>
  <si>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</si>
  <si>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</si>
  <si>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</si>
  <si>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</si>
  <si>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Kristoffer</t>
  </si>
  <si>
    <t>Ajer</t>
  </si>
  <si>
    <t>Nathan</t>
  </si>
  <si>
    <t>Collins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</si>
  <si>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</si>
  <si>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</si>
  <si>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</si>
  <si>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</si>
  <si>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</si>
  <si>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</si>
  <si>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</si>
  <si>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</si>
  <si>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</si>
  <si>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</si>
  <si>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Ethan</t>
  </si>
  <si>
    <t>Pinnock</t>
  </si>
  <si>
    <t>Mads</t>
  </si>
  <si>
    <t>Roerslev Rasmussen</t>
  </si>
  <si>
    <t>Roerslev</t>
  </si>
  <si>
    <t>Yoane</t>
  </si>
  <si>
    <t>Wissa</t>
  </si>
  <si>
    <t>Simon</t>
  </si>
  <si>
    <t>Adingra</t>
  </si>
  <si>
    <t>Dunk</t>
  </si>
  <si>
    <t>Pascal</t>
  </si>
  <si>
    <t>Groß</t>
  </si>
  <si>
    <t>Gross</t>
  </si>
  <si>
    <t>Josh</t>
  </si>
  <si>
    <t>Brownhill</t>
  </si>
  <si>
    <t>Dara</t>
  </si>
  <si>
    <t>O'Shea</t>
  </si>
  <si>
    <t>Zeki</t>
  </si>
  <si>
    <t>Amdouni</t>
  </si>
  <si>
    <t>Jacob</t>
  </si>
  <si>
    <t>Bruun Larsen</t>
  </si>
  <si>
    <t>Wilson</t>
  </si>
  <si>
    <t>Odobert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</si>
  <si>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</si>
  <si>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</si>
  <si>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</si>
  <si>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</si>
  <si>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</si>
  <si>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</si>
  <si>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</si>
  <si>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</si>
  <si>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</si>
  <si>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</si>
  <si>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</si>
  <si>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Thiago</t>
  </si>
  <si>
    <t>Emiliano da Silva</t>
  </si>
  <si>
    <t>T.Silva</t>
  </si>
  <si>
    <t>Cole</t>
  </si>
  <si>
    <t>Palmer</t>
  </si>
  <si>
    <t>Joachim</t>
  </si>
  <si>
    <t>Andersen</t>
  </si>
  <si>
    <t>Jordan</t>
  </si>
  <si>
    <t>Ayew</t>
  </si>
  <si>
    <t>J.Ayew</t>
  </si>
  <si>
    <t>Eberechi</t>
  </si>
  <si>
    <t>Eze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</si>
  <si>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</si>
  <si>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</si>
  <si>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</si>
  <si>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</si>
  <si>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</si>
  <si>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</si>
  <si>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</si>
  <si>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</si>
  <si>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</si>
  <si>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Jeffrey</t>
  </si>
  <si>
    <t>Schlupp</t>
  </si>
  <si>
    <t>Jarrad</t>
  </si>
  <si>
    <t>Branthwaite</t>
  </si>
  <si>
    <t>Calvert-Lewin</t>
  </si>
  <si>
    <t>Abdoulaye</t>
  </si>
  <si>
    <t>Doucouré</t>
  </si>
  <si>
    <t>A.Doucoure</t>
  </si>
  <si>
    <t>James</t>
  </si>
  <si>
    <t>Garner</t>
  </si>
  <si>
    <t>Dwight</t>
  </si>
  <si>
    <t>McNeil</t>
  </si>
  <si>
    <t>Vitalii</t>
  </si>
  <si>
    <t>Mykolenko</t>
  </si>
  <si>
    <t>Pickford</t>
  </si>
  <si>
    <t>Tarkowski</t>
  </si>
  <si>
    <t>Ashley</t>
  </si>
  <si>
    <t>Young</t>
  </si>
  <si>
    <t>Jack</t>
  </si>
  <si>
    <t>Harrison</t>
  </si>
  <si>
    <t>Alex</t>
  </si>
  <si>
    <t>Iwobi</t>
  </si>
  <si>
    <t>Andreas</t>
  </si>
  <si>
    <t>Hoelgebaum Pereira</t>
  </si>
  <si>
    <t>Tom</t>
  </si>
  <si>
    <t>Cairney</t>
  </si>
  <si>
    <t>Bobby</t>
  </si>
  <si>
    <t>De Cordova-Reid</t>
  </si>
  <si>
    <t>Bernd</t>
  </si>
  <si>
    <t>Leno</t>
  </si>
  <si>
    <t>João</t>
  </si>
  <si>
    <t>Palhinha Gonçalves</t>
  </si>
  <si>
    <t>J.Palhinha</t>
  </si>
  <si>
    <t>Antonee</t>
  </si>
  <si>
    <t>Robinson</t>
  </si>
  <si>
    <t>Willian</t>
  </si>
  <si>
    <t>Borges da Silva</t>
  </si>
  <si>
    <t>Calvin</t>
  </si>
  <si>
    <t>Bassey</t>
  </si>
  <si>
    <t>Timothy</t>
  </si>
  <si>
    <t>Castagne</t>
  </si>
  <si>
    <t>Alisson</t>
  </si>
  <si>
    <t>Ramses Becker</t>
  </si>
  <si>
    <t>A.Becker</t>
  </si>
  <si>
    <t>Darwin</t>
  </si>
  <si>
    <t>Núñez Ribeiro</t>
  </si>
  <si>
    <t>Cody</t>
  </si>
  <si>
    <t>Gakpo</t>
  </si>
  <si>
    <t>Luis</t>
  </si>
  <si>
    <t>Díaz</t>
  </si>
  <si>
    <t>Luis Díaz</t>
  </si>
  <si>
    <t>Alexis</t>
  </si>
  <si>
    <t>Mac Allister</t>
  </si>
  <si>
    <t>Mohamed</t>
  </si>
  <si>
    <t>Salah</t>
  </si>
  <si>
    <t>Virgil</t>
  </si>
  <si>
    <t>van Dijk</t>
  </si>
  <si>
    <t>Carlton</t>
  </si>
  <si>
    <t>Morris</t>
  </si>
  <si>
    <t>Chiedozie</t>
  </si>
  <si>
    <t>Ogbene</t>
  </si>
  <si>
    <t>Thomas</t>
  </si>
  <si>
    <t>Kaminski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</si>
  <si>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</si>
  <si>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</si>
  <si>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</si>
  <si>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</si>
  <si>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</si>
  <si>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</si>
  <si>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</si>
  <si>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</si>
  <si>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</si>
  <si>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</si>
  <si>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</si>
  <si>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</si>
  <si>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</si>
  <si>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</si>
  <si>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</si>
  <si>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</si>
  <si>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</si>
  <si>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</si>
  <si>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</si>
  <si>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</si>
  <si>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</si>
  <si>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</si>
  <si>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</si>
  <si>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Bruno</t>
  </si>
  <si>
    <t>Borges Fernandes</t>
  </si>
  <si>
    <t>B.Fernandes</t>
  </si>
  <si>
    <t>Alejandro</t>
  </si>
  <si>
    <t>Garnacho</t>
  </si>
  <si>
    <t>Rashford</t>
  </si>
  <si>
    <t>André</t>
  </si>
  <si>
    <t>Onana</t>
  </si>
  <si>
    <t>Rasmus</t>
  </si>
  <si>
    <t>Højlund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</si>
  <si>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</si>
  <si>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</si>
  <si>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</si>
  <si>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</si>
  <si>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</si>
  <si>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</si>
  <si>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</si>
  <si>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</si>
  <si>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</si>
  <si>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</si>
  <si>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</si>
  <si>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</si>
  <si>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Kieran</t>
  </si>
  <si>
    <t>Trippier</t>
  </si>
  <si>
    <t>Callum</t>
  </si>
  <si>
    <t>Hudson-Odoi</t>
  </si>
  <si>
    <t>Elanga</t>
  </si>
  <si>
    <t>Danilo</t>
  </si>
  <si>
    <t>dos Santos de Oliveira</t>
  </si>
  <si>
    <t>Morgan</t>
  </si>
  <si>
    <t>Gibbs-White</t>
  </si>
  <si>
    <t>Chris</t>
  </si>
  <si>
    <t>Wood</t>
  </si>
  <si>
    <t>Cameron</t>
  </si>
  <si>
    <t>Archer</t>
  </si>
  <si>
    <t>Wes</t>
  </si>
  <si>
    <t>Foderingham</t>
  </si>
  <si>
    <t>Gustavo</t>
  </si>
  <si>
    <t>Hamer</t>
  </si>
  <si>
    <t>Brennan</t>
  </si>
  <si>
    <t>Johnson</t>
  </si>
  <si>
    <t>Pedro</t>
  </si>
  <si>
    <t>Porro</t>
  </si>
  <si>
    <t>Pedro Porro</t>
  </si>
  <si>
    <t>Son</t>
  </si>
  <si>
    <t>Heung-min</t>
  </si>
  <si>
    <t>Guglielmo</t>
  </si>
  <si>
    <t>Vicario</t>
  </si>
  <si>
    <t>Alphonse</t>
  </si>
  <si>
    <t>Areola</t>
  </si>
  <si>
    <t>Jarrod</t>
  </si>
  <si>
    <t>Bowen</t>
  </si>
  <si>
    <t>Tolentino Coelho de Lima</t>
  </si>
  <si>
    <t>L.Paquetá</t>
  </si>
  <si>
    <t>Kurt</t>
  </si>
  <si>
    <t>Zouma</t>
  </si>
  <si>
    <t>Ward-Prowse</t>
  </si>
  <si>
    <t>Mohammed</t>
  </si>
  <si>
    <t>Kudus</t>
  </si>
  <si>
    <t>Rayan</t>
  </si>
  <si>
    <t>Aït-Nouri</t>
  </si>
  <si>
    <t>Craig</t>
  </si>
  <si>
    <t>Dawson</t>
  </si>
  <si>
    <t>Hwang</t>
  </si>
  <si>
    <t>Hee-chan</t>
  </si>
  <si>
    <t>Hee Chan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</si>
  <si>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</si>
  <si>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</si>
  <si>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</si>
  <si>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</si>
  <si>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</si>
  <si>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</si>
  <si>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</si>
  <si>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</si>
  <si>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Pablo</t>
  </si>
  <si>
    <t>Sarabia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</si>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</sst>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45" totalsRowShown="0">
  <autoFilter ref="A1:AL145" xr:uid="{00000000-0009-0000-0100-000001000000}">
    <filterColumn colId="37">
      <filters>
        <filter val="1"/>
      </filters>
    </filterColumn>
  </autoFilter>
  <sortState xmlns:xlrd2="http://schemas.microsoft.com/office/spreadsheetml/2017/richdata2" ref="A6:AL142">
    <sortCondition descending="1" ref="AI1:AI145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5"/>
  <sheetViews>
    <sheetView tabSelected="1" workbookViewId="0">
      <selection activeCell="AJ152" sqref="AJ152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5.4</v>
      </c>
      <c r="AE2">
        <v>4</v>
      </c>
      <c r="AF2">
        <v>11.266056946299839</v>
      </c>
      <c r="AG2">
        <v>0</v>
      </c>
      <c r="AH2">
        <f>14.1475904545839*1</f>
        <v>14.1475904545839</v>
      </c>
      <c r="AI2">
        <f>3.59196064482921*1</f>
        <v>3.5919606448292098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336.9403020090557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7.5</v>
      </c>
      <c r="AE3">
        <v>5</v>
      </c>
      <c r="AF3">
        <v>20.82725533489813</v>
      </c>
      <c r="AG3">
        <v>0</v>
      </c>
      <c r="AH3">
        <f>26.1542685409523*1</f>
        <v>26.154268540952302</v>
      </c>
      <c r="AI3">
        <f>9.06380980585358*1</f>
        <v>9.0638098058535803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7.7</v>
      </c>
      <c r="AE4">
        <v>6</v>
      </c>
      <c r="AF4">
        <v>11.96319018404907</v>
      </c>
      <c r="AG4">
        <v>0</v>
      </c>
      <c r="AH4">
        <f>15.0230303344785*1</f>
        <v>15.0230303344785</v>
      </c>
      <c r="AI4">
        <f>5.0076767781595*1</f>
        <v>5.0076767781595004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95.299999999999983</v>
      </c>
      <c r="AP4">
        <v>102.5</v>
      </c>
    </row>
    <row r="5" spans="1:42" hidden="1" x14ac:dyDescent="0.2">
      <c r="A5" t="s">
        <v>50</v>
      </c>
      <c r="B5" t="s">
        <v>51</v>
      </c>
      <c r="C5" t="s">
        <v>51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8.6</v>
      </c>
      <c r="AE5">
        <v>12</v>
      </c>
      <c r="AF5">
        <v>15.920757968856689</v>
      </c>
      <c r="AG5">
        <v>0</v>
      </c>
      <c r="AH5">
        <f>19.9928301928133*1</f>
        <v>19.992830192813301</v>
      </c>
      <c r="AI5">
        <f>6.66427673093778*1</f>
        <v>6.6642767309377797</v>
      </c>
      <c r="AJ5">
        <v>1</v>
      </c>
      <c r="AK5">
        <v>0</v>
      </c>
      <c r="AL5">
        <v>0</v>
      </c>
    </row>
    <row r="6" spans="1:42" x14ac:dyDescent="0.2">
      <c r="A6" t="s">
        <v>162</v>
      </c>
      <c r="B6" t="s">
        <v>163</v>
      </c>
      <c r="C6" t="s">
        <v>163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6.2</v>
      </c>
      <c r="AE6">
        <v>285</v>
      </c>
      <c r="AF6">
        <v>58.933063126395879</v>
      </c>
      <c r="AG6">
        <v>0</v>
      </c>
      <c r="AH6">
        <f>74.9476310872495*1</f>
        <v>74.947631087249505</v>
      </c>
      <c r="AI6">
        <f>23.7746632535929*1</f>
        <v>23.774663253592902</v>
      </c>
      <c r="AJ6">
        <v>1</v>
      </c>
      <c r="AK6">
        <v>1</v>
      </c>
      <c r="AL6">
        <v>1</v>
      </c>
      <c r="AN6" t="s">
        <v>3</v>
      </c>
      <c r="AO6">
        <f>SUMPRODUCT(Table1[Selected],Table1[GKP])</f>
        <v>2</v>
      </c>
      <c r="AP6">
        <v>2</v>
      </c>
    </row>
    <row r="7" spans="1:42" x14ac:dyDescent="0.2">
      <c r="A7" t="s">
        <v>52</v>
      </c>
      <c r="B7" t="s">
        <v>53</v>
      </c>
      <c r="C7" t="s">
        <v>53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17</v>
      </c>
      <c r="AF7">
        <v>19.542525534886</v>
      </c>
      <c r="AG7">
        <v>0</v>
      </c>
      <c r="AH7">
        <f>24.5409417894538*1</f>
        <v>24.5409417894538</v>
      </c>
      <c r="AI7">
        <f>8.18031392981793*1</f>
        <v>8.1803139298179293</v>
      </c>
      <c r="AJ7">
        <v>1</v>
      </c>
      <c r="AK7">
        <v>1</v>
      </c>
      <c r="AL7">
        <v>1</v>
      </c>
      <c r="AN7" t="s">
        <v>4</v>
      </c>
      <c r="AO7">
        <f>SUMPRODUCT(Table1[Selected],Table1[DEF])</f>
        <v>5</v>
      </c>
      <c r="AP7">
        <v>5</v>
      </c>
    </row>
    <row r="8" spans="1:42" hidden="1" x14ac:dyDescent="0.2">
      <c r="A8" t="s">
        <v>56</v>
      </c>
      <c r="B8" t="s">
        <v>57</v>
      </c>
      <c r="C8" t="s">
        <v>57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6.5</v>
      </c>
      <c r="AE8">
        <v>22</v>
      </c>
      <c r="AF8">
        <v>11.373314493566349</v>
      </c>
      <c r="AG8">
        <v>0</v>
      </c>
      <c r="AH8">
        <f>14.2822813991728*1</f>
        <v>14.282281399172801</v>
      </c>
      <c r="AI8">
        <f>4.58795114501114*1</f>
        <v>4.5879511450111403</v>
      </c>
      <c r="AJ8">
        <v>1</v>
      </c>
      <c r="AK8">
        <v>0</v>
      </c>
      <c r="AL8">
        <v>0</v>
      </c>
      <c r="AN8" t="s">
        <v>5</v>
      </c>
      <c r="AO8">
        <f>SUMPRODUCT(Table1[Selected],Table1[MID])</f>
        <v>5</v>
      </c>
      <c r="AP8">
        <v>5</v>
      </c>
    </row>
    <row r="9" spans="1:42" hidden="1" x14ac:dyDescent="0.2">
      <c r="A9" t="s">
        <v>58</v>
      </c>
      <c r="B9" t="s">
        <v>59</v>
      </c>
      <c r="C9" t="s">
        <v>59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</v>
      </c>
      <c r="AE9">
        <v>23</v>
      </c>
      <c r="AF9">
        <v>13.434782608695651</v>
      </c>
      <c r="AG9">
        <v>0</v>
      </c>
      <c r="AH9">
        <f>16.8710137983652*1</f>
        <v>16.871013798365201</v>
      </c>
      <c r="AI9">
        <f>5.62367126612173*1</f>
        <v>5.6236712661217299</v>
      </c>
      <c r="AJ9">
        <v>1</v>
      </c>
      <c r="AK9">
        <v>0</v>
      </c>
      <c r="AL9">
        <v>0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25</v>
      </c>
      <c r="AF10">
        <v>10.263157894736841</v>
      </c>
      <c r="AG10">
        <v>0</v>
      </c>
      <c r="AH10">
        <f>12.8881786553684*1</f>
        <v>12.888178655368399</v>
      </c>
      <c r="AI10">
        <f>4.29605955178947*1</f>
        <v>4.2960595517894697</v>
      </c>
      <c r="AJ10">
        <v>1</v>
      </c>
      <c r="AK10">
        <v>0</v>
      </c>
      <c r="AL10">
        <v>0</v>
      </c>
    </row>
    <row r="11" spans="1:42" x14ac:dyDescent="0.2">
      <c r="A11" t="s">
        <v>81</v>
      </c>
      <c r="B11" t="s">
        <v>82</v>
      </c>
      <c r="C11" t="s">
        <v>82</v>
      </c>
      <c r="D11" t="s">
        <v>6</v>
      </c>
      <c r="E11">
        <v>0</v>
      </c>
      <c r="F11">
        <v>0</v>
      </c>
      <c r="G11">
        <v>0</v>
      </c>
      <c r="H11">
        <v>1</v>
      </c>
      <c r="I11" t="s">
        <v>12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9</v>
      </c>
      <c r="AE11">
        <v>64</v>
      </c>
      <c r="AF11">
        <v>18.133635936180571</v>
      </c>
      <c r="AG11">
        <v>11.98395121487221</v>
      </c>
      <c r="AH11">
        <f>19.6412388515447*1</f>
        <v>19.641238851544699</v>
      </c>
      <c r="AI11">
        <f>6.54494386903429*1</f>
        <v>6.5449438690342898</v>
      </c>
      <c r="AJ11">
        <v>1</v>
      </c>
      <c r="AK11">
        <v>1</v>
      </c>
      <c r="AL11">
        <v>1</v>
      </c>
      <c r="AN11" t="s">
        <v>7</v>
      </c>
      <c r="AO11">
        <f>SUMPRODUCT(Table1[Selected], -- (Table1[PREV] = 0))</f>
        <v>1</v>
      </c>
    </row>
    <row r="12" spans="1:42" hidden="1" x14ac:dyDescent="0.2">
      <c r="A12" t="s">
        <v>65</v>
      </c>
      <c r="B12" t="s">
        <v>66</v>
      </c>
      <c r="C12" t="s">
        <v>66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5.5</v>
      </c>
      <c r="AE12">
        <v>27</v>
      </c>
      <c r="AF12">
        <v>11.594374679184179</v>
      </c>
      <c r="AG12">
        <v>0</v>
      </c>
      <c r="AH12">
        <f>14.5598824255872*1</f>
        <v>14.559882425587199</v>
      </c>
      <c r="AI12">
        <f>4.46906050440033*1</f>
        <v>4.4690605044003302</v>
      </c>
      <c r="AJ12">
        <v>1</v>
      </c>
      <c r="AK12">
        <v>0</v>
      </c>
      <c r="AL12">
        <v>0</v>
      </c>
      <c r="AN12" t="s">
        <v>8</v>
      </c>
      <c r="AO12">
        <v>1</v>
      </c>
    </row>
    <row r="13" spans="1:42" hidden="1" x14ac:dyDescent="0.2">
      <c r="A13" t="s">
        <v>67</v>
      </c>
      <c r="B13" t="s">
        <v>68</v>
      </c>
      <c r="C13" t="s">
        <v>68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5.5</v>
      </c>
      <c r="AE13">
        <v>39</v>
      </c>
      <c r="AF13">
        <v>12.650051533301969</v>
      </c>
      <c r="AG13">
        <v>9.0907472747125677</v>
      </c>
      <c r="AH13">
        <f>13.8022940278889*1</f>
        <v>13.8022940278889</v>
      </c>
      <c r="AI13">
        <f>4.64701659925895*1</f>
        <v>4.6470165992589498</v>
      </c>
      <c r="AJ13">
        <v>1</v>
      </c>
      <c r="AK13">
        <v>0</v>
      </c>
      <c r="AL13">
        <v>0</v>
      </c>
    </row>
    <row r="14" spans="1:42" hidden="1" x14ac:dyDescent="0.2">
      <c r="A14" t="s">
        <v>69</v>
      </c>
      <c r="B14" t="s">
        <v>70</v>
      </c>
      <c r="C14" t="s">
        <v>70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4.5999999999999996</v>
      </c>
      <c r="AE14">
        <v>47</v>
      </c>
      <c r="AF14">
        <v>7.9107519444488874</v>
      </c>
      <c r="AG14">
        <v>11.251830972186861</v>
      </c>
      <c r="AH14">
        <f>9.39723014745061*1</f>
        <v>9.3972301474506104</v>
      </c>
      <c r="AI14">
        <f>3.42178909868376*1</f>
        <v>3.4217890986837598</v>
      </c>
      <c r="AJ14">
        <v>1</v>
      </c>
      <c r="AK14">
        <v>0</v>
      </c>
      <c r="AL14">
        <v>0</v>
      </c>
      <c r="AN14" t="s">
        <v>9</v>
      </c>
      <c r="AO14">
        <f>((AO11-AO12)+ABS((AO11-AO12)))/2*4</f>
        <v>0</v>
      </c>
    </row>
    <row r="15" spans="1:42" hidden="1" x14ac:dyDescent="0.2">
      <c r="A15" t="s">
        <v>71</v>
      </c>
      <c r="B15" t="s">
        <v>72</v>
      </c>
      <c r="C15" t="s">
        <v>73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53</v>
      </c>
      <c r="AF15">
        <v>8.512987012987006</v>
      </c>
      <c r="AG15">
        <v>8.9025260324240012</v>
      </c>
      <c r="AH15">
        <f>9.67154773165487*1</f>
        <v>9.6715477316548704</v>
      </c>
      <c r="AI15">
        <f>3.27301490831525*1</f>
        <v>3.27301490831525</v>
      </c>
      <c r="AJ15">
        <v>1</v>
      </c>
      <c r="AK15">
        <v>0</v>
      </c>
      <c r="AL15">
        <v>0</v>
      </c>
    </row>
    <row r="16" spans="1:42" hidden="1" x14ac:dyDescent="0.2">
      <c r="A16" t="s">
        <v>74</v>
      </c>
      <c r="B16" t="s">
        <v>75</v>
      </c>
      <c r="C16" t="s">
        <v>76</v>
      </c>
      <c r="D16" t="s">
        <v>3</v>
      </c>
      <c r="E16">
        <v>1</v>
      </c>
      <c r="F16">
        <v>0</v>
      </c>
      <c r="G16">
        <v>0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5.3</v>
      </c>
      <c r="AE16">
        <v>54</v>
      </c>
      <c r="AF16">
        <v>10.544117647058821</v>
      </c>
      <c r="AG16">
        <v>10.74708733675962</v>
      </c>
      <c r="AH16">
        <f>11.9406454096396*1</f>
        <v>11.9406454096396</v>
      </c>
      <c r="AI16">
        <f>4.01814177697582*1</f>
        <v>4.0181417769758196</v>
      </c>
      <c r="AJ16">
        <v>1</v>
      </c>
      <c r="AK16">
        <v>0</v>
      </c>
      <c r="AL16">
        <v>0</v>
      </c>
      <c r="AN16" t="s">
        <v>10</v>
      </c>
      <c r="AO16">
        <f>AO2-AO14*5</f>
        <v>336.9403020090557</v>
      </c>
    </row>
    <row r="17" spans="1:42" hidden="1" x14ac:dyDescent="0.2">
      <c r="A17" t="s">
        <v>77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55</v>
      </c>
      <c r="AF17">
        <v>9.1886792452830193</v>
      </c>
      <c r="AG17">
        <v>7.8501608781896373</v>
      </c>
      <c r="AH17">
        <f>10.1971893197415*1</f>
        <v>10.197189319741501</v>
      </c>
      <c r="AI17">
        <f>3.37847938689448*1</f>
        <v>3.37847938689448</v>
      </c>
      <c r="AJ17">
        <v>1</v>
      </c>
      <c r="AK17">
        <v>0</v>
      </c>
      <c r="AL17">
        <v>0</v>
      </c>
    </row>
    <row r="18" spans="1:42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5.6</v>
      </c>
      <c r="AE18">
        <v>62</v>
      </c>
      <c r="AF18">
        <v>7.6132055058457428</v>
      </c>
      <c r="AG18">
        <v>8.869433479671212</v>
      </c>
      <c r="AH18">
        <f>8.77421963307247*1</f>
        <v>8.7742196330724695</v>
      </c>
      <c r="AI18">
        <f>2.9208447059018*1</f>
        <v>2.9208447059017999</v>
      </c>
      <c r="AJ18">
        <v>1</v>
      </c>
      <c r="AK18">
        <v>0</v>
      </c>
      <c r="AL18">
        <v>0</v>
      </c>
      <c r="AN18" t="s">
        <v>11</v>
      </c>
      <c r="AO18">
        <f>SUMPRODUCT(Table1[Selected],Table1[ARS])</f>
        <v>3</v>
      </c>
      <c r="AP18">
        <v>3</v>
      </c>
    </row>
    <row r="19" spans="1:42" x14ac:dyDescent="0.2">
      <c r="A19" t="s">
        <v>237</v>
      </c>
      <c r="B19" t="s">
        <v>238</v>
      </c>
      <c r="C19" t="s">
        <v>238</v>
      </c>
      <c r="D19" t="s">
        <v>6</v>
      </c>
      <c r="E19">
        <v>0</v>
      </c>
      <c r="F19">
        <v>0</v>
      </c>
      <c r="G19">
        <v>0</v>
      </c>
      <c r="H19">
        <v>1</v>
      </c>
      <c r="I19" t="s">
        <v>22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4.8</v>
      </c>
      <c r="AE19">
        <v>479</v>
      </c>
      <c r="AF19">
        <v>0</v>
      </c>
      <c r="AG19">
        <v>11.7891542510459</v>
      </c>
      <c r="AH19">
        <f>17.7566682190025*1</f>
        <v>17.756668219002499</v>
      </c>
      <c r="AI19">
        <f>6.52804273423373*1</f>
        <v>6.5280427342337299</v>
      </c>
      <c r="AJ19">
        <v>1</v>
      </c>
      <c r="AK19">
        <v>1</v>
      </c>
      <c r="AL19">
        <v>1</v>
      </c>
      <c r="AN19" t="s">
        <v>12</v>
      </c>
      <c r="AO19">
        <f>SUMPRODUCT(Table1[Selected],Table1[AVL])</f>
        <v>1</v>
      </c>
      <c r="AP19">
        <v>3</v>
      </c>
    </row>
    <row r="20" spans="1:42" hidden="1" x14ac:dyDescent="0.2">
      <c r="A20" t="s">
        <v>83</v>
      </c>
      <c r="B20" t="s">
        <v>84</v>
      </c>
      <c r="C20" t="s">
        <v>83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4.5999999999999996</v>
      </c>
      <c r="AE20">
        <v>66</v>
      </c>
      <c r="AF20">
        <v>9.1111111111111125</v>
      </c>
      <c r="AG20">
        <v>10.68228628343738</v>
      </c>
      <c r="AH20">
        <f>10.5098818077262*1</f>
        <v>10.509881807726201</v>
      </c>
      <c r="AI20">
        <f>3.72200459946543*1</f>
        <v>3.7220045994654298</v>
      </c>
      <c r="AJ20">
        <v>1</v>
      </c>
      <c r="AK20">
        <v>0</v>
      </c>
      <c r="AL20">
        <v>0</v>
      </c>
      <c r="AN20" t="s">
        <v>13</v>
      </c>
      <c r="AO20">
        <f>SUMPRODUCT(Table1[Selected],Table1[BOU])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6.3</v>
      </c>
      <c r="AE21">
        <v>67</v>
      </c>
      <c r="AF21">
        <v>11.31428571428571</v>
      </c>
      <c r="AG21">
        <v>10.86922130894974</v>
      </c>
      <c r="AH21">
        <f>12.721620065022*1</f>
        <v>12.721620065022</v>
      </c>
      <c r="AI21">
        <f>4.27593954405328*1</f>
        <v>4.2759395440532799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0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83</v>
      </c>
      <c r="AF22">
        <v>6.428571428571427</v>
      </c>
      <c r="AG22">
        <v>6.8624447862960496</v>
      </c>
      <c r="AH22">
        <f>8.26912487756187*1</f>
        <v>8.26912487756187</v>
      </c>
      <c r="AI22">
        <f>2.67929408877919*1</f>
        <v>2.6792940887791898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2</v>
      </c>
      <c r="AP22">
        <v>3</v>
      </c>
    </row>
    <row r="23" spans="1:42" hidden="1" x14ac:dyDescent="0.2">
      <c r="A23" t="s">
        <v>89</v>
      </c>
      <c r="B23" t="s">
        <v>90</v>
      </c>
      <c r="C23" t="s">
        <v>91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4.9000000000000004</v>
      </c>
      <c r="AE23">
        <v>84</v>
      </c>
      <c r="AF23">
        <v>5.625</v>
      </c>
      <c r="AG23">
        <v>4.4251774713998104</v>
      </c>
      <c r="AH23">
        <f>6.28609175376278*1</f>
        <v>6.2860917537627801</v>
      </c>
      <c r="AI23">
        <f>2.1306145492787*1</f>
        <v>2.1306145492786999</v>
      </c>
      <c r="AJ23">
        <v>1</v>
      </c>
      <c r="AK23">
        <v>0</v>
      </c>
      <c r="AL23">
        <v>0</v>
      </c>
      <c r="AN23" t="s">
        <v>16</v>
      </c>
      <c r="AO23">
        <f>SUMPRODUCT(Table1[Selected],Table1[BUR])</f>
        <v>0</v>
      </c>
      <c r="AP23">
        <v>3</v>
      </c>
    </row>
    <row r="24" spans="1:42" hidden="1" x14ac:dyDescent="0.2">
      <c r="A24" t="s">
        <v>92</v>
      </c>
      <c r="B24" t="s">
        <v>93</v>
      </c>
      <c r="C24" t="s">
        <v>93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4.5999999999999996</v>
      </c>
      <c r="AE24">
        <v>90</v>
      </c>
      <c r="AF24">
        <v>16.454756274371441</v>
      </c>
      <c r="AG24">
        <v>8.6708112791379808</v>
      </c>
      <c r="AH24">
        <f>15.8195294855875*1</f>
        <v>15.8195294855875</v>
      </c>
      <c r="AI24">
        <f>4.95145665039231*1</f>
        <v>4.9514566503923101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1</v>
      </c>
      <c r="AP24">
        <v>3</v>
      </c>
    </row>
    <row r="25" spans="1:42" hidden="1" x14ac:dyDescent="0.2">
      <c r="A25" t="s">
        <v>94</v>
      </c>
      <c r="B25" t="s">
        <v>95</v>
      </c>
      <c r="C25" t="s">
        <v>96</v>
      </c>
      <c r="D25" t="s">
        <v>3</v>
      </c>
      <c r="E25">
        <v>1</v>
      </c>
      <c r="F25">
        <v>0</v>
      </c>
      <c r="G25">
        <v>0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4.7</v>
      </c>
      <c r="AE25">
        <v>95</v>
      </c>
      <c r="AF25">
        <v>11.41038446021183</v>
      </c>
      <c r="AG25">
        <v>12.125538789397959</v>
      </c>
      <c r="AH25">
        <f>14.6442435473873*1</f>
        <v>14.644243547387299</v>
      </c>
      <c r="AI25">
        <f>5.85490182349366*1</f>
        <v>5.8549018234936598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97</v>
      </c>
      <c r="B26" t="s">
        <v>98</v>
      </c>
      <c r="C26" t="s">
        <v>98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100</v>
      </c>
      <c r="AF26">
        <v>9.1578947368421062</v>
      </c>
      <c r="AG26">
        <v>8.3427256675057375</v>
      </c>
      <c r="AH26">
        <f>10.918370477204*1</f>
        <v>10.918370477204</v>
      </c>
      <c r="AI26">
        <f>4.15936397490504*1</f>
        <v>4.1593639749050402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0</v>
      </c>
      <c r="AP26">
        <v>3</v>
      </c>
    </row>
    <row r="27" spans="1:42" hidden="1" x14ac:dyDescent="0.2">
      <c r="A27" t="s">
        <v>99</v>
      </c>
      <c r="B27" t="s">
        <v>100</v>
      </c>
      <c r="C27" t="s">
        <v>100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4.4000000000000004</v>
      </c>
      <c r="AE27">
        <v>101</v>
      </c>
      <c r="AF27">
        <v>12.135876317346529</v>
      </c>
      <c r="AG27">
        <v>8.7202332932611011</v>
      </c>
      <c r="AH27">
        <f>13.0650529409154*1</f>
        <v>13.0650529409154</v>
      </c>
      <c r="AI27">
        <f>5.96789129723513*1</f>
        <v>5.9678912972351297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101</v>
      </c>
      <c r="B28" t="s">
        <v>102</v>
      </c>
      <c r="C28" t="s">
        <v>102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102</v>
      </c>
      <c r="AF28">
        <v>7.2935779816513691</v>
      </c>
      <c r="AG28">
        <v>6.0082519906495993</v>
      </c>
      <c r="AH28">
        <f>8.31331141757121*1</f>
        <v>8.3133114175712102</v>
      </c>
      <c r="AI28">
        <f>2.60583788339551*1</f>
        <v>2.6058378833955098</v>
      </c>
      <c r="AJ28">
        <v>1</v>
      </c>
      <c r="AK28">
        <v>0</v>
      </c>
      <c r="AL28">
        <v>0</v>
      </c>
      <c r="AN28" t="s">
        <v>21</v>
      </c>
      <c r="AO28">
        <f>SUMPRODUCT(Table1[Selected],Table1[LIV])</f>
        <v>1</v>
      </c>
      <c r="AP28">
        <v>3</v>
      </c>
    </row>
    <row r="29" spans="1:42" hidden="1" x14ac:dyDescent="0.2">
      <c r="A29" t="s">
        <v>103</v>
      </c>
      <c r="B29" t="s">
        <v>104</v>
      </c>
      <c r="C29" t="s">
        <v>104</v>
      </c>
      <c r="D29" t="s">
        <v>6</v>
      </c>
      <c r="E29">
        <v>0</v>
      </c>
      <c r="F29">
        <v>0</v>
      </c>
      <c r="G29">
        <v>0</v>
      </c>
      <c r="H29">
        <v>1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7.3</v>
      </c>
      <c r="AE29">
        <v>103</v>
      </c>
      <c r="AF29">
        <v>14.64786213601033</v>
      </c>
      <c r="AG29">
        <v>8.1496558385457849</v>
      </c>
      <c r="AH29">
        <f>14.3414485701492*1</f>
        <v>14.3414485701492</v>
      </c>
      <c r="AI29">
        <f>5.03659142248833*1</f>
        <v>5.0365914224883301</v>
      </c>
      <c r="AJ29">
        <v>1</v>
      </c>
      <c r="AK29">
        <v>0</v>
      </c>
      <c r="AL29">
        <v>0</v>
      </c>
      <c r="AN29" t="s">
        <v>22</v>
      </c>
      <c r="AO29">
        <f>SUMPRODUCT(Table1[Selected],Table1[LUT])</f>
        <v>1</v>
      </c>
      <c r="AP29">
        <v>3</v>
      </c>
    </row>
    <row r="30" spans="1:42" hidden="1" x14ac:dyDescent="0.2">
      <c r="A30" t="s">
        <v>105</v>
      </c>
      <c r="B30" t="s">
        <v>106</v>
      </c>
      <c r="C30" t="s">
        <v>106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104</v>
      </c>
      <c r="AF30">
        <v>11.20474028836365</v>
      </c>
      <c r="AG30">
        <v>12.964177960227291</v>
      </c>
      <c r="AH30">
        <f>15.0157685651461*1</f>
        <v>15.0157685651461</v>
      </c>
      <c r="AI30">
        <f>4.93490836928849*1</f>
        <v>4.9349083692884896</v>
      </c>
      <c r="AJ30">
        <v>1</v>
      </c>
      <c r="AK30">
        <v>0</v>
      </c>
      <c r="AL30">
        <v>0</v>
      </c>
      <c r="AN30" t="s">
        <v>23</v>
      </c>
      <c r="AO30">
        <f>SUMPRODUCT(Table1[Selected],Table1[MCI])</f>
        <v>1</v>
      </c>
      <c r="AP30">
        <v>3</v>
      </c>
    </row>
    <row r="31" spans="1:42" hidden="1" x14ac:dyDescent="0.2">
      <c r="A31" t="s">
        <v>107</v>
      </c>
      <c r="B31" t="s">
        <v>108</v>
      </c>
      <c r="C31" t="s">
        <v>108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107</v>
      </c>
      <c r="AF31">
        <v>7.0540540540540553</v>
      </c>
      <c r="AG31">
        <v>5.4454134171731496</v>
      </c>
      <c r="AH31">
        <f>7.82058689490239*1</f>
        <v>7.82058689490239</v>
      </c>
      <c r="AI31">
        <f>2.46087072215315*1</f>
        <v>2.4608707221531501</v>
      </c>
      <c r="AJ31">
        <v>1</v>
      </c>
      <c r="AK31">
        <v>0</v>
      </c>
      <c r="AL31">
        <v>0</v>
      </c>
      <c r="AN31" t="s">
        <v>24</v>
      </c>
      <c r="AO31">
        <f>SUMPRODUCT(Table1[Selected],Table1[MUN])</f>
        <v>0</v>
      </c>
      <c r="AP31">
        <v>3</v>
      </c>
    </row>
    <row r="32" spans="1:42" hidden="1" x14ac:dyDescent="0.2">
      <c r="A32" t="s">
        <v>109</v>
      </c>
      <c r="B32" t="s">
        <v>110</v>
      </c>
      <c r="C32" t="s">
        <v>110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108</v>
      </c>
      <c r="AF32">
        <v>6.3461538461538431</v>
      </c>
      <c r="AG32">
        <v>5.8757577994639174</v>
      </c>
      <c r="AH32">
        <f>7.62291019767449*1</f>
        <v>7.6229101976744902</v>
      </c>
      <c r="AI32">
        <f>2.57042148705056*1</f>
        <v>2.5704214870505599</v>
      </c>
      <c r="AJ32">
        <v>1</v>
      </c>
      <c r="AK32">
        <v>0</v>
      </c>
      <c r="AL32">
        <v>0</v>
      </c>
      <c r="AN32" t="s">
        <v>25</v>
      </c>
      <c r="AO32">
        <f>SUMPRODUCT(Table1[Selected],Table1[NEW])</f>
        <v>3</v>
      </c>
      <c r="AP32">
        <v>3</v>
      </c>
    </row>
    <row r="33" spans="1:42" hidden="1" x14ac:dyDescent="0.2">
      <c r="A33" t="s">
        <v>111</v>
      </c>
      <c r="B33" t="s">
        <v>112</v>
      </c>
      <c r="C33" t="s">
        <v>112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121</v>
      </c>
      <c r="AF33">
        <v>8.844827586206895</v>
      </c>
      <c r="AG33">
        <v>10.6278626834206</v>
      </c>
      <c r="AH33">
        <f>9.03855364078696*1</f>
        <v>9.0385536407869598</v>
      </c>
      <c r="AI33">
        <f>3.13875203592911*1</f>
        <v>3.1387520359291101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0</v>
      </c>
      <c r="AP33">
        <v>3</v>
      </c>
    </row>
    <row r="34" spans="1:42" hidden="1" x14ac:dyDescent="0.2">
      <c r="A34" t="s">
        <v>113</v>
      </c>
      <c r="B34" t="s">
        <v>114</v>
      </c>
      <c r="C34" t="s">
        <v>114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127</v>
      </c>
      <c r="AF34">
        <v>7.1917808219178143</v>
      </c>
      <c r="AG34">
        <v>7.7399934643457122</v>
      </c>
      <c r="AH34">
        <f>7.21540888509874*1</f>
        <v>7.2154088850987401</v>
      </c>
      <c r="AI34">
        <f>2.41418557997985*1</f>
        <v>2.4141855799798502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0</v>
      </c>
      <c r="AP34">
        <v>3</v>
      </c>
    </row>
    <row r="35" spans="1:42" hidden="1" x14ac:dyDescent="0.2">
      <c r="A35" t="s">
        <v>115</v>
      </c>
      <c r="B35" t="s">
        <v>116</v>
      </c>
      <c r="C35" t="s">
        <v>116</v>
      </c>
      <c r="D35" t="s">
        <v>3</v>
      </c>
      <c r="E35">
        <v>1</v>
      </c>
      <c r="F35">
        <v>0</v>
      </c>
      <c r="G35">
        <v>0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4.7</v>
      </c>
      <c r="AE35">
        <v>132</v>
      </c>
      <c r="AF35">
        <v>9.4545454545454497</v>
      </c>
      <c r="AG35">
        <v>3.393876435425851</v>
      </c>
      <c r="AH35">
        <f>8.47852534502456*1</f>
        <v>8.4785253450245595</v>
      </c>
      <c r="AI35">
        <f>2.75128059928033*1</f>
        <v>2.7512805992803302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0</v>
      </c>
      <c r="AP35">
        <v>3</v>
      </c>
    </row>
    <row r="36" spans="1:42" hidden="1" x14ac:dyDescent="0.2">
      <c r="A36" t="s">
        <v>117</v>
      </c>
      <c r="B36" t="s">
        <v>118</v>
      </c>
      <c r="C36" t="s">
        <v>118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5.3</v>
      </c>
      <c r="AE36">
        <v>136</v>
      </c>
      <c r="AF36">
        <v>7.6701030927835028</v>
      </c>
      <c r="AG36">
        <v>7.8360330266594778</v>
      </c>
      <c r="AH36">
        <f>7.6331161037875*1</f>
        <v>7.6331161037874997</v>
      </c>
      <c r="AI36">
        <f>2.55951751650816*1</f>
        <v>2.5595175165081598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0</v>
      </c>
      <c r="AP36">
        <v>3</v>
      </c>
    </row>
    <row r="37" spans="1:42" hidden="1" x14ac:dyDescent="0.2">
      <c r="A37" t="s">
        <v>119</v>
      </c>
      <c r="B37" t="s">
        <v>120</v>
      </c>
      <c r="C37" t="s">
        <v>120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5.2</v>
      </c>
      <c r="AE37">
        <v>137</v>
      </c>
      <c r="AF37">
        <v>8.4043445253887299</v>
      </c>
      <c r="AG37">
        <v>9.2096731830470269</v>
      </c>
      <c r="AH37">
        <f>8.45641331485635*1</f>
        <v>8.4564133148563503</v>
      </c>
      <c r="AI37">
        <f>2.85979819086369*1</f>
        <v>2.8597981908636898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2</v>
      </c>
      <c r="AP37">
        <v>3</v>
      </c>
    </row>
    <row r="38" spans="1:42" hidden="1" x14ac:dyDescent="0.2">
      <c r="A38" t="s">
        <v>121</v>
      </c>
      <c r="B38" t="s">
        <v>122</v>
      </c>
      <c r="C38" t="s">
        <v>122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4.7</v>
      </c>
      <c r="AE38">
        <v>138</v>
      </c>
      <c r="AF38">
        <v>6.4864864864864904</v>
      </c>
      <c r="AG38">
        <v>7.176499697452404</v>
      </c>
      <c r="AH38">
        <f>6.53683996080556*1</f>
        <v>6.5368399608055601</v>
      </c>
      <c r="AI38">
        <f>2.1902990736195*1</f>
        <v>2.1902990736194998</v>
      </c>
      <c r="AJ38">
        <v>1</v>
      </c>
      <c r="AK38">
        <v>0</v>
      </c>
      <c r="AL38">
        <v>0</v>
      </c>
    </row>
    <row r="39" spans="1:42" hidden="1" x14ac:dyDescent="0.2">
      <c r="A39" t="s">
        <v>123</v>
      </c>
      <c r="B39" t="s">
        <v>124</v>
      </c>
      <c r="C39" t="s">
        <v>124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6.8</v>
      </c>
      <c r="AE39">
        <v>139</v>
      </c>
      <c r="AF39">
        <v>11.934782608695659</v>
      </c>
      <c r="AG39">
        <v>10.80146917080447</v>
      </c>
      <c r="AH39">
        <f>11.6705820986767*1</f>
        <v>11.6705820986767</v>
      </c>
      <c r="AI39">
        <f>3.90826316582908*1</f>
        <v>3.9082631658290801</v>
      </c>
      <c r="AJ39">
        <v>1</v>
      </c>
      <c r="AK39">
        <v>0</v>
      </c>
      <c r="AL39">
        <v>0</v>
      </c>
    </row>
    <row r="40" spans="1:42" hidden="1" x14ac:dyDescent="0.2">
      <c r="A40" t="s">
        <v>125</v>
      </c>
      <c r="B40" t="s">
        <v>126</v>
      </c>
      <c r="C40" t="s">
        <v>126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14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4.5</v>
      </c>
      <c r="AE40">
        <v>143</v>
      </c>
      <c r="AF40">
        <v>9.25</v>
      </c>
      <c r="AG40">
        <v>9.0859669214073389</v>
      </c>
      <c r="AH40">
        <f>9.15131673204934*1</f>
        <v>9.1513167320493398</v>
      </c>
      <c r="AI40">
        <f>3.1670881881313*1</f>
        <v>3.1670881881313</v>
      </c>
      <c r="AJ40">
        <v>1</v>
      </c>
      <c r="AK40">
        <v>0</v>
      </c>
      <c r="AL40">
        <v>0</v>
      </c>
    </row>
    <row r="41" spans="1:42" hidden="1" x14ac:dyDescent="0.2">
      <c r="A41" t="s">
        <v>127</v>
      </c>
      <c r="B41" t="s">
        <v>128</v>
      </c>
      <c r="C41" t="s">
        <v>129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14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4.4000000000000004</v>
      </c>
      <c r="AE41">
        <v>144</v>
      </c>
      <c r="AF41">
        <v>6.3592091712700052</v>
      </c>
      <c r="AG41">
        <v>5.2523336112836123</v>
      </c>
      <c r="AH41">
        <f>6.14373425690546*1</f>
        <v>6.1437342569054598</v>
      </c>
      <c r="AI41">
        <f>2.80498434402796*1</f>
        <v>2.80498434402796</v>
      </c>
      <c r="AJ41">
        <v>1</v>
      </c>
      <c r="AK41">
        <v>0</v>
      </c>
      <c r="AL41">
        <v>0</v>
      </c>
    </row>
    <row r="42" spans="1:42" hidden="1" x14ac:dyDescent="0.2">
      <c r="A42" t="s">
        <v>130</v>
      </c>
      <c r="B42" t="s">
        <v>131</v>
      </c>
      <c r="C42" t="s">
        <v>131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14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5.7</v>
      </c>
      <c r="AE42">
        <v>149</v>
      </c>
      <c r="AF42">
        <v>9.0030503856490611</v>
      </c>
      <c r="AG42">
        <v>9.8193522434725509</v>
      </c>
      <c r="AH42">
        <f>9.05193821160161*1</f>
        <v>9.0519382116016107</v>
      </c>
      <c r="AI42">
        <f>2.63696654549097*1</f>
        <v>2.6369665454909699</v>
      </c>
      <c r="AJ42">
        <v>1</v>
      </c>
      <c r="AK42">
        <v>0</v>
      </c>
      <c r="AL42">
        <v>0</v>
      </c>
    </row>
    <row r="43" spans="1:42" hidden="1" x14ac:dyDescent="0.2">
      <c r="A43" t="s">
        <v>132</v>
      </c>
      <c r="B43" t="s">
        <v>133</v>
      </c>
      <c r="C43" t="s">
        <v>133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15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</v>
      </c>
      <c r="AE43">
        <v>164</v>
      </c>
      <c r="AF43">
        <v>14.05914758857319</v>
      </c>
      <c r="AG43">
        <v>13.5825460959685</v>
      </c>
      <c r="AH43">
        <f>15.8237729149078*1</f>
        <v>15.823772914907799</v>
      </c>
      <c r="AI43">
        <f>4.97796483507326*1</f>
        <v>4.9779648350732604</v>
      </c>
      <c r="AJ43">
        <v>1</v>
      </c>
      <c r="AK43">
        <v>0</v>
      </c>
      <c r="AL43">
        <v>0</v>
      </c>
    </row>
    <row r="44" spans="1:42" x14ac:dyDescent="0.2">
      <c r="A44" t="s">
        <v>258</v>
      </c>
      <c r="B44" t="s">
        <v>259</v>
      </c>
      <c r="C44" t="s">
        <v>259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23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8.4</v>
      </c>
      <c r="AE44">
        <v>525</v>
      </c>
      <c r="AF44">
        <v>29.688653030275781</v>
      </c>
      <c r="AG44">
        <v>0</v>
      </c>
      <c r="AH44">
        <f>33.2903588943142*1</f>
        <v>33.290358894314203</v>
      </c>
      <c r="AI44">
        <f>6.20223198671396*1</f>
        <v>6.2022319867139597</v>
      </c>
      <c r="AJ44">
        <v>1</v>
      </c>
      <c r="AK44">
        <v>1</v>
      </c>
      <c r="AL44">
        <v>1</v>
      </c>
    </row>
    <row r="45" spans="1:42" x14ac:dyDescent="0.2">
      <c r="A45" t="s">
        <v>282</v>
      </c>
      <c r="B45" t="s">
        <v>283</v>
      </c>
      <c r="C45" t="s">
        <v>283</v>
      </c>
      <c r="D45" t="s">
        <v>6</v>
      </c>
      <c r="E45">
        <v>0</v>
      </c>
      <c r="F45">
        <v>0</v>
      </c>
      <c r="G45">
        <v>0</v>
      </c>
      <c r="H45">
        <v>1</v>
      </c>
      <c r="I45" t="s">
        <v>25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8.3000000000000007</v>
      </c>
      <c r="AE45">
        <v>606</v>
      </c>
      <c r="AF45">
        <v>20.869565217391301</v>
      </c>
      <c r="AG45">
        <v>17.781999914525141</v>
      </c>
      <c r="AH45">
        <f>23.1725162956179*1</f>
        <v>23.1725162956179</v>
      </c>
      <c r="AI45">
        <f>5.9815324476677*1</f>
        <v>5.9815324476676999</v>
      </c>
      <c r="AJ45">
        <v>1</v>
      </c>
      <c r="AK45">
        <v>1</v>
      </c>
      <c r="AL45">
        <v>1</v>
      </c>
    </row>
    <row r="46" spans="1:42" hidden="1" x14ac:dyDescent="0.2">
      <c r="A46" t="s">
        <v>138</v>
      </c>
      <c r="B46" t="s">
        <v>139</v>
      </c>
      <c r="C46" t="s">
        <v>139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4.7</v>
      </c>
      <c r="AE46">
        <v>215</v>
      </c>
      <c r="AF46">
        <v>8.6972912248135437</v>
      </c>
      <c r="AG46">
        <v>0</v>
      </c>
      <c r="AH46">
        <f>9.4276251723136*1</f>
        <v>9.4276251723136006</v>
      </c>
      <c r="AI46">
        <f>4.26679301088971*1</f>
        <v>4.2667930108897103</v>
      </c>
      <c r="AJ46">
        <v>1</v>
      </c>
      <c r="AK46">
        <v>0</v>
      </c>
      <c r="AL46">
        <v>0</v>
      </c>
    </row>
    <row r="47" spans="1:42" hidden="1" x14ac:dyDescent="0.2">
      <c r="A47" t="s">
        <v>140</v>
      </c>
      <c r="B47" t="s">
        <v>141</v>
      </c>
      <c r="C47" t="s">
        <v>141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4.4000000000000004</v>
      </c>
      <c r="AE47">
        <v>227</v>
      </c>
      <c r="AF47">
        <v>5.0357142857142856</v>
      </c>
      <c r="AG47">
        <v>0</v>
      </c>
      <c r="AH47">
        <f>5.45857618578214*1</f>
        <v>5.4585761857821398</v>
      </c>
      <c r="AI47">
        <f>1.81952539526071*1</f>
        <v>1.81952539526071</v>
      </c>
      <c r="AJ47">
        <v>1</v>
      </c>
      <c r="AK47">
        <v>0</v>
      </c>
      <c r="AL47">
        <v>0</v>
      </c>
    </row>
    <row r="48" spans="1:42" hidden="1" x14ac:dyDescent="0.2">
      <c r="A48" t="s">
        <v>142</v>
      </c>
      <c r="B48" t="s">
        <v>143</v>
      </c>
      <c r="C48" t="s">
        <v>143</v>
      </c>
      <c r="D48" t="s">
        <v>6</v>
      </c>
      <c r="E48">
        <v>0</v>
      </c>
      <c r="F48">
        <v>0</v>
      </c>
      <c r="G48">
        <v>0</v>
      </c>
      <c r="H48">
        <v>1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5.0999999999999996</v>
      </c>
      <c r="AE48">
        <v>241</v>
      </c>
      <c r="AF48">
        <v>8.0999999999999979</v>
      </c>
      <c r="AG48">
        <v>0</v>
      </c>
      <c r="AH48">
        <f>8.78017786478999*1</f>
        <v>8.7801778647899908</v>
      </c>
      <c r="AI48">
        <f>2.92672595492999*1</f>
        <v>2.92672595492999</v>
      </c>
      <c r="AJ48">
        <v>1</v>
      </c>
      <c r="AK48">
        <v>0</v>
      </c>
      <c r="AL48">
        <v>0</v>
      </c>
    </row>
    <row r="49" spans="1:38" hidden="1" x14ac:dyDescent="0.2">
      <c r="A49" t="s">
        <v>144</v>
      </c>
      <c r="B49" t="s">
        <v>145</v>
      </c>
      <c r="C49" t="s">
        <v>145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4.8</v>
      </c>
      <c r="AE49">
        <v>245</v>
      </c>
      <c r="AF49">
        <v>8.7970212286375222</v>
      </c>
      <c r="AG49">
        <v>0</v>
      </c>
      <c r="AH49">
        <f>9.53572976145319*1</f>
        <v>9.5357297614531902</v>
      </c>
      <c r="AI49">
        <f>3.71805318358221*1</f>
        <v>3.7180531835822102</v>
      </c>
      <c r="AJ49">
        <v>1</v>
      </c>
      <c r="AK49">
        <v>0</v>
      </c>
      <c r="AL49">
        <v>0</v>
      </c>
    </row>
    <row r="50" spans="1:38" hidden="1" x14ac:dyDescent="0.2">
      <c r="A50" t="s">
        <v>146</v>
      </c>
      <c r="B50" t="s">
        <v>147</v>
      </c>
      <c r="C50" t="s">
        <v>147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</v>
      </c>
      <c r="AE50">
        <v>247</v>
      </c>
      <c r="AF50">
        <v>8.7692307692307647</v>
      </c>
      <c r="AG50">
        <v>0</v>
      </c>
      <c r="AH50">
        <f>9.50560566558461*1</f>
        <v>9.5056056655846106</v>
      </c>
      <c r="AI50">
        <f>3.16853522186153*1</f>
        <v>3.1685352218615299</v>
      </c>
      <c r="AJ50">
        <v>1</v>
      </c>
      <c r="AK50">
        <v>0</v>
      </c>
      <c r="AL50">
        <v>0</v>
      </c>
    </row>
    <row r="51" spans="1:38" hidden="1" x14ac:dyDescent="0.2">
      <c r="A51" t="s">
        <v>148</v>
      </c>
      <c r="B51" t="s">
        <v>149</v>
      </c>
      <c r="C51" t="s">
        <v>149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4.5999999999999996</v>
      </c>
      <c r="AE51">
        <v>267</v>
      </c>
      <c r="AF51">
        <v>10.76923076923077</v>
      </c>
      <c r="AG51">
        <v>0</v>
      </c>
      <c r="AH51">
        <f>13.6956793346153*1</f>
        <v>13.695679334615299</v>
      </c>
      <c r="AI51">
        <f>3.42391983365384*1</f>
        <v>3.4239198336538399</v>
      </c>
      <c r="AJ51">
        <v>1</v>
      </c>
      <c r="AK51">
        <v>0</v>
      </c>
      <c r="AL51">
        <v>0</v>
      </c>
    </row>
    <row r="52" spans="1:38" hidden="1" x14ac:dyDescent="0.2">
      <c r="A52" t="s">
        <v>150</v>
      </c>
      <c r="B52" t="s">
        <v>151</v>
      </c>
      <c r="C52" t="s">
        <v>150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4.8</v>
      </c>
      <c r="AE52">
        <v>269</v>
      </c>
      <c r="AF52">
        <v>10.63636363636363</v>
      </c>
      <c r="AG52">
        <v>0</v>
      </c>
      <c r="AH52">
        <f>13.5267066674999*1</f>
        <v>13.5267066674999</v>
      </c>
      <c r="AI52">
        <f>3.38167666687499*1</f>
        <v>3.38167666687499</v>
      </c>
      <c r="AJ52">
        <v>1</v>
      </c>
      <c r="AK52">
        <v>0</v>
      </c>
      <c r="AL52">
        <v>0</v>
      </c>
    </row>
    <row r="53" spans="1:38" hidden="1" x14ac:dyDescent="0.2">
      <c r="A53" t="s">
        <v>152</v>
      </c>
      <c r="B53" t="s">
        <v>153</v>
      </c>
      <c r="C53" t="s">
        <v>153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5.4</v>
      </c>
      <c r="AE53">
        <v>271</v>
      </c>
      <c r="AF53">
        <v>13.31094964370036</v>
      </c>
      <c r="AG53">
        <v>0</v>
      </c>
      <c r="AH53">
        <f>16.9280890962237*1</f>
        <v>16.928089096223701</v>
      </c>
      <c r="AI53">
        <f>4.26609872503065*1</f>
        <v>4.2660987250306501</v>
      </c>
      <c r="AJ53">
        <v>1</v>
      </c>
      <c r="AK53">
        <v>0</v>
      </c>
      <c r="AL53">
        <v>0</v>
      </c>
    </row>
    <row r="54" spans="1:38" hidden="1" x14ac:dyDescent="0.2">
      <c r="A54" t="s">
        <v>154</v>
      </c>
      <c r="B54" t="s">
        <v>155</v>
      </c>
      <c r="C54" t="s">
        <v>155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6.3</v>
      </c>
      <c r="AE54">
        <v>276</v>
      </c>
      <c r="AF54">
        <v>10.5</v>
      </c>
      <c r="AG54">
        <v>0</v>
      </c>
      <c r="AH54">
        <f>13.35328735125*1</f>
        <v>13.35328735125</v>
      </c>
      <c r="AI54">
        <f>3.3383218378125*1</f>
        <v>3.3383218378124999</v>
      </c>
      <c r="AJ54">
        <v>1</v>
      </c>
      <c r="AK54">
        <v>0</v>
      </c>
      <c r="AL54">
        <v>0</v>
      </c>
    </row>
    <row r="55" spans="1:38" hidden="1" x14ac:dyDescent="0.2">
      <c r="A55" t="s">
        <v>156</v>
      </c>
      <c r="B55" t="s">
        <v>157</v>
      </c>
      <c r="C55" t="s">
        <v>158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6.9</v>
      </c>
      <c r="AE55">
        <v>277</v>
      </c>
      <c r="AF55">
        <v>15.33333333333333</v>
      </c>
      <c r="AG55">
        <v>0</v>
      </c>
      <c r="AH55">
        <f>19.5000386716666*1</f>
        <v>19.500038671666601</v>
      </c>
      <c r="AI55">
        <f>4.87500966791666*1</f>
        <v>4.8750096679166601</v>
      </c>
      <c r="AJ55">
        <v>1</v>
      </c>
      <c r="AK55">
        <v>0</v>
      </c>
      <c r="AL55">
        <v>0</v>
      </c>
    </row>
    <row r="56" spans="1:38" hidden="1" x14ac:dyDescent="0.2">
      <c r="A56" t="s">
        <v>159</v>
      </c>
      <c r="B56" t="s">
        <v>160</v>
      </c>
      <c r="C56" t="s">
        <v>161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</v>
      </c>
      <c r="AE56">
        <v>283</v>
      </c>
      <c r="AF56">
        <v>13.463414634146339</v>
      </c>
      <c r="AG56">
        <v>0</v>
      </c>
      <c r="AH56">
        <f>17.1219851751219*1</f>
        <v>17.1219851751219</v>
      </c>
      <c r="AI56">
        <f>4.28049629378048*1</f>
        <v>4.2804962937804802</v>
      </c>
      <c r="AJ56">
        <v>1</v>
      </c>
      <c r="AK56">
        <v>0</v>
      </c>
      <c r="AL56">
        <v>0</v>
      </c>
    </row>
    <row r="57" spans="1:38" x14ac:dyDescent="0.2">
      <c r="A57" t="s">
        <v>62</v>
      </c>
      <c r="B57" t="s">
        <v>63</v>
      </c>
      <c r="C57" t="s">
        <v>64</v>
      </c>
      <c r="D57" t="s">
        <v>3</v>
      </c>
      <c r="E57">
        <v>1</v>
      </c>
      <c r="F57">
        <v>0</v>
      </c>
      <c r="G57">
        <v>0</v>
      </c>
      <c r="H57">
        <v>0</v>
      </c>
      <c r="I57" t="s">
        <v>11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5.2</v>
      </c>
      <c r="AE57">
        <v>26</v>
      </c>
      <c r="AF57">
        <v>12.854735030973</v>
      </c>
      <c r="AG57">
        <v>0</v>
      </c>
      <c r="AH57">
        <f>16.1426067245407*1</f>
        <v>16.142606724540698</v>
      </c>
      <c r="AI57">
        <f>5.84777385160116*1</f>
        <v>5.8477738516011604</v>
      </c>
      <c r="AJ57">
        <v>1</v>
      </c>
      <c r="AK57">
        <v>1</v>
      </c>
      <c r="AL57">
        <v>1</v>
      </c>
    </row>
    <row r="58" spans="1:38" hidden="1" x14ac:dyDescent="0.2">
      <c r="A58" t="s">
        <v>164</v>
      </c>
      <c r="B58" t="s">
        <v>165</v>
      </c>
      <c r="C58" t="s">
        <v>165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4.7</v>
      </c>
      <c r="AE58">
        <v>315</v>
      </c>
      <c r="AF58">
        <v>9.6390200101128407</v>
      </c>
      <c r="AG58">
        <v>0</v>
      </c>
      <c r="AH58">
        <f>12.5980099296156*1</f>
        <v>12.5980099296156</v>
      </c>
      <c r="AI58">
        <f>3.40073093778835*1</f>
        <v>3.4007309377883499</v>
      </c>
      <c r="AJ58">
        <v>1</v>
      </c>
      <c r="AK58">
        <v>0</v>
      </c>
      <c r="AL58">
        <v>0</v>
      </c>
    </row>
    <row r="59" spans="1:38" hidden="1" x14ac:dyDescent="0.2">
      <c r="A59" t="s">
        <v>166</v>
      </c>
      <c r="B59" t="s">
        <v>167</v>
      </c>
      <c r="C59" t="s">
        <v>168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5.4</v>
      </c>
      <c r="AE59">
        <v>316</v>
      </c>
      <c r="AF59">
        <v>8.4838709677419288</v>
      </c>
      <c r="AG59">
        <v>0</v>
      </c>
      <c r="AH59">
        <f>11.0882528079677*1</f>
        <v>11.088252807967701</v>
      </c>
      <c r="AI59">
        <f>3.69608426932257*1</f>
        <v>3.6960842693225699</v>
      </c>
      <c r="AJ59">
        <v>1</v>
      </c>
      <c r="AK59">
        <v>0</v>
      </c>
      <c r="AL59">
        <v>0</v>
      </c>
    </row>
    <row r="60" spans="1:38" hidden="1" x14ac:dyDescent="0.2">
      <c r="A60" t="s">
        <v>169</v>
      </c>
      <c r="B60" t="s">
        <v>170</v>
      </c>
      <c r="C60" t="s">
        <v>170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6.1</v>
      </c>
      <c r="AE60">
        <v>321</v>
      </c>
      <c r="AF60">
        <v>11.35922330097087</v>
      </c>
      <c r="AG60">
        <v>0</v>
      </c>
      <c r="AH60">
        <f>14.8462818614563*1</f>
        <v>14.846281861456299</v>
      </c>
      <c r="AI60">
        <f>4.94876062048543*1</f>
        <v>4.9487606204854302</v>
      </c>
      <c r="AJ60">
        <v>1</v>
      </c>
      <c r="AK60">
        <v>0</v>
      </c>
      <c r="AL60">
        <v>0</v>
      </c>
    </row>
    <row r="61" spans="1:38" hidden="1" x14ac:dyDescent="0.2">
      <c r="A61" t="s">
        <v>171</v>
      </c>
      <c r="B61" t="s">
        <v>172</v>
      </c>
      <c r="C61" t="s">
        <v>172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4.9000000000000004</v>
      </c>
      <c r="AE61">
        <v>324</v>
      </c>
      <c r="AF61">
        <v>6.348837209302328</v>
      </c>
      <c r="AG61">
        <v>0</v>
      </c>
      <c r="AH61">
        <f>8.29780559853488*1</f>
        <v>8.2978055985348806</v>
      </c>
      <c r="AI61">
        <f>2.76593519951162*1</f>
        <v>2.7659351995116199</v>
      </c>
      <c r="AJ61">
        <v>1</v>
      </c>
      <c r="AK61">
        <v>0</v>
      </c>
      <c r="AL61">
        <v>0</v>
      </c>
    </row>
    <row r="62" spans="1:38" hidden="1" x14ac:dyDescent="0.2">
      <c r="A62" t="s">
        <v>173</v>
      </c>
      <c r="B62" t="s">
        <v>174</v>
      </c>
      <c r="C62" t="s">
        <v>175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4.7</v>
      </c>
      <c r="AE62">
        <v>326</v>
      </c>
      <c r="AF62">
        <v>7.8880026461383812</v>
      </c>
      <c r="AG62">
        <v>0</v>
      </c>
      <c r="AH62">
        <f>10.3094646091229*1</f>
        <v>10.3094646091229</v>
      </c>
      <c r="AI62">
        <f>3.61164941976789*1</f>
        <v>3.6116494197678901</v>
      </c>
      <c r="AJ62">
        <v>1</v>
      </c>
      <c r="AK62">
        <v>0</v>
      </c>
      <c r="AL62">
        <v>0</v>
      </c>
    </row>
    <row r="63" spans="1:38" hidden="1" x14ac:dyDescent="0.2">
      <c r="A63" t="s">
        <v>176</v>
      </c>
      <c r="B63" t="s">
        <v>177</v>
      </c>
      <c r="C63" t="s">
        <v>177</v>
      </c>
      <c r="D63" t="s">
        <v>6</v>
      </c>
      <c r="E63">
        <v>0</v>
      </c>
      <c r="F63">
        <v>0</v>
      </c>
      <c r="G63">
        <v>0</v>
      </c>
      <c r="H63">
        <v>1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5.0999999999999996</v>
      </c>
      <c r="AE63">
        <v>327</v>
      </c>
      <c r="AF63">
        <v>13.80862807161154</v>
      </c>
      <c r="AG63">
        <v>0</v>
      </c>
      <c r="AH63">
        <f>18.0476058124186*1</f>
        <v>18.047605812418599</v>
      </c>
      <c r="AI63">
        <f>6.01586860413953*1</f>
        <v>6.0158686041395297</v>
      </c>
      <c r="AJ63">
        <v>1</v>
      </c>
      <c r="AK63">
        <v>0</v>
      </c>
      <c r="AL63">
        <v>0</v>
      </c>
    </row>
    <row r="64" spans="1:38" hidden="1" x14ac:dyDescent="0.2">
      <c r="A64" t="s">
        <v>178</v>
      </c>
      <c r="B64" t="s">
        <v>179</v>
      </c>
      <c r="C64" t="s">
        <v>179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4.5</v>
      </c>
      <c r="AE64">
        <v>329</v>
      </c>
      <c r="AF64">
        <v>6.1937130660344284</v>
      </c>
      <c r="AG64">
        <v>0</v>
      </c>
      <c r="AH64">
        <f>8.09506138852579*1</f>
        <v>8.0950613885257905</v>
      </c>
      <c r="AI64">
        <f>1.43734491268986*1</f>
        <v>1.4373449126898601</v>
      </c>
      <c r="AJ64">
        <v>1</v>
      </c>
      <c r="AK64">
        <v>0</v>
      </c>
      <c r="AL64">
        <v>0</v>
      </c>
    </row>
    <row r="65" spans="1:38" hidden="1" x14ac:dyDescent="0.2">
      <c r="A65" t="s">
        <v>180</v>
      </c>
      <c r="B65" t="s">
        <v>181</v>
      </c>
      <c r="C65" t="s">
        <v>181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4.8</v>
      </c>
      <c r="AE65">
        <v>335</v>
      </c>
      <c r="AF65">
        <v>7.9378881987577596</v>
      </c>
      <c r="AG65">
        <v>0</v>
      </c>
      <c r="AH65">
        <f>10.3746640470931*1</f>
        <v>10.3746640470931</v>
      </c>
      <c r="AI65">
        <f>3.45822134903105*1</f>
        <v>3.4582213490310498</v>
      </c>
      <c r="AJ65">
        <v>1</v>
      </c>
      <c r="AK65">
        <v>0</v>
      </c>
      <c r="AL65">
        <v>0</v>
      </c>
    </row>
    <row r="66" spans="1:38" hidden="1" x14ac:dyDescent="0.2">
      <c r="A66" t="s">
        <v>182</v>
      </c>
      <c r="B66" t="s">
        <v>183</v>
      </c>
      <c r="C66" t="s">
        <v>183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4.4000000000000004</v>
      </c>
      <c r="AE66">
        <v>353</v>
      </c>
      <c r="AF66">
        <v>9.1463414634146361</v>
      </c>
      <c r="AG66">
        <v>8.9801431290287947</v>
      </c>
      <c r="AH66">
        <f>9.60912627343498*1</f>
        <v>9.6091262734349794</v>
      </c>
      <c r="AI66">
        <f>3.16494419274885*1</f>
        <v>3.16494419274885</v>
      </c>
      <c r="AJ66">
        <v>1</v>
      </c>
      <c r="AK66">
        <v>0</v>
      </c>
      <c r="AL66">
        <v>0</v>
      </c>
    </row>
    <row r="67" spans="1:38" hidden="1" x14ac:dyDescent="0.2">
      <c r="A67" t="s">
        <v>103</v>
      </c>
      <c r="B67" t="s">
        <v>184</v>
      </c>
      <c r="C67" t="s">
        <v>184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5.8</v>
      </c>
      <c r="AE67">
        <v>354</v>
      </c>
      <c r="AF67">
        <v>10.548632837691329</v>
      </c>
      <c r="AG67">
        <v>9.4482901099609649</v>
      </c>
      <c r="AH67">
        <f>10.1613771155957*1</f>
        <v>10.1613771155957</v>
      </c>
      <c r="AI67">
        <f>3.3300385032779*1</f>
        <v>3.3300385032778999</v>
      </c>
      <c r="AJ67">
        <v>1</v>
      </c>
      <c r="AK67">
        <v>0</v>
      </c>
      <c r="AL67">
        <v>0</v>
      </c>
    </row>
    <row r="68" spans="1:38" hidden="1" x14ac:dyDescent="0.2">
      <c r="A68" t="s">
        <v>185</v>
      </c>
      <c r="B68" t="s">
        <v>186</v>
      </c>
      <c r="C68" t="s">
        <v>187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5.5</v>
      </c>
      <c r="AE68">
        <v>357</v>
      </c>
      <c r="AF68">
        <v>9.184793565589171</v>
      </c>
      <c r="AG68">
        <v>8.612496066221988</v>
      </c>
      <c r="AH68">
        <f>9.23862245284219*1</f>
        <v>9.2386224528421899</v>
      </c>
      <c r="AI68">
        <f>3.07033811164267*1</f>
        <v>3.0703381116426698</v>
      </c>
      <c r="AJ68">
        <v>1</v>
      </c>
      <c r="AK68">
        <v>0</v>
      </c>
      <c r="AL68">
        <v>0</v>
      </c>
    </row>
    <row r="69" spans="1:38" hidden="1" x14ac:dyDescent="0.2">
      <c r="A69" t="s">
        <v>188</v>
      </c>
      <c r="B69" t="s">
        <v>189</v>
      </c>
      <c r="C69" t="s">
        <v>189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4.9000000000000004</v>
      </c>
      <c r="AE69">
        <v>358</v>
      </c>
      <c r="AF69">
        <v>7.0257608138171284</v>
      </c>
      <c r="AG69">
        <v>5.698158609126863</v>
      </c>
      <c r="AH69">
        <f>6.16502942434932*1</f>
        <v>6.1650294243493198</v>
      </c>
      <c r="AI69">
        <f>2.13123337277781*1</f>
        <v>2.1312333727778099</v>
      </c>
      <c r="AJ69">
        <v>1</v>
      </c>
      <c r="AK69">
        <v>0</v>
      </c>
      <c r="AL69">
        <v>0</v>
      </c>
    </row>
    <row r="70" spans="1:38" hidden="1" x14ac:dyDescent="0.2">
      <c r="A70" t="s">
        <v>190</v>
      </c>
      <c r="B70" t="s">
        <v>191</v>
      </c>
      <c r="C70" t="s">
        <v>191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5.4</v>
      </c>
      <c r="AE70">
        <v>364</v>
      </c>
      <c r="AF70">
        <v>9.4894736842105374</v>
      </c>
      <c r="AG70">
        <v>8.7085794499466367</v>
      </c>
      <c r="AH70">
        <f>9.35290291094896*1</f>
        <v>9.3529029109489592</v>
      </c>
      <c r="AI70">
        <f>3.40461871390432*1</f>
        <v>3.4046187139043198</v>
      </c>
      <c r="AJ70">
        <v>1</v>
      </c>
      <c r="AK70">
        <v>0</v>
      </c>
      <c r="AL70">
        <v>0</v>
      </c>
    </row>
    <row r="71" spans="1:38" hidden="1" x14ac:dyDescent="0.2">
      <c r="A71" t="s">
        <v>192</v>
      </c>
      <c r="B71" t="s">
        <v>193</v>
      </c>
      <c r="C71" t="s">
        <v>193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4.5999999999999996</v>
      </c>
      <c r="AE71">
        <v>365</v>
      </c>
      <c r="AF71">
        <v>8.4366933609134858</v>
      </c>
      <c r="AG71">
        <v>7.6745342924143589</v>
      </c>
      <c r="AH71">
        <f>8.24645392996764*1</f>
        <v>8.2464539299676396</v>
      </c>
      <c r="AI71">
        <f>3.00037204694584*1</f>
        <v>3.0003720469458401</v>
      </c>
      <c r="AJ71">
        <v>1</v>
      </c>
      <c r="AK71">
        <v>0</v>
      </c>
      <c r="AL71">
        <v>0</v>
      </c>
    </row>
    <row r="72" spans="1:38" hidden="1" x14ac:dyDescent="0.2">
      <c r="A72" t="s">
        <v>166</v>
      </c>
      <c r="B72" t="s">
        <v>194</v>
      </c>
      <c r="C72" t="s">
        <v>194</v>
      </c>
      <c r="D72" t="s">
        <v>3</v>
      </c>
      <c r="E72">
        <v>1</v>
      </c>
      <c r="F72">
        <v>0</v>
      </c>
      <c r="G72">
        <v>0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4.8</v>
      </c>
      <c r="AE72">
        <v>368</v>
      </c>
      <c r="AF72">
        <v>10.77669902912621</v>
      </c>
      <c r="AG72">
        <v>10.605174112628861</v>
      </c>
      <c r="AH72">
        <f>11.3466047489789*1</f>
        <v>11.346604748978899</v>
      </c>
      <c r="AI72">
        <f>3.92884696044369*1</f>
        <v>3.92884696044369</v>
      </c>
      <c r="AJ72">
        <v>1</v>
      </c>
      <c r="AK72">
        <v>0</v>
      </c>
      <c r="AL72">
        <v>0</v>
      </c>
    </row>
    <row r="73" spans="1:38" hidden="1" x14ac:dyDescent="0.2">
      <c r="A73" t="s">
        <v>188</v>
      </c>
      <c r="B73" t="s">
        <v>195</v>
      </c>
      <c r="C73" t="s">
        <v>195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4.5999999999999996</v>
      </c>
      <c r="AE73">
        <v>370</v>
      </c>
      <c r="AF73">
        <v>8.0969476701511276</v>
      </c>
      <c r="AG73">
        <v>8.4177112859646694</v>
      </c>
      <c r="AH73">
        <f>8.9808779124247*1</f>
        <v>8.9808779124247007</v>
      </c>
      <c r="AI73">
        <f>3.51910271027722*1</f>
        <v>3.5191027102772199</v>
      </c>
      <c r="AJ73">
        <v>1</v>
      </c>
      <c r="AK73">
        <v>0</v>
      </c>
      <c r="AL73">
        <v>0</v>
      </c>
    </row>
    <row r="74" spans="1:38" hidden="1" x14ac:dyDescent="0.2">
      <c r="A74" t="s">
        <v>196</v>
      </c>
      <c r="B74" t="s">
        <v>197</v>
      </c>
      <c r="C74" t="s">
        <v>197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4.4000000000000004</v>
      </c>
      <c r="AE74">
        <v>373</v>
      </c>
      <c r="AF74">
        <v>7.1440677966101678</v>
      </c>
      <c r="AG74">
        <v>6.7290568335883476</v>
      </c>
      <c r="AH74">
        <f>7.2164760187054*1</f>
        <v>7.2164760187054</v>
      </c>
      <c r="AI74">
        <f>2.93697212092089*1</f>
        <v>2.9369721209208901</v>
      </c>
      <c r="AJ74">
        <v>1</v>
      </c>
      <c r="AK74">
        <v>0</v>
      </c>
      <c r="AL74">
        <v>0</v>
      </c>
    </row>
    <row r="75" spans="1:38" hidden="1" x14ac:dyDescent="0.2">
      <c r="A75" t="s">
        <v>198</v>
      </c>
      <c r="B75" t="s">
        <v>199</v>
      </c>
      <c r="C75" t="s">
        <v>199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5.5</v>
      </c>
      <c r="AE75">
        <v>379</v>
      </c>
      <c r="AF75">
        <v>11.4375</v>
      </c>
      <c r="AG75">
        <v>11.808755456267381</v>
      </c>
      <c r="AH75">
        <f>12.6031567668264*1</f>
        <v>12.6031567668264</v>
      </c>
      <c r="AI75">
        <f>4.46531389399053*1</f>
        <v>4.4653138939905297</v>
      </c>
      <c r="AJ75">
        <v>1</v>
      </c>
      <c r="AK75">
        <v>0</v>
      </c>
      <c r="AL75">
        <v>0</v>
      </c>
    </row>
    <row r="76" spans="1:38" hidden="1" x14ac:dyDescent="0.2">
      <c r="A76" t="s">
        <v>200</v>
      </c>
      <c r="B76" t="s">
        <v>201</v>
      </c>
      <c r="C76" t="s">
        <v>201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5.3</v>
      </c>
      <c r="AE76">
        <v>386</v>
      </c>
      <c r="AF76">
        <v>0</v>
      </c>
      <c r="AG76">
        <v>7.9585107581986936</v>
      </c>
      <c r="AH76">
        <f>8.79905365499081*1</f>
        <v>8.7990536549908107</v>
      </c>
      <c r="AI76">
        <f>3.14424826881638*1</f>
        <v>3.14424826881638</v>
      </c>
      <c r="AJ76">
        <v>1</v>
      </c>
      <c r="AK76">
        <v>0</v>
      </c>
      <c r="AL76">
        <v>0</v>
      </c>
    </row>
    <row r="77" spans="1:38" hidden="1" x14ac:dyDescent="0.2">
      <c r="A77" t="s">
        <v>202</v>
      </c>
      <c r="B77" t="s">
        <v>203</v>
      </c>
      <c r="C77" t="s">
        <v>202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5.3</v>
      </c>
      <c r="AE77">
        <v>387</v>
      </c>
      <c r="AF77">
        <v>0</v>
      </c>
      <c r="AG77">
        <v>9.8412301424563076</v>
      </c>
      <c r="AH77">
        <f>10.8806175785311*1</f>
        <v>10.880617578531099</v>
      </c>
      <c r="AI77">
        <f>4.33860324726204*1</f>
        <v>4.3386032472620402</v>
      </c>
      <c r="AJ77">
        <v>1</v>
      </c>
      <c r="AK77">
        <v>0</v>
      </c>
      <c r="AL77">
        <v>0</v>
      </c>
    </row>
    <row r="78" spans="1:38" hidden="1" x14ac:dyDescent="0.2">
      <c r="A78" t="s">
        <v>204</v>
      </c>
      <c r="B78" t="s">
        <v>205</v>
      </c>
      <c r="C78" t="s">
        <v>205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4.9000000000000004</v>
      </c>
      <c r="AE78">
        <v>388</v>
      </c>
      <c r="AF78">
        <v>0</v>
      </c>
      <c r="AG78">
        <v>5.3784412199823119</v>
      </c>
      <c r="AH78">
        <f>5.94648852187391*1</f>
        <v>5.9464885218739099</v>
      </c>
      <c r="AI78">
        <f>1.84617745482404*1</f>
        <v>1.8461774548240399</v>
      </c>
      <c r="AJ78">
        <v>1</v>
      </c>
      <c r="AK78">
        <v>0</v>
      </c>
      <c r="AL78">
        <v>0</v>
      </c>
    </row>
    <row r="79" spans="1:38" hidden="1" x14ac:dyDescent="0.2">
      <c r="A79" t="s">
        <v>206</v>
      </c>
      <c r="B79" t="s">
        <v>207</v>
      </c>
      <c r="C79" t="s">
        <v>207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5.2</v>
      </c>
      <c r="AE79">
        <v>390</v>
      </c>
      <c r="AF79">
        <v>0</v>
      </c>
      <c r="AG79">
        <v>7.3334986744695172</v>
      </c>
      <c r="AH79">
        <f>8.10803054440631*1</f>
        <v>8.1080305444063097</v>
      </c>
      <c r="AI79">
        <f>2.7813664143526*1</f>
        <v>2.7813664143526</v>
      </c>
      <c r="AJ79">
        <v>1</v>
      </c>
      <c r="AK79">
        <v>0</v>
      </c>
      <c r="AL79">
        <v>0</v>
      </c>
    </row>
    <row r="80" spans="1:38" hidden="1" x14ac:dyDescent="0.2">
      <c r="A80" t="s">
        <v>208</v>
      </c>
      <c r="B80" t="s">
        <v>209</v>
      </c>
      <c r="C80" t="s">
        <v>209</v>
      </c>
      <c r="D80" t="s">
        <v>3</v>
      </c>
      <c r="E80">
        <v>1</v>
      </c>
      <c r="F80">
        <v>0</v>
      </c>
      <c r="G80">
        <v>0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4.8</v>
      </c>
      <c r="AE80">
        <v>395</v>
      </c>
      <c r="AF80">
        <v>0</v>
      </c>
      <c r="AG80">
        <v>12.640729024320271</v>
      </c>
      <c r="AH80">
        <f>13.9757872173019*1</f>
        <v>13.9757872173019</v>
      </c>
      <c r="AI80">
        <f>6.15017548430857*1</f>
        <v>6.1501754843085701</v>
      </c>
      <c r="AJ80">
        <v>1</v>
      </c>
      <c r="AK80">
        <v>0</v>
      </c>
      <c r="AL80">
        <v>0</v>
      </c>
    </row>
    <row r="81" spans="1:38" hidden="1" x14ac:dyDescent="0.2">
      <c r="A81" t="s">
        <v>210</v>
      </c>
      <c r="B81" t="s">
        <v>211</v>
      </c>
      <c r="C81" t="s">
        <v>212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400</v>
      </c>
      <c r="AF81">
        <v>0</v>
      </c>
      <c r="AG81">
        <v>7.150266477460173</v>
      </c>
      <c r="AH81">
        <f>7.90544616878728*1</f>
        <v>7.9054461687872797</v>
      </c>
      <c r="AI81">
        <f>2.75183491183987*1</f>
        <v>2.7518349118398699</v>
      </c>
      <c r="AJ81">
        <v>1</v>
      </c>
      <c r="AK81">
        <v>0</v>
      </c>
      <c r="AL81">
        <v>0</v>
      </c>
    </row>
    <row r="82" spans="1:38" hidden="1" x14ac:dyDescent="0.2">
      <c r="A82" t="s">
        <v>213</v>
      </c>
      <c r="B82" t="s">
        <v>214</v>
      </c>
      <c r="C82" t="s">
        <v>214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4.5999999999999996</v>
      </c>
      <c r="AE82">
        <v>403</v>
      </c>
      <c r="AF82">
        <v>0</v>
      </c>
      <c r="AG82">
        <v>7.3833505496852254</v>
      </c>
      <c r="AH82">
        <f>8.16314755538391*1</f>
        <v>8.1631475553839099</v>
      </c>
      <c r="AI82">
        <f>3.28952396389275*1</f>
        <v>3.28952396389275</v>
      </c>
      <c r="AJ82">
        <v>1</v>
      </c>
      <c r="AK82">
        <v>0</v>
      </c>
      <c r="AL82">
        <v>0</v>
      </c>
    </row>
    <row r="83" spans="1:38" hidden="1" x14ac:dyDescent="0.2">
      <c r="A83" t="s">
        <v>215</v>
      </c>
      <c r="B83" t="s">
        <v>216</v>
      </c>
      <c r="C83" t="s">
        <v>215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5.3</v>
      </c>
      <c r="AE83">
        <v>410</v>
      </c>
      <c r="AF83">
        <v>0</v>
      </c>
      <c r="AG83">
        <v>14.707339431385019</v>
      </c>
      <c r="AH83">
        <f>16.2606639245417*1</f>
        <v>16.260663924541699</v>
      </c>
      <c r="AI83">
        <f>6.79010229551098*1</f>
        <v>6.7901022955109802</v>
      </c>
      <c r="AJ83">
        <v>1</v>
      </c>
      <c r="AK83">
        <v>0</v>
      </c>
      <c r="AL83">
        <v>0</v>
      </c>
    </row>
    <row r="84" spans="1:38" hidden="1" x14ac:dyDescent="0.2">
      <c r="A84" t="s">
        <v>217</v>
      </c>
      <c r="B84" t="s">
        <v>218</v>
      </c>
      <c r="C84" t="s">
        <v>218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20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4.4000000000000004</v>
      </c>
      <c r="AE84">
        <v>411</v>
      </c>
      <c r="AF84">
        <v>0</v>
      </c>
      <c r="AG84">
        <v>6.2823762493637449</v>
      </c>
      <c r="AH84">
        <f>6.94589319264842*1</f>
        <v>6.9458931926484198</v>
      </c>
      <c r="AI84">
        <f>2.41683155507313*1</f>
        <v>2.4168315550731299</v>
      </c>
      <c r="AJ84">
        <v>1</v>
      </c>
      <c r="AK84">
        <v>0</v>
      </c>
      <c r="AL84">
        <v>0</v>
      </c>
    </row>
    <row r="85" spans="1:38" hidden="1" x14ac:dyDescent="0.2">
      <c r="A85" t="s">
        <v>219</v>
      </c>
      <c r="B85" t="s">
        <v>220</v>
      </c>
      <c r="C85" t="s">
        <v>220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4.5</v>
      </c>
      <c r="AE85">
        <v>417</v>
      </c>
      <c r="AF85">
        <v>0</v>
      </c>
      <c r="AG85">
        <v>7.4384815377577498</v>
      </c>
      <c r="AH85">
        <f>8.22410123589544*1</f>
        <v>8.2241012358954393</v>
      </c>
      <c r="AI85">
        <f>3.26916767849109*1</f>
        <v>3.2691676784910899</v>
      </c>
      <c r="AJ85">
        <v>1</v>
      </c>
      <c r="AK85">
        <v>0</v>
      </c>
      <c r="AL85">
        <v>0</v>
      </c>
    </row>
    <row r="86" spans="1:38" hidden="1" x14ac:dyDescent="0.2">
      <c r="A86" t="s">
        <v>221</v>
      </c>
      <c r="B86" t="s">
        <v>222</v>
      </c>
      <c r="C86" t="s">
        <v>223</v>
      </c>
      <c r="D86" t="s">
        <v>3</v>
      </c>
      <c r="E86">
        <v>1</v>
      </c>
      <c r="F86">
        <v>0</v>
      </c>
      <c r="G86">
        <v>0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5.7</v>
      </c>
      <c r="AE86">
        <v>425</v>
      </c>
      <c r="AF86">
        <v>12.952989940291131</v>
      </c>
      <c r="AG86">
        <v>12.33087992418929</v>
      </c>
      <c r="AH86">
        <f>10.3979270082085*1</f>
        <v>10.3979270082085</v>
      </c>
      <c r="AI86">
        <f>3.3772903066151*1</f>
        <v>3.3772903066150999</v>
      </c>
      <c r="AJ86">
        <v>1</v>
      </c>
      <c r="AK86">
        <v>0</v>
      </c>
      <c r="AL86">
        <v>0</v>
      </c>
    </row>
    <row r="87" spans="1:38" hidden="1" x14ac:dyDescent="0.2">
      <c r="A87" t="s">
        <v>224</v>
      </c>
      <c r="B87" t="s">
        <v>225</v>
      </c>
      <c r="C87" t="s">
        <v>224</v>
      </c>
      <c r="D87" t="s">
        <v>6</v>
      </c>
      <c r="E87">
        <v>0</v>
      </c>
      <c r="F87">
        <v>0</v>
      </c>
      <c r="G87">
        <v>0</v>
      </c>
      <c r="H87">
        <v>1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7.6</v>
      </c>
      <c r="AE87">
        <v>427</v>
      </c>
      <c r="AF87">
        <v>11.49152542372881</v>
      </c>
      <c r="AG87">
        <v>12.23169499714434</v>
      </c>
      <c r="AH87">
        <f>9.9732182638666*1</f>
        <v>9.9732182638666007</v>
      </c>
      <c r="AI87">
        <f>3.31950741410898*1</f>
        <v>3.3195074141089802</v>
      </c>
      <c r="AJ87">
        <v>1</v>
      </c>
      <c r="AK87">
        <v>0</v>
      </c>
      <c r="AL87">
        <v>0</v>
      </c>
    </row>
    <row r="88" spans="1:38" hidden="1" x14ac:dyDescent="0.2">
      <c r="A88" t="s">
        <v>226</v>
      </c>
      <c r="B88" t="s">
        <v>227</v>
      </c>
      <c r="C88" t="s">
        <v>227</v>
      </c>
      <c r="D88" t="s">
        <v>6</v>
      </c>
      <c r="E88">
        <v>0</v>
      </c>
      <c r="F88">
        <v>0</v>
      </c>
      <c r="G88">
        <v>0</v>
      </c>
      <c r="H88">
        <v>1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7.1</v>
      </c>
      <c r="AE88">
        <v>431</v>
      </c>
      <c r="AF88">
        <v>9.5362275913734376</v>
      </c>
      <c r="AG88">
        <v>10.947411774393659</v>
      </c>
      <c r="AH88">
        <f>8.73791745490216*1</f>
        <v>8.7379174549021599</v>
      </c>
      <c r="AI88">
        <f>3.50020134611917*1</f>
        <v>3.5002013461191699</v>
      </c>
      <c r="AJ88">
        <v>1</v>
      </c>
      <c r="AK88">
        <v>0</v>
      </c>
      <c r="AL88">
        <v>0</v>
      </c>
    </row>
    <row r="89" spans="1:38" hidden="1" x14ac:dyDescent="0.2">
      <c r="A89" t="s">
        <v>228</v>
      </c>
      <c r="B89" t="s">
        <v>229</v>
      </c>
      <c r="C89" t="s">
        <v>230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7.7</v>
      </c>
      <c r="AE89">
        <v>437</v>
      </c>
      <c r="AF89">
        <v>11.22413793103448</v>
      </c>
      <c r="AG89">
        <v>9.4221827743083555</v>
      </c>
      <c r="AH89">
        <f>8.27855025157133*1</f>
        <v>8.2785502515713301</v>
      </c>
      <c r="AI89">
        <f>2.91076086188142*1</f>
        <v>2.9107608618814198</v>
      </c>
      <c r="AJ89">
        <v>1</v>
      </c>
      <c r="AK89">
        <v>0</v>
      </c>
      <c r="AL89">
        <v>0</v>
      </c>
    </row>
    <row r="90" spans="1:38" hidden="1" x14ac:dyDescent="0.2">
      <c r="A90" t="s">
        <v>231</v>
      </c>
      <c r="B90" t="s">
        <v>232</v>
      </c>
      <c r="C90" t="s">
        <v>232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5.9</v>
      </c>
      <c r="AE90">
        <v>438</v>
      </c>
      <c r="AF90">
        <v>8.6531416221591719</v>
      </c>
      <c r="AG90">
        <v>7.6024756715057489</v>
      </c>
      <c r="AH90">
        <f>6.57837283974694*1</f>
        <v>6.5783728397469403</v>
      </c>
      <c r="AI90">
        <f>2.054243022182*1</f>
        <v>2.0542430221819998</v>
      </c>
      <c r="AJ90">
        <v>1</v>
      </c>
      <c r="AK90">
        <v>0</v>
      </c>
      <c r="AL90">
        <v>0</v>
      </c>
    </row>
    <row r="91" spans="1:38" hidden="1" x14ac:dyDescent="0.2">
      <c r="A91" t="s">
        <v>233</v>
      </c>
      <c r="B91" t="s">
        <v>234</v>
      </c>
      <c r="C91" t="s">
        <v>234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13.5</v>
      </c>
      <c r="AE91">
        <v>442</v>
      </c>
      <c r="AF91">
        <v>20.474999999999991</v>
      </c>
      <c r="AG91">
        <v>19.645354269136881</v>
      </c>
      <c r="AH91">
        <f>16.5252246276006*1</f>
        <v>16.525224627600601</v>
      </c>
      <c r="AI91">
        <f>5.65832532630112*1</f>
        <v>5.65832532630112</v>
      </c>
      <c r="AJ91">
        <v>1</v>
      </c>
      <c r="AK91">
        <v>1</v>
      </c>
      <c r="AL91">
        <v>0</v>
      </c>
    </row>
    <row r="92" spans="1:38" x14ac:dyDescent="0.2">
      <c r="A92" t="s">
        <v>54</v>
      </c>
      <c r="B92" t="s">
        <v>55</v>
      </c>
      <c r="C92" t="s">
        <v>55</v>
      </c>
      <c r="D92" t="s">
        <v>4</v>
      </c>
      <c r="E92">
        <v>0</v>
      </c>
      <c r="F92">
        <v>1</v>
      </c>
      <c r="G92">
        <v>0</v>
      </c>
      <c r="H92">
        <v>0</v>
      </c>
      <c r="I92" t="s">
        <v>11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5.9</v>
      </c>
      <c r="AE92">
        <v>18</v>
      </c>
      <c r="AF92">
        <v>13.41666300936973</v>
      </c>
      <c r="AG92">
        <v>0</v>
      </c>
      <c r="AH92">
        <f>16.8482597264049*1</f>
        <v>16.848259726404901</v>
      </c>
      <c r="AI92">
        <f>5.84234389623755*1</f>
        <v>5.8423438962375496</v>
      </c>
      <c r="AJ92">
        <v>1</v>
      </c>
      <c r="AK92">
        <v>1</v>
      </c>
      <c r="AL92">
        <v>1</v>
      </c>
    </row>
    <row r="93" spans="1:38" x14ac:dyDescent="0.2">
      <c r="A93" t="s">
        <v>280</v>
      </c>
      <c r="B93" t="s">
        <v>281</v>
      </c>
      <c r="C93" t="s">
        <v>281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6.3</v>
      </c>
      <c r="AE93">
        <v>603</v>
      </c>
      <c r="AF93">
        <v>34.240856410113821</v>
      </c>
      <c r="AG93">
        <v>9.8637005730605374</v>
      </c>
      <c r="AH93">
        <f>30.878609811798*1</f>
        <v>30.878609811798</v>
      </c>
      <c r="AI93">
        <f>5.38008925456826*1</f>
        <v>5.3800892545682597</v>
      </c>
      <c r="AJ93">
        <v>1</v>
      </c>
      <c r="AK93">
        <v>0</v>
      </c>
      <c r="AL93">
        <v>1</v>
      </c>
    </row>
    <row r="94" spans="1:38" hidden="1" x14ac:dyDescent="0.2">
      <c r="A94" t="s">
        <v>239</v>
      </c>
      <c r="B94" t="s">
        <v>240</v>
      </c>
      <c r="C94" t="s">
        <v>240</v>
      </c>
      <c r="D94" t="s">
        <v>6</v>
      </c>
      <c r="E94">
        <v>0</v>
      </c>
      <c r="F94">
        <v>0</v>
      </c>
      <c r="G94">
        <v>0</v>
      </c>
      <c r="H94">
        <v>1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4.8</v>
      </c>
      <c r="AE94">
        <v>481</v>
      </c>
      <c r="AF94">
        <v>0</v>
      </c>
      <c r="AG94">
        <v>8.7586018405665609</v>
      </c>
      <c r="AH94">
        <f>13.1920902580002*1</f>
        <v>13.192090258000199</v>
      </c>
      <c r="AI94">
        <f>4.4946898570386*1</f>
        <v>4.4946898570386002</v>
      </c>
      <c r="AJ94">
        <v>1</v>
      </c>
      <c r="AK94">
        <v>0</v>
      </c>
      <c r="AL94">
        <v>0</v>
      </c>
    </row>
    <row r="95" spans="1:38" hidden="1" x14ac:dyDescent="0.2">
      <c r="A95" t="s">
        <v>241</v>
      </c>
      <c r="B95" t="s">
        <v>242</v>
      </c>
      <c r="C95" t="s">
        <v>242</v>
      </c>
      <c r="D95" t="s">
        <v>3</v>
      </c>
      <c r="E95">
        <v>1</v>
      </c>
      <c r="F95">
        <v>0</v>
      </c>
      <c r="G95">
        <v>0</v>
      </c>
      <c r="H95">
        <v>0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4.5</v>
      </c>
      <c r="AE95">
        <v>500</v>
      </c>
      <c r="AF95">
        <v>0</v>
      </c>
      <c r="AG95">
        <v>7.0018914069279159</v>
      </c>
      <c r="AH95">
        <f>10.5461562357005*1</f>
        <v>10.546156235700501</v>
      </c>
      <c r="AI95">
        <f>4.35048813358827*1</f>
        <v>4.3504881335882697</v>
      </c>
      <c r="AJ95">
        <v>1</v>
      </c>
      <c r="AK95">
        <v>0</v>
      </c>
      <c r="AL95">
        <v>0</v>
      </c>
    </row>
    <row r="96" spans="1:38" hidden="1" x14ac:dyDescent="0.2">
      <c r="A96" t="s">
        <v>243</v>
      </c>
      <c r="B96" t="s">
        <v>244</v>
      </c>
      <c r="C96" t="s">
        <v>244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4.5999999999999996</v>
      </c>
      <c r="AE96">
        <v>501</v>
      </c>
      <c r="AF96">
        <v>0</v>
      </c>
      <c r="AG96">
        <v>7.7350174270136058</v>
      </c>
      <c r="AH96">
        <f>11.6503809514154*1</f>
        <v>11.6503809514154</v>
      </c>
      <c r="AI96">
        <f>3.8923074908653*1</f>
        <v>3.8923074908653001</v>
      </c>
      <c r="AJ96">
        <v>1</v>
      </c>
      <c r="AK96">
        <v>0</v>
      </c>
      <c r="AL96">
        <v>0</v>
      </c>
    </row>
    <row r="97" spans="1:38" hidden="1" x14ac:dyDescent="0.2">
      <c r="A97" t="s">
        <v>245</v>
      </c>
      <c r="B97" t="s">
        <v>246</v>
      </c>
      <c r="C97" t="s">
        <v>246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</v>
      </c>
      <c r="AE97">
        <v>514</v>
      </c>
      <c r="AF97">
        <v>9.2965698938130465</v>
      </c>
      <c r="AG97">
        <v>0</v>
      </c>
      <c r="AH97">
        <f>10.4243917006105*1</f>
        <v>10.424391700610499</v>
      </c>
      <c r="AI97">
        <f>2.46702789822884*1</f>
        <v>2.4670278982288401</v>
      </c>
      <c r="AJ97">
        <v>1</v>
      </c>
      <c r="AK97">
        <v>0</v>
      </c>
      <c r="AL97">
        <v>0</v>
      </c>
    </row>
    <row r="98" spans="1:38" hidden="1" x14ac:dyDescent="0.2">
      <c r="A98" t="s">
        <v>113</v>
      </c>
      <c r="B98" t="s">
        <v>247</v>
      </c>
      <c r="C98" t="s">
        <v>247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</v>
      </c>
      <c r="AE98">
        <v>515</v>
      </c>
      <c r="AF98">
        <v>13.248226950354599</v>
      </c>
      <c r="AG98">
        <v>0</v>
      </c>
      <c r="AH98">
        <f>14.855447616329*1</f>
        <v>14.855447616329</v>
      </c>
      <c r="AI98">
        <f>3.71386190408226*1</f>
        <v>3.7138619040822598</v>
      </c>
      <c r="AJ98">
        <v>1</v>
      </c>
      <c r="AK98">
        <v>0</v>
      </c>
      <c r="AL98">
        <v>0</v>
      </c>
    </row>
    <row r="99" spans="1:38" hidden="1" x14ac:dyDescent="0.2">
      <c r="A99" t="s">
        <v>248</v>
      </c>
      <c r="B99" t="s">
        <v>249</v>
      </c>
      <c r="C99" t="s">
        <v>250</v>
      </c>
      <c r="D99" t="s">
        <v>6</v>
      </c>
      <c r="E99">
        <v>0</v>
      </c>
      <c r="F99">
        <v>0</v>
      </c>
      <c r="G99">
        <v>0</v>
      </c>
      <c r="H99">
        <v>1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6.4</v>
      </c>
      <c r="AE99">
        <v>516</v>
      </c>
      <c r="AF99">
        <v>14.95081967213115</v>
      </c>
      <c r="AG99">
        <v>0</v>
      </c>
      <c r="AH99">
        <f>16.764591918059*1</f>
        <v>16.764591918059001</v>
      </c>
      <c r="AI99">
        <f>4.19114797951475*1</f>
        <v>4.1911479795147502</v>
      </c>
      <c r="AJ99">
        <v>1</v>
      </c>
      <c r="AK99">
        <v>0</v>
      </c>
      <c r="AL99">
        <v>0</v>
      </c>
    </row>
    <row r="100" spans="1:38" hidden="1" x14ac:dyDescent="0.2">
      <c r="A100" t="s">
        <v>251</v>
      </c>
      <c r="B100" t="s">
        <v>252</v>
      </c>
      <c r="C100" t="s">
        <v>251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6.2</v>
      </c>
      <c r="AE100">
        <v>517</v>
      </c>
      <c r="AF100">
        <v>14.711864406779659</v>
      </c>
      <c r="AG100">
        <v>0</v>
      </c>
      <c r="AH100">
        <f>16.4966475780067*1</f>
        <v>16.496647578006701</v>
      </c>
      <c r="AI100">
        <f>4.12416189450169*1</f>
        <v>4.1241618945016896</v>
      </c>
      <c r="AJ100">
        <v>1</v>
      </c>
      <c r="AK100">
        <v>0</v>
      </c>
      <c r="AL100">
        <v>0</v>
      </c>
    </row>
    <row r="101" spans="1:38" hidden="1" x14ac:dyDescent="0.2">
      <c r="A101" t="s">
        <v>253</v>
      </c>
      <c r="B101" t="s">
        <v>254</v>
      </c>
      <c r="C101" t="s">
        <v>253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5.5</v>
      </c>
      <c r="AE101">
        <v>523</v>
      </c>
      <c r="AF101">
        <v>11.84</v>
      </c>
      <c r="AG101">
        <v>0</v>
      </c>
      <c r="AH101">
        <f>13.276380336512*1</f>
        <v>13.276380336512</v>
      </c>
      <c r="AI101">
        <f>3.319095084128*1</f>
        <v>3.319095084128</v>
      </c>
      <c r="AJ101">
        <v>1</v>
      </c>
      <c r="AK101">
        <v>0</v>
      </c>
      <c r="AL101">
        <v>0</v>
      </c>
    </row>
    <row r="102" spans="1:38" hidden="1" x14ac:dyDescent="0.2">
      <c r="A102" t="s">
        <v>255</v>
      </c>
      <c r="B102" t="s">
        <v>256</v>
      </c>
      <c r="C102" t="s">
        <v>257</v>
      </c>
      <c r="D102" t="s">
        <v>3</v>
      </c>
      <c r="E102">
        <v>1</v>
      </c>
      <c r="F102">
        <v>0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5.5</v>
      </c>
      <c r="AE102">
        <v>524</v>
      </c>
      <c r="AF102">
        <v>15.57788944723618</v>
      </c>
      <c r="AG102">
        <v>0</v>
      </c>
      <c r="AH102">
        <f>17.4677352315577*1</f>
        <v>17.4677352315577</v>
      </c>
      <c r="AI102">
        <f>4.36693380788944*1</f>
        <v>4.3669338078894402</v>
      </c>
      <c r="AJ102">
        <v>1</v>
      </c>
      <c r="AK102">
        <v>0</v>
      </c>
      <c r="AL102">
        <v>0</v>
      </c>
    </row>
    <row r="103" spans="1:38" x14ac:dyDescent="0.2">
      <c r="A103" t="s">
        <v>337</v>
      </c>
      <c r="B103" t="s">
        <v>338</v>
      </c>
      <c r="C103" t="s">
        <v>339</v>
      </c>
      <c r="D103" t="s">
        <v>3</v>
      </c>
      <c r="E103">
        <v>1</v>
      </c>
      <c r="F103">
        <v>0</v>
      </c>
      <c r="G103">
        <v>0</v>
      </c>
      <c r="H103">
        <v>0</v>
      </c>
      <c r="I103" t="s">
        <v>30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5</v>
      </c>
      <c r="AE103">
        <v>835</v>
      </c>
      <c r="AF103">
        <v>11.461406729173889</v>
      </c>
      <c r="AG103">
        <v>9.1121012917459403</v>
      </c>
      <c r="AH103">
        <f>12.8409970756414*1</f>
        <v>12.8409970756414</v>
      </c>
      <c r="AI103">
        <f>4.23923417031035*1</f>
        <v>4.2392341703103504</v>
      </c>
      <c r="AJ103">
        <v>1</v>
      </c>
      <c r="AK103">
        <v>1</v>
      </c>
      <c r="AL103">
        <v>1</v>
      </c>
    </row>
    <row r="104" spans="1:38" hidden="1" x14ac:dyDescent="0.2">
      <c r="A104" t="s">
        <v>260</v>
      </c>
      <c r="B104" t="s">
        <v>261</v>
      </c>
      <c r="C104" t="s">
        <v>261</v>
      </c>
      <c r="D104" t="s">
        <v>6</v>
      </c>
      <c r="E104">
        <v>0</v>
      </c>
      <c r="F104">
        <v>0</v>
      </c>
      <c r="G104">
        <v>0</v>
      </c>
      <c r="H104">
        <v>1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14.1</v>
      </c>
      <c r="AE104">
        <v>527</v>
      </c>
      <c r="AF104">
        <v>30.456140350877199</v>
      </c>
      <c r="AG104">
        <v>0</v>
      </c>
      <c r="AH104">
        <f>34.1509546351719*1</f>
        <v>34.1509546351719</v>
      </c>
      <c r="AI104">
        <f>8.53773865879298*1</f>
        <v>8.5377386587929802</v>
      </c>
      <c r="AJ104">
        <v>1</v>
      </c>
      <c r="AK104">
        <v>0</v>
      </c>
      <c r="AL104">
        <v>0</v>
      </c>
    </row>
    <row r="105" spans="1:38" hidden="1" x14ac:dyDescent="0.2">
      <c r="A105" t="s">
        <v>262</v>
      </c>
      <c r="B105" t="s">
        <v>263</v>
      </c>
      <c r="C105" t="s">
        <v>262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5.6</v>
      </c>
      <c r="AE105">
        <v>534</v>
      </c>
      <c r="AF105">
        <v>16.354433650620681</v>
      </c>
      <c r="AG105">
        <v>0</v>
      </c>
      <c r="AH105">
        <f>18.3384865991461*1</f>
        <v>18.338486599146101</v>
      </c>
      <c r="AI105">
        <f>4.0090403407403*1</f>
        <v>4.0090403407402997</v>
      </c>
      <c r="AJ105">
        <v>1</v>
      </c>
      <c r="AK105">
        <v>0</v>
      </c>
      <c r="AL105">
        <v>0</v>
      </c>
    </row>
    <row r="106" spans="1:38" hidden="1" x14ac:dyDescent="0.2">
      <c r="A106" t="s">
        <v>264</v>
      </c>
      <c r="B106" t="s">
        <v>265</v>
      </c>
      <c r="C106" t="s">
        <v>265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5.4</v>
      </c>
      <c r="AE106">
        <v>538</v>
      </c>
      <c r="AF106">
        <v>15.333333333333339</v>
      </c>
      <c r="AG106">
        <v>0</v>
      </c>
      <c r="AH106">
        <f>17.1935105709333*1</f>
        <v>17.193510570933299</v>
      </c>
      <c r="AI106">
        <f>4.29837764273333*1</f>
        <v>4.29837764273333</v>
      </c>
      <c r="AJ106">
        <v>1</v>
      </c>
      <c r="AK106">
        <v>0</v>
      </c>
      <c r="AL106">
        <v>0</v>
      </c>
    </row>
    <row r="107" spans="1:38" hidden="1" x14ac:dyDescent="0.2">
      <c r="A107" t="s">
        <v>266</v>
      </c>
      <c r="B107" t="s">
        <v>267</v>
      </c>
      <c r="C107" t="s">
        <v>268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8.5</v>
      </c>
      <c r="AE107">
        <v>549</v>
      </c>
      <c r="AF107">
        <v>18.58461538461539</v>
      </c>
      <c r="AG107">
        <v>14.505200783129061</v>
      </c>
      <c r="AH107">
        <f>16.838783381648*1</f>
        <v>16.838783381648</v>
      </c>
      <c r="AI107">
        <f>4.99900433206861*1</f>
        <v>4.9990043320686102</v>
      </c>
      <c r="AJ107">
        <v>1</v>
      </c>
      <c r="AK107">
        <v>0</v>
      </c>
      <c r="AL107">
        <v>0</v>
      </c>
    </row>
    <row r="108" spans="1:38" hidden="1" x14ac:dyDescent="0.2">
      <c r="A108" t="s">
        <v>269</v>
      </c>
      <c r="B108" t="s">
        <v>270</v>
      </c>
      <c r="C108" t="s">
        <v>270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</v>
      </c>
      <c r="AE108">
        <v>557</v>
      </c>
      <c r="AF108">
        <v>19.971083107412241</v>
      </c>
      <c r="AG108">
        <v>11.23377473707022</v>
      </c>
      <c r="AH108">
        <f>13.8468886644532*1</f>
        <v>13.8468886644532</v>
      </c>
      <c r="AI108">
        <f>3.66742712302269*1</f>
        <v>3.6674271230226898</v>
      </c>
      <c r="AJ108">
        <v>1</v>
      </c>
      <c r="AK108">
        <v>0</v>
      </c>
      <c r="AL108">
        <v>0</v>
      </c>
    </row>
    <row r="109" spans="1:38" hidden="1" x14ac:dyDescent="0.2">
      <c r="A109" t="s">
        <v>105</v>
      </c>
      <c r="B109" t="s">
        <v>271</v>
      </c>
      <c r="C109" t="s">
        <v>271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8.4</v>
      </c>
      <c r="AE109">
        <v>569</v>
      </c>
      <c r="AF109">
        <v>17.866666666666649</v>
      </c>
      <c r="AG109">
        <v>16.133766220449449</v>
      </c>
      <c r="AH109">
        <f>18.3241857527193*1</f>
        <v>18.324185752719298</v>
      </c>
      <c r="AI109">
        <f>5.15217701533862*1</f>
        <v>5.1521770153386202</v>
      </c>
      <c r="AJ109">
        <v>1</v>
      </c>
      <c r="AK109">
        <v>0</v>
      </c>
      <c r="AL109">
        <v>0</v>
      </c>
    </row>
    <row r="110" spans="1:38" hidden="1" x14ac:dyDescent="0.2">
      <c r="A110" t="s">
        <v>272</v>
      </c>
      <c r="B110" t="s">
        <v>273</v>
      </c>
      <c r="C110" t="s">
        <v>273</v>
      </c>
      <c r="D110" t="s">
        <v>3</v>
      </c>
      <c r="E110">
        <v>1</v>
      </c>
      <c r="F110">
        <v>0</v>
      </c>
      <c r="G110">
        <v>0</v>
      </c>
      <c r="H110">
        <v>0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</v>
      </c>
      <c r="AE110">
        <v>575</v>
      </c>
      <c r="AF110">
        <v>14</v>
      </c>
      <c r="AG110">
        <v>11.25317677211607</v>
      </c>
      <c r="AH110">
        <f>13.003189447777*1</f>
        <v>13.003189447777</v>
      </c>
      <c r="AI110">
        <f>3.60773314988101*1</f>
        <v>3.6077331498810099</v>
      </c>
      <c r="AJ110">
        <v>1</v>
      </c>
      <c r="AK110">
        <v>0</v>
      </c>
      <c r="AL110">
        <v>0</v>
      </c>
    </row>
    <row r="111" spans="1:38" hidden="1" x14ac:dyDescent="0.2">
      <c r="A111" t="s">
        <v>274</v>
      </c>
      <c r="B111" t="s">
        <v>275</v>
      </c>
      <c r="C111" t="s">
        <v>275</v>
      </c>
      <c r="D111" t="s">
        <v>6</v>
      </c>
      <c r="E111">
        <v>0</v>
      </c>
      <c r="F111">
        <v>0</v>
      </c>
      <c r="G111">
        <v>0</v>
      </c>
      <c r="H111">
        <v>1</v>
      </c>
      <c r="I111" t="s">
        <v>24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7.1</v>
      </c>
      <c r="AE111">
        <v>576</v>
      </c>
      <c r="AF111">
        <v>12.593933389246891</v>
      </c>
      <c r="AG111">
        <v>11.87277451823776</v>
      </c>
      <c r="AH111">
        <f>13.4046492653387*1</f>
        <v>13.404649265338699</v>
      </c>
      <c r="AI111">
        <f>3.94048362817441*1</f>
        <v>3.9404836281744098</v>
      </c>
      <c r="AJ111">
        <v>1</v>
      </c>
      <c r="AK111">
        <v>0</v>
      </c>
      <c r="AL111">
        <v>0</v>
      </c>
    </row>
    <row r="112" spans="1:38" hidden="1" x14ac:dyDescent="0.2">
      <c r="A112" t="s">
        <v>266</v>
      </c>
      <c r="B112" t="s">
        <v>276</v>
      </c>
      <c r="C112" t="s">
        <v>277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5.8</v>
      </c>
      <c r="AE112">
        <v>597</v>
      </c>
      <c r="AF112">
        <v>14.44155844155844</v>
      </c>
      <c r="AG112">
        <v>13.644129222995669</v>
      </c>
      <c r="AH112">
        <f>16.5303509218907*1</f>
        <v>16.530350921890701</v>
      </c>
      <c r="AI112">
        <f>4.24216046083824*1</f>
        <v>4.2421604608382397</v>
      </c>
      <c r="AJ112">
        <v>1</v>
      </c>
      <c r="AK112">
        <v>0</v>
      </c>
      <c r="AL112">
        <v>0</v>
      </c>
    </row>
    <row r="113" spans="1:38" x14ac:dyDescent="0.2">
      <c r="A113" t="s">
        <v>135</v>
      </c>
      <c r="B113" t="s">
        <v>136</v>
      </c>
      <c r="C113" t="s">
        <v>137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15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6.1</v>
      </c>
      <c r="AE113">
        <v>175</v>
      </c>
      <c r="AF113">
        <v>16.708431280784069</v>
      </c>
      <c r="AG113">
        <v>13.230013033618709</v>
      </c>
      <c r="AH113">
        <f>16.9530993555066*1</f>
        <v>16.953099355506598</v>
      </c>
      <c r="AI113">
        <f>4.09335568978721*1</f>
        <v>4.0933556897872103</v>
      </c>
      <c r="AJ113">
        <v>1</v>
      </c>
      <c r="AK113">
        <v>1</v>
      </c>
      <c r="AL113">
        <v>1</v>
      </c>
    </row>
    <row r="114" spans="1:38" x14ac:dyDescent="0.2">
      <c r="A114" t="s">
        <v>332</v>
      </c>
      <c r="B114" t="s">
        <v>333</v>
      </c>
      <c r="C114" t="s">
        <v>333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30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4.5999999999999996</v>
      </c>
      <c r="AE114">
        <v>830</v>
      </c>
      <c r="AF114">
        <v>8.8016528925619752</v>
      </c>
      <c r="AG114">
        <v>8.751539556914862</v>
      </c>
      <c r="AH114">
        <f>10.78591060897*1</f>
        <v>10.785910608969999</v>
      </c>
      <c r="AI114">
        <f>3.9880505368243*1</f>
        <v>3.9880505368243</v>
      </c>
      <c r="AJ114">
        <v>1</v>
      </c>
      <c r="AK114">
        <v>1</v>
      </c>
      <c r="AL114">
        <v>1</v>
      </c>
    </row>
    <row r="115" spans="1:38" x14ac:dyDescent="0.2">
      <c r="A115" t="s">
        <v>278</v>
      </c>
      <c r="B115" t="s">
        <v>279</v>
      </c>
      <c r="C115" t="s">
        <v>279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4.5999999999999996</v>
      </c>
      <c r="AE115">
        <v>598</v>
      </c>
      <c r="AF115">
        <v>12.361040314961739</v>
      </c>
      <c r="AG115">
        <v>13.08746921373562</v>
      </c>
      <c r="AH115">
        <f>14.6699055498597*1</f>
        <v>14.669905549859701</v>
      </c>
      <c r="AI115">
        <f>3.81199640188711*1</f>
        <v>3.81199640188711</v>
      </c>
      <c r="AJ115">
        <v>1</v>
      </c>
      <c r="AK115">
        <v>1</v>
      </c>
      <c r="AL115">
        <v>1</v>
      </c>
    </row>
    <row r="116" spans="1:38" hidden="1" x14ac:dyDescent="0.2">
      <c r="A116" t="s">
        <v>284</v>
      </c>
      <c r="B116" t="s">
        <v>285</v>
      </c>
      <c r="C116" t="s">
        <v>285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4.8</v>
      </c>
      <c r="AE116">
        <v>612</v>
      </c>
      <c r="AF116">
        <v>10.831796862154169</v>
      </c>
      <c r="AG116">
        <v>7.8911504583418388</v>
      </c>
      <c r="AH116">
        <f>11.5322867864682*1</f>
        <v>11.5322867864682</v>
      </c>
      <c r="AI116">
        <f>2.87031096683868*1</f>
        <v>2.8703109668386801</v>
      </c>
      <c r="AJ116">
        <v>1</v>
      </c>
      <c r="AK116">
        <v>0</v>
      </c>
      <c r="AL116">
        <v>0</v>
      </c>
    </row>
    <row r="117" spans="1:38" hidden="1" x14ac:dyDescent="0.2">
      <c r="A117" t="s">
        <v>286</v>
      </c>
      <c r="B117" t="s">
        <v>287</v>
      </c>
      <c r="C117" t="s">
        <v>287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5.7</v>
      </c>
      <c r="AE117">
        <v>618</v>
      </c>
      <c r="AF117">
        <v>17.650133323586122</v>
      </c>
      <c r="AG117">
        <v>14.47075555749718</v>
      </c>
      <c r="AH117">
        <f>19.3877507901804*1</f>
        <v>19.387750790180402</v>
      </c>
      <c r="AI117">
        <f>5.48936797219178*1</f>
        <v>5.4893679721917801</v>
      </c>
      <c r="AJ117">
        <v>1</v>
      </c>
      <c r="AK117">
        <v>0</v>
      </c>
      <c r="AL117">
        <v>0</v>
      </c>
    </row>
    <row r="118" spans="1:38" hidden="1" x14ac:dyDescent="0.2">
      <c r="A118" t="s">
        <v>288</v>
      </c>
      <c r="B118" t="s">
        <v>289</v>
      </c>
      <c r="C118" t="s">
        <v>289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6.6</v>
      </c>
      <c r="AE118">
        <v>621</v>
      </c>
      <c r="AF118">
        <v>17.97893539434866</v>
      </c>
      <c r="AG118">
        <v>16.648877356418009</v>
      </c>
      <c r="AH118">
        <f>0*0</f>
        <v>0</v>
      </c>
      <c r="AI118">
        <f>4.36801178391053*0</f>
        <v>0</v>
      </c>
      <c r="AJ118">
        <v>0</v>
      </c>
      <c r="AK118">
        <v>0</v>
      </c>
      <c r="AL118">
        <v>0</v>
      </c>
    </row>
    <row r="119" spans="1:38" hidden="1" x14ac:dyDescent="0.2">
      <c r="A119" t="s">
        <v>290</v>
      </c>
      <c r="B119" t="s">
        <v>291</v>
      </c>
      <c r="C119" t="s">
        <v>291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4.7</v>
      </c>
      <c r="AE119">
        <v>638</v>
      </c>
      <c r="AF119">
        <v>8.4193548387096762</v>
      </c>
      <c r="AG119">
        <v>7.4637963439938488</v>
      </c>
      <c r="AH119">
        <f>9.20784453230189*1</f>
        <v>9.2078445323018894</v>
      </c>
      <c r="AI119">
        <f>3.05279623309403*1</f>
        <v>3.0527962330940301</v>
      </c>
      <c r="AJ119">
        <v>1</v>
      </c>
      <c r="AK119">
        <v>0</v>
      </c>
      <c r="AL119">
        <v>0</v>
      </c>
    </row>
    <row r="120" spans="1:38" hidden="1" x14ac:dyDescent="0.2">
      <c r="A120" t="s">
        <v>280</v>
      </c>
      <c r="B120" t="s">
        <v>292</v>
      </c>
      <c r="C120" t="s">
        <v>292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5</v>
      </c>
      <c r="AE120">
        <v>639</v>
      </c>
      <c r="AF120">
        <v>8.7420754699679541</v>
      </c>
      <c r="AG120">
        <v>9.3557393376750397</v>
      </c>
      <c r="AH120">
        <f>10.8200944924089*1</f>
        <v>10.8200944924089</v>
      </c>
      <c r="AI120">
        <f>3.74472911149976*1</f>
        <v>3.7447291114997601</v>
      </c>
      <c r="AJ120">
        <v>1</v>
      </c>
      <c r="AK120">
        <v>0</v>
      </c>
      <c r="AL120">
        <v>0</v>
      </c>
    </row>
    <row r="121" spans="1:38" hidden="1" x14ac:dyDescent="0.2">
      <c r="A121" t="s">
        <v>293</v>
      </c>
      <c r="B121" t="s">
        <v>294</v>
      </c>
      <c r="C121" t="s">
        <v>293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5.3</v>
      </c>
      <c r="AE121">
        <v>648</v>
      </c>
      <c r="AF121">
        <v>7.3932166717926124</v>
      </c>
      <c r="AG121">
        <v>7.2968038928288479</v>
      </c>
      <c r="AH121">
        <f>8.66801833197292*1</f>
        <v>8.6680183319729203</v>
      </c>
      <c r="AI121">
        <f>2.24263854695774*1</f>
        <v>2.2426385469577399</v>
      </c>
      <c r="AJ121">
        <v>1</v>
      </c>
      <c r="AK121">
        <v>0</v>
      </c>
      <c r="AL121">
        <v>0</v>
      </c>
    </row>
    <row r="122" spans="1:38" hidden="1" x14ac:dyDescent="0.2">
      <c r="A122" t="s">
        <v>295</v>
      </c>
      <c r="B122" t="s">
        <v>296</v>
      </c>
      <c r="C122" t="s">
        <v>296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5.7</v>
      </c>
      <c r="AE122">
        <v>653</v>
      </c>
      <c r="AF122">
        <v>12.26280468008934</v>
      </c>
      <c r="AG122">
        <v>6.8849340940255344</v>
      </c>
      <c r="AH122">
        <f>10.2853467757057*1</f>
        <v>10.285346775705699</v>
      </c>
      <c r="AI122">
        <f>3.21281848758642*1</f>
        <v>3.2128184875864201</v>
      </c>
      <c r="AJ122">
        <v>1</v>
      </c>
      <c r="AK122">
        <v>0</v>
      </c>
      <c r="AL122">
        <v>0</v>
      </c>
    </row>
    <row r="123" spans="1:38" hidden="1" x14ac:dyDescent="0.2">
      <c r="A123" t="s">
        <v>297</v>
      </c>
      <c r="B123" t="s">
        <v>298</v>
      </c>
      <c r="C123" t="s">
        <v>298</v>
      </c>
      <c r="D123" t="s">
        <v>6</v>
      </c>
      <c r="E123">
        <v>0</v>
      </c>
      <c r="F123">
        <v>0</v>
      </c>
      <c r="G123">
        <v>0</v>
      </c>
      <c r="H123">
        <v>1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4.8</v>
      </c>
      <c r="AE123">
        <v>673</v>
      </c>
      <c r="AF123">
        <v>10.21406846873599</v>
      </c>
      <c r="AG123">
        <v>10.663335825350179</v>
      </c>
      <c r="AH123">
        <f>12.4320348719844*1</f>
        <v>12.432034871984399</v>
      </c>
      <c r="AI123">
        <f>4.04455662847373*1</f>
        <v>4.04455662847373</v>
      </c>
      <c r="AJ123">
        <v>1</v>
      </c>
      <c r="AK123">
        <v>0</v>
      </c>
      <c r="AL123">
        <v>0</v>
      </c>
    </row>
    <row r="124" spans="1:38" hidden="1" x14ac:dyDescent="0.2">
      <c r="A124" t="s">
        <v>299</v>
      </c>
      <c r="B124" t="s">
        <v>300</v>
      </c>
      <c r="C124" t="s">
        <v>300</v>
      </c>
      <c r="D124" t="s">
        <v>6</v>
      </c>
      <c r="E124">
        <v>0</v>
      </c>
      <c r="F124">
        <v>0</v>
      </c>
      <c r="G124">
        <v>0</v>
      </c>
      <c r="H124">
        <v>1</v>
      </c>
      <c r="I124" t="s">
        <v>27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4.2</v>
      </c>
      <c r="AE124">
        <v>693</v>
      </c>
      <c r="AF124">
        <v>0</v>
      </c>
      <c r="AG124">
        <v>7.368741904729859</v>
      </c>
      <c r="AH124">
        <f>9.1375252987103*1</f>
        <v>9.1375252987102993</v>
      </c>
      <c r="AI124">
        <f>3.37455329524563*1</f>
        <v>3.3745532952456299</v>
      </c>
      <c r="AJ124">
        <v>1</v>
      </c>
      <c r="AK124">
        <v>0</v>
      </c>
      <c r="AL124">
        <v>0</v>
      </c>
    </row>
    <row r="125" spans="1:38" hidden="1" x14ac:dyDescent="0.2">
      <c r="A125" t="s">
        <v>301</v>
      </c>
      <c r="B125" t="s">
        <v>302</v>
      </c>
      <c r="C125" t="s">
        <v>302</v>
      </c>
      <c r="D125" t="s">
        <v>3</v>
      </c>
      <c r="E125">
        <v>1</v>
      </c>
      <c r="F125">
        <v>0</v>
      </c>
      <c r="G125">
        <v>0</v>
      </c>
      <c r="H125">
        <v>0</v>
      </c>
      <c r="I125" t="s">
        <v>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4.4000000000000004</v>
      </c>
      <c r="AE125">
        <v>706</v>
      </c>
      <c r="AF125">
        <v>0</v>
      </c>
      <c r="AG125">
        <v>8.7584722584463055</v>
      </c>
      <c r="AH125">
        <f>10.8608447512912*1</f>
        <v>10.8608447512912</v>
      </c>
      <c r="AI125">
        <f>5.61082932258885*1</f>
        <v>5.6108293225888497</v>
      </c>
      <c r="AJ125">
        <v>1</v>
      </c>
      <c r="AK125">
        <v>0</v>
      </c>
      <c r="AL125">
        <v>0</v>
      </c>
    </row>
    <row r="126" spans="1:38" hidden="1" x14ac:dyDescent="0.2">
      <c r="A126" t="s">
        <v>303</v>
      </c>
      <c r="B126" t="s">
        <v>304</v>
      </c>
      <c r="C126" t="s">
        <v>304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4.9000000000000004</v>
      </c>
      <c r="AE126">
        <v>724</v>
      </c>
      <c r="AF126">
        <v>0</v>
      </c>
      <c r="AG126">
        <v>7.9602209015076308</v>
      </c>
      <c r="AH126">
        <f>9.87098215831934*1</f>
        <v>9.8709821583193396</v>
      </c>
      <c r="AI126">
        <f>3.72073830715566*1</f>
        <v>3.7207383071556599</v>
      </c>
      <c r="AJ126">
        <v>1</v>
      </c>
      <c r="AK126">
        <v>0</v>
      </c>
      <c r="AL126">
        <v>0</v>
      </c>
    </row>
    <row r="127" spans="1:38" hidden="1" x14ac:dyDescent="0.2">
      <c r="A127" t="s">
        <v>305</v>
      </c>
      <c r="B127" t="s">
        <v>306</v>
      </c>
      <c r="C127" t="s">
        <v>306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5.8</v>
      </c>
      <c r="AE127">
        <v>737</v>
      </c>
      <c r="AF127">
        <v>13.55223880597015</v>
      </c>
      <c r="AG127">
        <v>11.24446409320737</v>
      </c>
      <c r="AH127">
        <f>11.3922907044096*1</f>
        <v>11.3922907044096</v>
      </c>
      <c r="AI127">
        <f>2.59714436715127*1</f>
        <v>2.59714436715127</v>
      </c>
      <c r="AJ127">
        <v>1</v>
      </c>
      <c r="AK127">
        <v>0</v>
      </c>
      <c r="AL127">
        <v>0</v>
      </c>
    </row>
    <row r="128" spans="1:38" hidden="1" x14ac:dyDescent="0.2">
      <c r="A128" t="s">
        <v>307</v>
      </c>
      <c r="B128" t="s">
        <v>308</v>
      </c>
      <c r="C128" t="s">
        <v>309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28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5.8</v>
      </c>
      <c r="AE128">
        <v>753</v>
      </c>
      <c r="AF128">
        <v>15.111111111111111</v>
      </c>
      <c r="AG128">
        <v>12.06591342985644</v>
      </c>
      <c r="AH128">
        <f>12.4969072676521*1</f>
        <v>12.4969072676521</v>
      </c>
      <c r="AI128">
        <f>2.67914709250107*1</f>
        <v>2.6791470925010699</v>
      </c>
      <c r="AJ128">
        <v>1</v>
      </c>
      <c r="AK128">
        <v>0</v>
      </c>
      <c r="AL128">
        <v>0</v>
      </c>
    </row>
    <row r="129" spans="1:38" hidden="1" x14ac:dyDescent="0.2">
      <c r="A129" t="s">
        <v>310</v>
      </c>
      <c r="B129" t="s">
        <v>311</v>
      </c>
      <c r="C129" t="s">
        <v>310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9.9</v>
      </c>
      <c r="AE129">
        <v>762</v>
      </c>
      <c r="AF129">
        <v>21.30457492329872</v>
      </c>
      <c r="AG129">
        <v>17.486699227713562</v>
      </c>
      <c r="AH129">
        <f>17.8262237604827*1</f>
        <v>17.826223760482701</v>
      </c>
      <c r="AI129">
        <f>4.45893584537447*1</f>
        <v>4.4589358453744703</v>
      </c>
      <c r="AJ129">
        <v>1</v>
      </c>
      <c r="AK129">
        <v>0</v>
      </c>
      <c r="AL129">
        <v>0</v>
      </c>
    </row>
    <row r="130" spans="1:38" hidden="1" x14ac:dyDescent="0.2">
      <c r="A130" t="s">
        <v>312</v>
      </c>
      <c r="B130" t="s">
        <v>313</v>
      </c>
      <c r="C130" t="s">
        <v>313</v>
      </c>
      <c r="D130" t="s">
        <v>3</v>
      </c>
      <c r="E130">
        <v>1</v>
      </c>
      <c r="F130">
        <v>0</v>
      </c>
      <c r="G130">
        <v>0</v>
      </c>
      <c r="H130">
        <v>0</v>
      </c>
      <c r="I130" t="s">
        <v>28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5.3</v>
      </c>
      <c r="AE130">
        <v>766</v>
      </c>
      <c r="AF130">
        <v>11.059427821052431</v>
      </c>
      <c r="AG130">
        <v>7.1813863179999586</v>
      </c>
      <c r="AH130">
        <f>8.42695660227369*1</f>
        <v>8.4269566022736893</v>
      </c>
      <c r="AI130">
        <f>1.37007882054155*1</f>
        <v>1.3700788205415499</v>
      </c>
      <c r="AJ130">
        <v>1</v>
      </c>
      <c r="AK130">
        <v>0</v>
      </c>
      <c r="AL130">
        <v>0</v>
      </c>
    </row>
    <row r="131" spans="1:38" hidden="1" x14ac:dyDescent="0.2">
      <c r="A131" t="s">
        <v>314</v>
      </c>
      <c r="B131" t="s">
        <v>315</v>
      </c>
      <c r="C131" t="s">
        <v>315</v>
      </c>
      <c r="D131" t="s">
        <v>3</v>
      </c>
      <c r="E131">
        <v>1</v>
      </c>
      <c r="F131">
        <v>0</v>
      </c>
      <c r="G131">
        <v>0</v>
      </c>
      <c r="H131">
        <v>0</v>
      </c>
      <c r="I131" t="s">
        <v>29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4.2</v>
      </c>
      <c r="AE131">
        <v>782</v>
      </c>
      <c r="AF131">
        <v>10.07462686567164</v>
      </c>
      <c r="AG131">
        <v>0</v>
      </c>
      <c r="AH131">
        <f>9.64737217561567*1</f>
        <v>9.6473721756156703</v>
      </c>
      <c r="AI131">
        <f>3.21579072520522*1</f>
        <v>3.21579072520522</v>
      </c>
      <c r="AJ131">
        <v>1</v>
      </c>
      <c r="AK131">
        <v>0</v>
      </c>
      <c r="AL131">
        <v>0</v>
      </c>
    </row>
    <row r="132" spans="1:38" hidden="1" x14ac:dyDescent="0.2">
      <c r="A132" t="s">
        <v>316</v>
      </c>
      <c r="B132" t="s">
        <v>317</v>
      </c>
      <c r="C132" t="s">
        <v>317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7.6</v>
      </c>
      <c r="AE132">
        <v>784</v>
      </c>
      <c r="AF132">
        <v>13.78227495732337</v>
      </c>
      <c r="AG132">
        <v>0</v>
      </c>
      <c r="AH132">
        <f>13.1977826784855*1</f>
        <v>13.197782678485501</v>
      </c>
      <c r="AI132">
        <f>5.99091096366653*1</f>
        <v>5.9909109636665301</v>
      </c>
      <c r="AJ132">
        <v>1</v>
      </c>
      <c r="AK132">
        <v>0</v>
      </c>
      <c r="AL132">
        <v>0</v>
      </c>
    </row>
    <row r="133" spans="1:38" hidden="1" x14ac:dyDescent="0.2">
      <c r="A133" t="s">
        <v>69</v>
      </c>
      <c r="B133" t="s">
        <v>318</v>
      </c>
      <c r="C133" t="s">
        <v>319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6</v>
      </c>
      <c r="AE133">
        <v>797</v>
      </c>
      <c r="AF133">
        <v>12.22654192789998</v>
      </c>
      <c r="AG133">
        <v>0</v>
      </c>
      <c r="AH133">
        <f>11.708026706293*1</f>
        <v>11.708026706292999</v>
      </c>
      <c r="AI133">
        <f>4.47578662598283*1</f>
        <v>4.4757866259828303</v>
      </c>
      <c r="AJ133">
        <v>1</v>
      </c>
      <c r="AK133">
        <v>0</v>
      </c>
      <c r="AL133">
        <v>0</v>
      </c>
    </row>
    <row r="134" spans="1:38" hidden="1" x14ac:dyDescent="0.2">
      <c r="A134" t="s">
        <v>320</v>
      </c>
      <c r="B134" t="s">
        <v>321</v>
      </c>
      <c r="C134" t="s">
        <v>321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4.5</v>
      </c>
      <c r="AE134">
        <v>801</v>
      </c>
      <c r="AF134">
        <v>8.3742362836231337</v>
      </c>
      <c r="AG134">
        <v>0</v>
      </c>
      <c r="AH134">
        <f>8.01909343064002*1</f>
        <v>8.0190934306400194</v>
      </c>
      <c r="AI134">
        <f>2.72735626546914*1</f>
        <v>2.7273562654691399</v>
      </c>
      <c r="AJ134">
        <v>1</v>
      </c>
      <c r="AK134">
        <v>0</v>
      </c>
      <c r="AL134">
        <v>0</v>
      </c>
    </row>
    <row r="135" spans="1:38" hidden="1" x14ac:dyDescent="0.2">
      <c r="A135" t="s">
        <v>188</v>
      </c>
      <c r="B135" t="s">
        <v>322</v>
      </c>
      <c r="C135" t="s">
        <v>322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5.8</v>
      </c>
      <c r="AE135">
        <v>805</v>
      </c>
      <c r="AF135">
        <v>11.142424981729819</v>
      </c>
      <c r="AG135">
        <v>0</v>
      </c>
      <c r="AH135">
        <f>10.6698860584013*1</f>
        <v>10.6698860584013</v>
      </c>
      <c r="AI135">
        <f>3.32584429848722*1</f>
        <v>3.3258442984872199</v>
      </c>
      <c r="AJ135">
        <v>1</v>
      </c>
      <c r="AK135">
        <v>0</v>
      </c>
      <c r="AL135">
        <v>0</v>
      </c>
    </row>
    <row r="136" spans="1:38" hidden="1" x14ac:dyDescent="0.2">
      <c r="A136" t="s">
        <v>323</v>
      </c>
      <c r="B136" t="s">
        <v>324</v>
      </c>
      <c r="C136" t="s">
        <v>324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6.7</v>
      </c>
      <c r="AE136">
        <v>807</v>
      </c>
      <c r="AF136">
        <v>12.3</v>
      </c>
      <c r="AG136">
        <v>0</v>
      </c>
      <c r="AH136">
        <f>11.7783694961849*1</f>
        <v>11.778369496184901</v>
      </c>
      <c r="AI136">
        <f>3.92612316539499*1</f>
        <v>3.9261231653949902</v>
      </c>
      <c r="AJ136">
        <v>1</v>
      </c>
      <c r="AK136">
        <v>0</v>
      </c>
      <c r="AL136">
        <v>0</v>
      </c>
    </row>
    <row r="137" spans="1:38" hidden="1" x14ac:dyDescent="0.2">
      <c r="A137" t="s">
        <v>325</v>
      </c>
      <c r="B137" t="s">
        <v>326</v>
      </c>
      <c r="C137" t="s">
        <v>326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30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4.8</v>
      </c>
      <c r="AE137">
        <v>814</v>
      </c>
      <c r="AF137">
        <v>4.7478388687674933</v>
      </c>
      <c r="AG137">
        <v>6.0561836556881019</v>
      </c>
      <c r="AH137">
        <f>6.52228903678178*1</f>
        <v>6.5222890367817801</v>
      </c>
      <c r="AI137">
        <f>2.18970934499028*1</f>
        <v>2.18970934499028</v>
      </c>
      <c r="AJ137">
        <v>1</v>
      </c>
      <c r="AK137">
        <v>0</v>
      </c>
      <c r="AL137">
        <v>0</v>
      </c>
    </row>
    <row r="138" spans="1:38" hidden="1" x14ac:dyDescent="0.2">
      <c r="A138" t="s">
        <v>327</v>
      </c>
      <c r="B138" t="s">
        <v>328</v>
      </c>
      <c r="C138" t="s">
        <v>328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30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4.5</v>
      </c>
      <c r="AE138">
        <v>820</v>
      </c>
      <c r="AF138">
        <v>8.313540264490495</v>
      </c>
      <c r="AG138">
        <v>8.2849042976774605</v>
      </c>
      <c r="AH138">
        <f>10.19761596726*1</f>
        <v>10.197615967260001</v>
      </c>
      <c r="AI138">
        <f>3.10398704189028*1</f>
        <v>3.1039870418902802</v>
      </c>
      <c r="AJ138">
        <v>1</v>
      </c>
      <c r="AK138">
        <v>0</v>
      </c>
      <c r="AL138">
        <v>0</v>
      </c>
    </row>
    <row r="139" spans="1:38" hidden="1" x14ac:dyDescent="0.2">
      <c r="A139" t="s">
        <v>329</v>
      </c>
      <c r="B139" t="s">
        <v>330</v>
      </c>
      <c r="C139" t="s">
        <v>331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30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5.4</v>
      </c>
      <c r="AE139">
        <v>825</v>
      </c>
      <c r="AF139">
        <v>8.8778342753190955</v>
      </c>
      <c r="AG139">
        <v>9.4451792547069306</v>
      </c>
      <c r="AH139">
        <f>11.2050558921856*1</f>
        <v>11.2050558921856</v>
      </c>
      <c r="AI139">
        <f>3.96897986994228*1</f>
        <v>3.96897986994228</v>
      </c>
      <c r="AJ139">
        <v>1</v>
      </c>
      <c r="AK139">
        <v>0</v>
      </c>
      <c r="AL139">
        <v>0</v>
      </c>
    </row>
    <row r="140" spans="1:38" x14ac:dyDescent="0.2">
      <c r="A140" t="s">
        <v>89</v>
      </c>
      <c r="B140" t="s">
        <v>134</v>
      </c>
      <c r="C140" t="s">
        <v>134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15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5.2</v>
      </c>
      <c r="AE140">
        <v>170</v>
      </c>
      <c r="AF140">
        <v>12.63157894736843</v>
      </c>
      <c r="AG140">
        <v>11.4684468002519</v>
      </c>
      <c r="AH140">
        <f>13.7494995460607*1</f>
        <v>13.749499546060701</v>
      </c>
      <c r="AI140">
        <f>3.51797868315132*1</f>
        <v>3.5179786831513198</v>
      </c>
      <c r="AJ140">
        <v>1</v>
      </c>
      <c r="AK140">
        <v>1</v>
      </c>
      <c r="AL140">
        <v>1</v>
      </c>
    </row>
    <row r="141" spans="1:38" hidden="1" x14ac:dyDescent="0.2">
      <c r="A141" t="s">
        <v>334</v>
      </c>
      <c r="B141" t="s">
        <v>335</v>
      </c>
      <c r="C141" t="s">
        <v>336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30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4.9000000000000004</v>
      </c>
      <c r="AE141">
        <v>832</v>
      </c>
      <c r="AF141">
        <v>6.8125000000000018</v>
      </c>
      <c r="AG141">
        <v>5.3183470830556896</v>
      </c>
      <c r="AH141">
        <f>7.58096507717495*1</f>
        <v>7.5809650771749499</v>
      </c>
      <c r="AI141">
        <f>2.51212880298234*1</f>
        <v>2.5121288029823399</v>
      </c>
      <c r="AJ141">
        <v>1</v>
      </c>
      <c r="AK141">
        <v>0</v>
      </c>
      <c r="AL141">
        <v>0</v>
      </c>
    </row>
    <row r="142" spans="1:38" x14ac:dyDescent="0.2">
      <c r="A142" t="s">
        <v>235</v>
      </c>
      <c r="B142" t="s">
        <v>236</v>
      </c>
      <c r="C142" t="s">
        <v>235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6.7</v>
      </c>
      <c r="AE142">
        <v>447</v>
      </c>
      <c r="AF142">
        <v>11.7028656084484</v>
      </c>
      <c r="AG142">
        <v>13.432737844901251</v>
      </c>
      <c r="AH142">
        <f>10.7220584730911*1</f>
        <v>10.722058473091099</v>
      </c>
      <c r="AI142">
        <f>3.4281684691927*1</f>
        <v>3.4281684691927001</v>
      </c>
      <c r="AJ142">
        <v>1</v>
      </c>
      <c r="AK142">
        <v>1</v>
      </c>
      <c r="AL142">
        <v>1</v>
      </c>
    </row>
    <row r="143" spans="1:38" hidden="1" x14ac:dyDescent="0.2">
      <c r="A143" t="s">
        <v>340</v>
      </c>
      <c r="B143" t="s">
        <v>341</v>
      </c>
      <c r="C143" t="s">
        <v>341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30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4.7</v>
      </c>
      <c r="AE143">
        <v>836</v>
      </c>
      <c r="AF143">
        <v>12.876189603157719</v>
      </c>
      <c r="AG143">
        <v>10.38018542518062</v>
      </c>
      <c r="AH143">
        <f>14.5016296064714*1</f>
        <v>14.501629606471401</v>
      </c>
      <c r="AI143">
        <f>5.43575377378649*1</f>
        <v>5.4357537737864901</v>
      </c>
      <c r="AJ143">
        <v>1</v>
      </c>
      <c r="AK143">
        <v>0</v>
      </c>
      <c r="AL143">
        <v>0</v>
      </c>
    </row>
    <row r="144" spans="1:38" hidden="1" x14ac:dyDescent="0.2">
      <c r="A144" t="s">
        <v>342</v>
      </c>
      <c r="B144" t="s">
        <v>343</v>
      </c>
      <c r="C144" t="s">
        <v>344</v>
      </c>
      <c r="D144" t="s">
        <v>4</v>
      </c>
      <c r="E144">
        <v>0</v>
      </c>
      <c r="F144">
        <v>1</v>
      </c>
      <c r="G144">
        <v>0</v>
      </c>
      <c r="H144">
        <v>0</v>
      </c>
      <c r="I144" t="s">
        <v>30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4.4000000000000004</v>
      </c>
      <c r="AE144">
        <v>839</v>
      </c>
      <c r="AF144">
        <v>7.4999999999999982</v>
      </c>
      <c r="AG144">
        <v>6.6571076831352878</v>
      </c>
      <c r="AH144">
        <f>8.7689033217293*1</f>
        <v>8.7689033217293009</v>
      </c>
      <c r="AI144">
        <f>2.95770672637455*1</f>
        <v>2.9577067263745498</v>
      </c>
      <c r="AJ144">
        <v>1</v>
      </c>
      <c r="AK144">
        <v>0</v>
      </c>
      <c r="AL144">
        <v>0</v>
      </c>
    </row>
    <row r="145" spans="1:38" hidden="1" x14ac:dyDescent="0.2">
      <c r="A145" t="s">
        <v>345</v>
      </c>
      <c r="B145" t="s">
        <v>346</v>
      </c>
      <c r="C145" t="s">
        <v>347</v>
      </c>
      <c r="D145" t="s">
        <v>6</v>
      </c>
      <c r="E145">
        <v>0</v>
      </c>
      <c r="F145">
        <v>0</v>
      </c>
      <c r="G145">
        <v>0</v>
      </c>
      <c r="H145">
        <v>1</v>
      </c>
      <c r="I145" t="s">
        <v>30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5.6</v>
      </c>
      <c r="AE145">
        <v>841</v>
      </c>
      <c r="AF145">
        <v>13.125908727732609</v>
      </c>
      <c r="AG145">
        <v>9.1821109035317434</v>
      </c>
      <c r="AH145">
        <f>14.0450324992838*1</f>
        <v>14.045032499283799</v>
      </c>
      <c r="AI145">
        <f>4.07175505937107*1</f>
        <v>4.0717550593710703</v>
      </c>
      <c r="AJ145">
        <v>1</v>
      </c>
      <c r="AK145">
        <v>0</v>
      </c>
      <c r="AL14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2024-05-03T00:53:27Z</dcterms:created>
  <dcterms:modified xsi:type="dcterms:W3CDTF">2024-05-03T00:55:40Z</dcterms:modified>
</cp:coreProperties>
</file>