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F19AD198-971A-7A4B-A38E-56063988AA4F}" xr6:coauthVersionLast="47" xr6:coauthVersionMax="47" xr10:uidLastSave="{00000000-0000-0000-0000-000000000000}"/>
  <bookViews>
    <workbookView xWindow="240" yWindow="760" windowWidth="34320" windowHeight="21580" activeTab="18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MCI" sheetId="12" r:id="rId12"/>
    <sheet name="MUN" sheetId="13" r:id="rId13"/>
    <sheet name="NEW" sheetId="14" r:id="rId14"/>
    <sheet name="NFO" sheetId="15" r:id="rId15"/>
    <sheet name="SHU" sheetId="16" r:id="rId16"/>
    <sheet name="TOT" sheetId="17" r:id="rId17"/>
    <sheet name="WHU" sheetId="18" r:id="rId18"/>
    <sheet name="WOL" sheetId="19" r:id="rId19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BUR!$I$2:$I$3</definedName>
    <definedName name="solver_adj" localSheetId="6" hidden="1">CHE!$I$2:$I$3</definedName>
    <definedName name="solver_adj" localSheetId="7" hidden="1">CRY!$I$2:$I$3</definedName>
    <definedName name="solver_adj" localSheetId="8" hidden="1">EVE!$I$2:$I$3</definedName>
    <definedName name="solver_adj" localSheetId="9" hidden="1">FUL!$I$2:$I$3</definedName>
    <definedName name="solver_adj" localSheetId="10" hidden="1">LIV!$I$2:$I$3</definedName>
    <definedName name="solver_adj" localSheetId="11" hidden="1">MCI!$I$2:$I$3</definedName>
    <definedName name="solver_adj" localSheetId="12" hidden="1">MUN!$I$2:$I$3</definedName>
    <definedName name="solver_adj" localSheetId="13" hidden="1">NEW!$I$2:$I$3</definedName>
    <definedName name="solver_adj" localSheetId="14" hidden="1">NFO!$I$2:$I$3</definedName>
    <definedName name="solver_adj" localSheetId="15" hidden="1">SHU!$I$2:$I$3</definedName>
    <definedName name="solver_adj" localSheetId="16" hidden="1">TOT!$I$2:$I$3</definedName>
    <definedName name="solver_adj" localSheetId="17" hidden="1">WHU!$I$2:$I$3</definedName>
    <definedName name="solver_adj" localSheetId="18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sl" localSheetId="0" hidden="1">1</definedName>
    <definedName name="solver_msl" localSheetId="1" hidden="1">1</definedName>
    <definedName name="solver_msl" localSheetId="4" hidden="1">1</definedName>
    <definedName name="solver_msl" localSheetId="2" hidden="1">1</definedName>
    <definedName name="solver_msl" localSheetId="3" hidden="1">1</definedName>
    <definedName name="solver_msl" localSheetId="5" hidden="1">1</definedName>
    <definedName name="solver_msl" localSheetId="6" hidden="1">1</definedName>
    <definedName name="solver_msl" localSheetId="7" hidden="1">1</definedName>
    <definedName name="solver_msl" localSheetId="8" hidden="1">1</definedName>
    <definedName name="solver_msl" localSheetId="9" hidden="1">1</definedName>
    <definedName name="solver_msl" localSheetId="10" hidden="1">1</definedName>
    <definedName name="solver_msl" localSheetId="11" hidden="1">1</definedName>
    <definedName name="solver_msl" localSheetId="12" hidden="1">1</definedName>
    <definedName name="solver_msl" localSheetId="13" hidden="1">1</definedName>
    <definedName name="solver_msl" localSheetId="14" hidden="1">1</definedName>
    <definedName name="solver_msl" localSheetId="15" hidden="1">1</definedName>
    <definedName name="solver_msl" localSheetId="16" hidden="1">1</definedName>
    <definedName name="solver_msl" localSheetId="17" hidden="1">1</definedName>
    <definedName name="solver_msl" localSheetId="18" hidden="1">1</definedName>
    <definedName name="solver_neg" localSheetId="0" hidden="1">2</definedName>
    <definedName name="solver_neg" localSheetId="1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12" hidden="1">2</definedName>
    <definedName name="solver_neg" localSheetId="13" hidden="1">2</definedName>
    <definedName name="solver_neg" localSheetId="14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eg" localSheetId="18" hidden="1">2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BUR!$I$5</definedName>
    <definedName name="solver_opt" localSheetId="6" hidden="1">CHE!$I$5</definedName>
    <definedName name="solver_opt" localSheetId="7" hidden="1">CRY!$I$5</definedName>
    <definedName name="solver_opt" localSheetId="8" hidden="1">EVE!$I$5</definedName>
    <definedName name="solver_opt" localSheetId="9" hidden="1">FUL!$I$5</definedName>
    <definedName name="solver_opt" localSheetId="10" hidden="1">LIV!$I$5</definedName>
    <definedName name="solver_opt" localSheetId="11" hidden="1">MCI!$I$5</definedName>
    <definedName name="solver_opt" localSheetId="12" hidden="1">MUN!$I$5</definedName>
    <definedName name="solver_opt" localSheetId="13" hidden="1">NEW!$I$5</definedName>
    <definedName name="solver_opt" localSheetId="14" hidden="1">NFO!$I$5</definedName>
    <definedName name="solver_opt" localSheetId="15" hidden="1">SHU!$I$5</definedName>
    <definedName name="solver_opt" localSheetId="16" hidden="1">TOT!$I$5</definedName>
    <definedName name="solver_opt" localSheetId="17" hidden="1">WHU!$I$5</definedName>
    <definedName name="solver_opt" localSheetId="18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rbv" localSheetId="0" hidden="1">2</definedName>
    <definedName name="solver_rbv" localSheetId="1" hidden="1">2</definedName>
    <definedName name="solver_rbv" localSheetId="4" hidden="1">2</definedName>
    <definedName name="solver_rbv" localSheetId="2" hidden="1">2</definedName>
    <definedName name="solver_rbv" localSheetId="3" hidden="1">2</definedName>
    <definedName name="solver_rbv" localSheetId="5" hidden="1">2</definedName>
    <definedName name="solver_rbv" localSheetId="6" hidden="1">2</definedName>
    <definedName name="solver_rbv" localSheetId="7" hidden="1">2</definedName>
    <definedName name="solver_rbv" localSheetId="8" hidden="1">2</definedName>
    <definedName name="solver_rbv" localSheetId="9" hidden="1">2</definedName>
    <definedName name="solver_rbv" localSheetId="10" hidden="1">2</definedName>
    <definedName name="solver_rbv" localSheetId="11" hidden="1">2</definedName>
    <definedName name="solver_rbv" localSheetId="12" hidden="1">2</definedName>
    <definedName name="solver_rbv" localSheetId="13" hidden="1">2</definedName>
    <definedName name="solver_rbv" localSheetId="14" hidden="1">2</definedName>
    <definedName name="solver_rbv" localSheetId="15" hidden="1">2</definedName>
    <definedName name="solver_rbv" localSheetId="16" hidden="1">2</definedName>
    <definedName name="solver_rbv" localSheetId="17" hidden="1">2</definedName>
    <definedName name="solver_rbv" localSheetId="18" hidden="1">2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er" localSheetId="0" hidden="1">2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9" l="1"/>
  <c r="F6" i="19" s="1"/>
  <c r="D5" i="19"/>
  <c r="F5" i="19" s="1"/>
  <c r="D4" i="19"/>
  <c r="F4" i="19" s="1"/>
  <c r="D3" i="19"/>
  <c r="F3" i="19" s="1"/>
  <c r="D2" i="19"/>
  <c r="F2" i="19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9" i="17"/>
  <c r="F9" i="17" s="1"/>
  <c r="D8" i="17"/>
  <c r="F8" i="17" s="1"/>
  <c r="D7" i="17"/>
  <c r="F7" i="17" s="1"/>
  <c r="D6" i="17"/>
  <c r="F6" i="17" s="1"/>
  <c r="D5" i="17"/>
  <c r="F5" i="17" s="1"/>
  <c r="D4" i="17"/>
  <c r="F4" i="17" s="1"/>
  <c r="D3" i="17"/>
  <c r="F3" i="17" s="1"/>
  <c r="D2" i="17"/>
  <c r="F2" i="17" s="1"/>
  <c r="D2" i="16"/>
  <c r="I5" i="16" s="1"/>
  <c r="D6" i="15"/>
  <c r="F6" i="15" s="1"/>
  <c r="D5" i="15"/>
  <c r="D4" i="15"/>
  <c r="F4" i="15" s="1"/>
  <c r="D3" i="15"/>
  <c r="F3" i="15" s="1"/>
  <c r="D2" i="15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4" i="6"/>
  <c r="F4" i="6" s="1"/>
  <c r="D3" i="6"/>
  <c r="F3" i="6" s="1"/>
  <c r="D2" i="6"/>
  <c r="F2" i="6" s="1"/>
  <c r="D5" i="5"/>
  <c r="D4" i="5"/>
  <c r="F4" i="5" s="1"/>
  <c r="D3" i="5"/>
  <c r="F3" i="5" s="1"/>
  <c r="D2" i="5"/>
  <c r="F2" i="5" s="1"/>
  <c r="D8" i="4"/>
  <c r="F8" i="4" s="1"/>
  <c r="D7" i="4"/>
  <c r="F7" i="4" s="1"/>
  <c r="D6" i="4"/>
  <c r="F6" i="4" s="1"/>
  <c r="D5" i="4"/>
  <c r="D4" i="4"/>
  <c r="F4" i="4" s="1"/>
  <c r="D3" i="4"/>
  <c r="F3" i="4" s="1"/>
  <c r="D2" i="4"/>
  <c r="D10" i="3"/>
  <c r="F10" i="3" s="1"/>
  <c r="D9" i="3"/>
  <c r="F9" i="3" s="1"/>
  <c r="D8" i="3"/>
  <c r="F8" i="3" s="1"/>
  <c r="D7" i="3"/>
  <c r="F7" i="3" s="1"/>
  <c r="D6" i="3"/>
  <c r="F6" i="3" s="1"/>
  <c r="D5" i="3"/>
  <c r="D4" i="3"/>
  <c r="F4" i="3" s="1"/>
  <c r="D3" i="3"/>
  <c r="F3" i="3" s="1"/>
  <c r="D2" i="3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19" l="1" a="1"/>
  <c r="I5" i="19" s="1"/>
  <c r="I5" i="18" a="1"/>
  <c r="I5" i="18" s="1"/>
  <c r="I5" i="17" a="1"/>
  <c r="I5" i="17" s="1"/>
  <c r="F2" i="16"/>
  <c r="I7" i="16" s="1"/>
  <c r="I5" i="15" a="1"/>
  <c r="I5" i="15" s="1"/>
  <c r="F2" i="15"/>
  <c r="I5" i="14" a="1"/>
  <c r="I5" i="14" s="1"/>
  <c r="I5" i="13" a="1"/>
  <c r="I5" i="13" s="1"/>
  <c r="I5" i="12" a="1"/>
  <c r="I5" i="12" s="1"/>
  <c r="I5" i="11" a="1"/>
  <c r="I5" i="11" s="1"/>
  <c r="I5" i="10" a="1"/>
  <c r="I5" i="10" s="1"/>
  <c r="I5" i="9" a="1"/>
  <c r="I5" i="9" s="1"/>
  <c r="I7" i="8"/>
  <c r="I5" i="8" a="1"/>
  <c r="I5" i="8" s="1"/>
  <c r="I7" i="7"/>
  <c r="I5" i="7" a="1"/>
  <c r="I5" i="7" s="1"/>
  <c r="I7" i="6"/>
  <c r="I5" i="6" a="1"/>
  <c r="I5" i="6" s="1"/>
  <c r="I5" i="5" a="1"/>
  <c r="I5" i="5" s="1"/>
  <c r="I5" i="4" a="1"/>
  <c r="I5" i="4" s="1"/>
  <c r="F2" i="4"/>
  <c r="I5" i="3" a="1"/>
  <c r="I5" i="3" s="1"/>
  <c r="F2" i="3"/>
  <c r="I5" i="2" a="1"/>
  <c r="I5" i="2" s="1"/>
  <c r="I7" i="1"/>
  <c r="I5" i="1" a="1"/>
  <c r="I5" i="1" s="1"/>
  <c r="I7" i="10"/>
  <c r="I7" i="17"/>
  <c r="I7" i="11"/>
  <c r="I7" i="12"/>
  <c r="I7" i="14"/>
  <c r="I7" i="19"/>
  <c r="I7" i="2"/>
  <c r="I7" i="18"/>
  <c r="I7" i="9"/>
  <c r="I7" i="13"/>
  <c r="F5" i="3"/>
  <c r="F5" i="4"/>
  <c r="F5" i="15"/>
  <c r="F5" i="5"/>
  <c r="I7" i="5" s="1"/>
  <c r="I7" i="15" l="1"/>
  <c r="I7" i="4"/>
  <c r="I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<sst xmlns="http://schemas.openxmlformats.org/spreadsheetml/2006/main" count="334" uniqueCount="153">
  <si>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</si>
  <si>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</si>
  <si>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</si>
  <si>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</si>
  <si>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</si>
  <si>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</si>
  <si>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</si>
  <si>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</si>
  <si>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</si>
  <si>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</si>
  <si>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</si>
  <si>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</si>
  <si>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</si>
  <si>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</si>
  <si>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</si>
  <si>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Havertz</t>
  </si>
  <si>
    <t>Ødegaard</t>
  </si>
  <si>
    <t>Raya</t>
  </si>
  <si>
    <t>Saliba</t>
  </si>
  <si>
    <t>White</t>
  </si>
  <si>
    <t>Martinelli</t>
  </si>
  <si>
    <t>Nketiah</t>
  </si>
  <si>
    <t>Gabriel</t>
  </si>
  <si>
    <t>Digne</t>
  </si>
  <si>
    <t>Tielemans</t>
  </si>
  <si>
    <t>Douglas Luiz</t>
  </si>
  <si>
    <t>McGinn</t>
  </si>
  <si>
    <t>Konsa</t>
  </si>
  <si>
    <t>Watkins</t>
  </si>
  <si>
    <t>Bailey</t>
  </si>
  <si>
    <t>Martinez</t>
  </si>
  <si>
    <t>Billing</t>
  </si>
  <si>
    <t>L.Cook</t>
  </si>
  <si>
    <t>Solanke</t>
  </si>
  <si>
    <t>Christie</t>
  </si>
  <si>
    <t>Tavernier</t>
  </si>
  <si>
    <t>Senesi</t>
  </si>
  <si>
    <t>Neto</t>
  </si>
  <si>
    <t>Semenyo</t>
  </si>
  <si>
    <t>Zabarnyi</t>
  </si>
  <si>
    <t>Maupay</t>
  </si>
  <si>
    <t>Pinnock</t>
  </si>
  <si>
    <t>Janelt</t>
  </si>
  <si>
    <t>Mbeumo</t>
  </si>
  <si>
    <t>Wissa</t>
  </si>
  <si>
    <t>Jensen</t>
  </si>
  <si>
    <t>Collins</t>
  </si>
  <si>
    <t>Gross</t>
  </si>
  <si>
    <t>João Pedro</t>
  </si>
  <si>
    <t>Ferguson</t>
  </si>
  <si>
    <t>Mitoma</t>
  </si>
  <si>
    <t>Taylor</t>
  </si>
  <si>
    <t>Berge</t>
  </si>
  <si>
    <t>Brownhill</t>
  </si>
  <si>
    <t>Sterling</t>
  </si>
  <si>
    <t>Gallagher</t>
  </si>
  <si>
    <t>Sanchez</t>
  </si>
  <si>
    <t>Palmer</t>
  </si>
  <si>
    <t>T.Silva</t>
  </si>
  <si>
    <t>Colwill</t>
  </si>
  <si>
    <t>Mudryk</t>
  </si>
  <si>
    <t>Enzo</t>
  </si>
  <si>
    <t>Schlupp</t>
  </si>
  <si>
    <t>Ward</t>
  </si>
  <si>
    <t>J.Ayew</t>
  </si>
  <si>
    <t>Mitchell</t>
  </si>
  <si>
    <t>Eze</t>
  </si>
  <si>
    <t>Johnstone</t>
  </si>
  <si>
    <t>Mateta</t>
  </si>
  <si>
    <t>Edouard</t>
  </si>
  <si>
    <t>Lerma</t>
  </si>
  <si>
    <t>A.Doucoure</t>
  </si>
  <si>
    <t>Tarkowski</t>
  </si>
  <si>
    <t>Pickford</t>
  </si>
  <si>
    <t>Calvert-Lewin</t>
  </si>
  <si>
    <t>McNeil</t>
  </si>
  <si>
    <t>Garner</t>
  </si>
  <si>
    <t>Branthwaite</t>
  </si>
  <si>
    <t>Harrison</t>
  </si>
  <si>
    <t>Mykolenko</t>
  </si>
  <si>
    <t>Onana</t>
  </si>
  <si>
    <t>Raúl</t>
  </si>
  <si>
    <t>Cairney</t>
  </si>
  <si>
    <t>Iwobi</t>
  </si>
  <si>
    <t>Leno</t>
  </si>
  <si>
    <t>Wilson</t>
  </si>
  <si>
    <t>Castagne</t>
  </si>
  <si>
    <t>Robinson</t>
  </si>
  <si>
    <t>J.Palhinha</t>
  </si>
  <si>
    <t>Andreas</t>
  </si>
  <si>
    <t>Willian</t>
  </si>
  <si>
    <t>A.Becker</t>
  </si>
  <si>
    <t>Salah</t>
  </si>
  <si>
    <t>Alexander-Arnold</t>
  </si>
  <si>
    <t>Virgil</t>
  </si>
  <si>
    <t>Mac Allister</t>
  </si>
  <si>
    <t>Konaté</t>
  </si>
  <si>
    <t>Luis Díaz</t>
  </si>
  <si>
    <t>Darwin</t>
  </si>
  <si>
    <t>Diogo J.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</si>
  <si>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</si>
  <si>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</si>
  <si>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</si>
  <si>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</si>
  <si>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</si>
  <si>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</si>
  <si>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</si>
  <si>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</si>
  <si>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Akanji</t>
  </si>
  <si>
    <t>Eriksen</t>
  </si>
  <si>
    <t>Rashford</t>
  </si>
  <si>
    <t>McTominay</t>
  </si>
  <si>
    <t>Lindelof</t>
  </si>
  <si>
    <t>Martial</t>
  </si>
  <si>
    <t>Evans</t>
  </si>
  <si>
    <t>B.Fernandes</t>
  </si>
  <si>
    <t>Dalot</t>
  </si>
  <si>
    <t>Garnacho</t>
  </si>
  <si>
    <t>Trippier</t>
  </si>
  <si>
    <t>Schär</t>
  </si>
  <si>
    <t>Longstaff</t>
  </si>
  <si>
    <t>Burn</t>
  </si>
  <si>
    <t>Joelinton</t>
  </si>
  <si>
    <t>Pope</t>
  </si>
  <si>
    <t>Gordon</t>
  </si>
  <si>
    <t>Bruno G.</t>
  </si>
  <si>
    <t>Almirón</t>
  </si>
  <si>
    <t>Isak</t>
  </si>
  <si>
    <t>Wood</t>
  </si>
  <si>
    <t>Gibbs-White</t>
  </si>
  <si>
    <t>Elanga</t>
  </si>
  <si>
    <t>Mangala</t>
  </si>
  <si>
    <t>Toffolo</t>
  </si>
  <si>
    <t>Archer</t>
  </si>
  <si>
    <t>Maddison</t>
  </si>
  <si>
    <t>Richarlison</t>
  </si>
  <si>
    <t>Romero</t>
  </si>
  <si>
    <t>Kulusevski</t>
  </si>
  <si>
    <t>Johnson</t>
  </si>
  <si>
    <t>Son</t>
  </si>
  <si>
    <t>Sarr</t>
  </si>
  <si>
    <t>Pedro Porro</t>
  </si>
  <si>
    <t>Ward-Prowse</t>
  </si>
  <si>
    <t>Zouma</t>
  </si>
  <si>
    <t>Emerson</t>
  </si>
  <si>
    <t>Bowen</t>
  </si>
  <si>
    <t>Areola</t>
  </si>
  <si>
    <t>L.Paquetá</t>
  </si>
  <si>
    <t>Lemina</t>
  </si>
  <si>
    <t>José Sá</t>
  </si>
  <si>
    <t>Toti</t>
  </si>
  <si>
    <t>Hee Chan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</si>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</sst>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4" totalsRowShown="0">
  <autoFilter ref="A1:F14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9" totalsRowShown="0">
  <autoFilter ref="A1:F9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0" totalsRowShown="0">
  <autoFilter ref="A1:F10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8" totalsRowShown="0">
  <autoFilter ref="A1:F8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5" totalsRowShown="0">
  <autoFilter ref="A1:F5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4" totalsRowShown="0">
  <autoFilter ref="A1:F4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9" totalsRowShown="0">
  <autoFilter ref="A1:F9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0" totalsRowShown="0">
  <autoFilter ref="A1:F10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1" totalsRowShown="0">
  <autoFilter ref="A1:F11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1" totalsRowShown="0">
  <autoFilter ref="A1:F11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0" totalsRowShown="0">
  <autoFilter ref="A1:F10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CI" displayName="TableMCI" ref="A1:F10" totalsRowShown="0">
  <autoFilter ref="A1:F10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TableMCI[[#This Row],[ARIMAPP]]*$I$2+TableMCI[[#This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UN" displayName="TableMUN" ref="A1:F10" totalsRowShown="0">
  <autoFilter ref="A1:F10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TableMUN[[#This Row],[ARIMAPP]]*$I$2+TableMUN[[#This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EW" displayName="TableNEW" ref="A1:F12" totalsRowShown="0">
  <autoFilter ref="A1:F12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TableNEW[[#This Row],[ARIMAPP]]*$I$2+TableNEW[[#This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FO" displayName="TableNFO" ref="A1:F6" totalsRowShown="0">
  <autoFilter ref="A1:F6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TableNFO[[#This Row],[ARIMAPP]]*$I$2+TableNFO[[#This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SHU" displayName="TableSHU" ref="A1:F2" totalsRowShown="0">
  <autoFilter ref="A1:F2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TableSHU[[#This Row],[ARIMAPP]]*$I$2+TableSHU[[#This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TOT" displayName="TableTOT" ref="A1:F9" totalsRowShown="0">
  <autoFilter ref="A1:F9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TableTOT[[#This Row],[ARIMAPP]]*$I$2+TableTOT[[#This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WHU" displayName="TableWHU" ref="A1:F7" totalsRowShown="0">
  <autoFilter ref="A1:F7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TableWHU[[#This Row],[ARIMAPP]]*$I$2+TableWHU[[#This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OL" displayName="TableWOL" ref="A1:F6" totalsRowShown="0">
  <autoFilter ref="A1:F6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TableWOL[[#This Row],[ARIMAPP]]*$I$2+TableWOL[[#This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5" sqref="I5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27.448529741198211</v>
      </c>
      <c r="C2">
        <v>27.931034482758619</v>
      </c>
      <c r="D2">
        <f>TableARS[[#This Row],[ARIMAPP]]*$I$2+TableARS[[#This Row],[LSTMPP]]*$I$3</f>
        <v>25.793074835587511</v>
      </c>
      <c r="E2">
        <v>31</v>
      </c>
      <c r="F2">
        <f>ABS(TableARS[[#This Row],[PP]]-TableARS[[#This Row],[AP]])</f>
        <v>5.206925164412489</v>
      </c>
      <c r="H2" t="s">
        <v>0</v>
      </c>
      <c r="I2">
        <v>0.23753045381654642</v>
      </c>
    </row>
    <row r="3" spans="1:9" x14ac:dyDescent="0.2">
      <c r="A3" t="s">
        <v>11</v>
      </c>
      <c r="B3">
        <v>40.694444444444422</v>
      </c>
      <c r="C3">
        <v>41.155746291035413</v>
      </c>
      <c r="D3">
        <f>TableARS[[#This Row],[ARIMAPP]]*$I$2+TableARS[[#This Row],[LSTMPP]]*$I$3</f>
        <v>38.064812572204346</v>
      </c>
      <c r="E3">
        <v>37</v>
      </c>
      <c r="F3">
        <f>ABS(TableARS[[#This Row],[PP]]-TableARS[[#This Row],[AP]])</f>
        <v>1.064812572204346</v>
      </c>
      <c r="H3" t="s">
        <v>1</v>
      </c>
      <c r="I3">
        <v>0.69002861750289901</v>
      </c>
    </row>
    <row r="4" spans="1:9" x14ac:dyDescent="0.2">
      <c r="A4" t="s">
        <v>12</v>
      </c>
      <c r="B4">
        <v>32.500000000000007</v>
      </c>
      <c r="C4">
        <v>30.723684210526311</v>
      </c>
      <c r="D4">
        <f>TableARS[[#This Row],[ARIMAPP]]*$I$2+TableARS[[#This Row],[LSTMPP]]*$I$3</f>
        <v>28.919961089422877</v>
      </c>
      <c r="E4">
        <v>46</v>
      </c>
      <c r="F4">
        <f>ABS(TableARS[[#This Row],[PP]]-TableARS[[#This Row],[AP]])</f>
        <v>17.080038910577123</v>
      </c>
    </row>
    <row r="5" spans="1:9" x14ac:dyDescent="0.2">
      <c r="A5" t="s">
        <v>13</v>
      </c>
      <c r="B5">
        <v>57.873020075272223</v>
      </c>
      <c r="C5">
        <v>40.945251488788323</v>
      </c>
      <c r="D5">
        <f>TableARS[[#This Row],[ARIMAPP]]*$I$2+TableARS[[#This Row],[LSTMPP]]*$I$3</f>
        <v>42.000000000330637</v>
      </c>
      <c r="E5">
        <v>42</v>
      </c>
      <c r="F5">
        <f>ABS(TableARS[[#This Row],[PP]]-TableARS[[#This Row],[AP]])</f>
        <v>3.3063685123124742E-10</v>
      </c>
      <c r="H5" t="s">
        <v>2</v>
      </c>
      <c r="I5" cm="1">
        <f t="array" ref="I5">SUM(ABS(TableARS[PP]-TableARS[AP]))</f>
        <v>87.046938263749453</v>
      </c>
    </row>
    <row r="6" spans="1:9" x14ac:dyDescent="0.2">
      <c r="A6" t="s">
        <v>14</v>
      </c>
      <c r="B6">
        <v>39.648938792756873</v>
      </c>
      <c r="C6">
        <v>40.324760125324943</v>
      </c>
      <c r="D6">
        <f>TableARS[[#This Row],[ARIMAPP]]*$I$2+TableARS[[#This Row],[LSTMPP]]*$I$3</f>
        <v>37.243068905202009</v>
      </c>
      <c r="E6">
        <v>26</v>
      </c>
      <c r="F6">
        <f>ABS(TableARS[[#This Row],[PP]]-TableARS[[#This Row],[AP]])</f>
        <v>11.243068905202009</v>
      </c>
    </row>
    <row r="7" spans="1:9" x14ac:dyDescent="0.2">
      <c r="A7" t="s">
        <v>15</v>
      </c>
      <c r="B7">
        <v>32.127659574468083</v>
      </c>
      <c r="C7">
        <v>33.866257689519749</v>
      </c>
      <c r="D7">
        <f>TableARS[[#This Row],[ARIMAPP]]*$I$2+TableARS[[#This Row],[LSTMPP]]*$I$3</f>
        <v>30.99998453228315</v>
      </c>
      <c r="E7">
        <v>31</v>
      </c>
      <c r="F7">
        <f>ABS(TableARS[[#This Row],[PP]]-TableARS[[#This Row],[AP]])</f>
        <v>1.5467716849570934E-5</v>
      </c>
      <c r="H7" t="s">
        <v>3</v>
      </c>
      <c r="I7">
        <f>AVERAGE(TableARS[DIFF])/10</f>
        <v>0.66959183279807266</v>
      </c>
    </row>
    <row r="8" spans="1:9" x14ac:dyDescent="0.2">
      <c r="A8" t="s">
        <v>16</v>
      </c>
      <c r="B8">
        <v>50.932939329182148</v>
      </c>
      <c r="C8">
        <v>44.872711925968517</v>
      </c>
      <c r="D8">
        <f>TableARS[[#This Row],[ARIMAPP]]*$I$2+TableARS[[#This Row],[LSTMPP]]*$I$3</f>
        <v>43.061579566953164</v>
      </c>
      <c r="E8">
        <v>55</v>
      </c>
      <c r="F8">
        <f>ABS(TableARS[[#This Row],[PP]]-TableARS[[#This Row],[AP]])</f>
        <v>11.938420433046836</v>
      </c>
    </row>
    <row r="9" spans="1:9" x14ac:dyDescent="0.2">
      <c r="A9" t="s">
        <v>17</v>
      </c>
      <c r="B9">
        <v>42.812499999999993</v>
      </c>
      <c r="C9">
        <v>34.803921568627452</v>
      </c>
      <c r="D9">
        <f>TableARS[[#This Row],[ARIMAPP]]*$I$2+TableARS[[#This Row],[LSTMPP]]*$I$3</f>
        <v>34.18497443770022</v>
      </c>
      <c r="E9">
        <v>32</v>
      </c>
      <c r="F9">
        <f>ABS(TableARS[[#This Row],[PP]]-TableARS[[#This Row],[AP]])</f>
        <v>2.1849744377002196</v>
      </c>
    </row>
    <row r="10" spans="1:9" x14ac:dyDescent="0.2">
      <c r="A10" t="s">
        <v>18</v>
      </c>
      <c r="B10">
        <v>43.652809805397148</v>
      </c>
      <c r="C10">
        <v>35.74074074074074</v>
      </c>
      <c r="D10">
        <f>TableARS[[#This Row],[ARIMAPP]]*$I$2+TableARS[[#This Row],[LSTMPP]]*$I$3</f>
        <v>35.031005645306244</v>
      </c>
      <c r="E10">
        <v>38</v>
      </c>
      <c r="F10">
        <f>ABS(TableARS[[#This Row],[PP]]-TableARS[[#This Row],[AP]])</f>
        <v>2.9689943546937556</v>
      </c>
    </row>
    <row r="11" spans="1:9" x14ac:dyDescent="0.2">
      <c r="A11" t="s">
        <v>19</v>
      </c>
      <c r="B11">
        <v>43.636363636363633</v>
      </c>
      <c r="C11">
        <v>33.999999999999993</v>
      </c>
      <c r="D11">
        <f>TableARS[[#This Row],[ARIMAPP]]*$I$2+TableARS[[#This Row],[LSTMPP]]*$I$3</f>
        <v>33.825938252547857</v>
      </c>
      <c r="E11">
        <v>23</v>
      </c>
      <c r="F11">
        <f>ABS(TableARS[[#This Row],[PP]]-TableARS[[#This Row],[AP]])</f>
        <v>10.825938252547857</v>
      </c>
    </row>
    <row r="12" spans="1:9" x14ac:dyDescent="0.2">
      <c r="A12" t="s">
        <v>20</v>
      </c>
      <c r="B12">
        <v>50.97560975609759</v>
      </c>
      <c r="C12">
        <v>48.954506624723606</v>
      </c>
      <c r="D12">
        <f>TableARS[[#This Row],[ARIMAPP]]*$I$2+TableARS[[#This Row],[LSTMPP]]*$I$3</f>
        <v>45.888270245735569</v>
      </c>
      <c r="E12">
        <v>28</v>
      </c>
      <c r="F12">
        <f>ABS(TableARS[[#This Row],[PP]]-TableARS[[#This Row],[AP]])</f>
        <v>17.888270245735569</v>
      </c>
    </row>
    <row r="13" spans="1:9" x14ac:dyDescent="0.2">
      <c r="A13" t="s">
        <v>21</v>
      </c>
      <c r="B13">
        <v>25</v>
      </c>
      <c r="C13">
        <v>24.642857142857149</v>
      </c>
      <c r="D13">
        <f>TableARS[[#This Row],[ARIMAPP]]*$I$2+TableARS[[#This Row],[LSTMPP]]*$I$3</f>
        <v>22.942537991020821</v>
      </c>
      <c r="E13">
        <v>28</v>
      </c>
      <c r="F13">
        <f>ABS(TableARS[[#This Row],[PP]]-TableARS[[#This Row],[AP]])</f>
        <v>5.0574620089791793</v>
      </c>
    </row>
    <row r="14" spans="1:9" x14ac:dyDescent="0.2">
      <c r="A14" t="s">
        <v>22</v>
      </c>
      <c r="B14">
        <v>36.976744186046517</v>
      </c>
      <c r="C14">
        <v>32.794117647058833</v>
      </c>
      <c r="D14">
        <f>TableARS[[#This Row],[ARIMAPP]]*$I$2+TableARS[[#This Row],[LSTMPP]]*$I$3</f>
        <v>31.411982489397403</v>
      </c>
      <c r="E14">
        <v>33</v>
      </c>
      <c r="F14">
        <f>ABS(TableARS[[#This Row],[PP]]-TableARS[[#This Row],[AP]])</f>
        <v>1.5880175106025973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5" sqref="I5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23</v>
      </c>
      <c r="B2">
        <v>26.639619783527198</v>
      </c>
      <c r="C2">
        <v>32.480314960629919</v>
      </c>
      <c r="D2">
        <f>TableAVL[[#This Row],[ARIMAPP]]*$I$2+TableAVL[[#This Row],[LSTMPP]]*$I$3</f>
        <v>24.2306278016089</v>
      </c>
      <c r="E2">
        <v>28</v>
      </c>
      <c r="F2">
        <f>ABS(TableAVL[[#This Row],[PP]]-TableAVL[[#This Row],[AP]])</f>
        <v>3.7693721983910997</v>
      </c>
      <c r="H2" t="s">
        <v>0</v>
      </c>
      <c r="I2">
        <v>1.1297162979844029</v>
      </c>
    </row>
    <row r="3" spans="1:9" x14ac:dyDescent="0.2">
      <c r="A3" t="s">
        <v>24</v>
      </c>
      <c r="B3">
        <v>32.894736842105253</v>
      </c>
      <c r="C3">
        <v>32.190082644628113</v>
      </c>
      <c r="D3">
        <f>TableAVL[[#This Row],[ARIMAPP]]*$I$2+TableAVL[[#This Row],[LSTMPP]]*$I$3</f>
        <v>31.349539291913132</v>
      </c>
      <c r="E3">
        <v>23</v>
      </c>
      <c r="F3">
        <f>ABS(TableAVL[[#This Row],[PP]]-TableAVL[[#This Row],[AP]])</f>
        <v>8.3495392919131319</v>
      </c>
      <c r="H3" t="s">
        <v>1</v>
      </c>
      <c r="I3">
        <v>-0.1805581271935969</v>
      </c>
    </row>
    <row r="4" spans="1:9" x14ac:dyDescent="0.2">
      <c r="A4" t="s">
        <v>25</v>
      </c>
      <c r="B4">
        <v>43.300873581913258</v>
      </c>
      <c r="C4">
        <v>27.053571428571431</v>
      </c>
      <c r="D4">
        <f>TableAVL[[#This Row],[ARIMAPP]]*$I$2+TableAVL[[#This Row],[LSTMPP]]*$I$3</f>
        <v>44.032960411408624</v>
      </c>
      <c r="E4">
        <v>50</v>
      </c>
      <c r="F4">
        <f>ABS(TableAVL[[#This Row],[PP]]-TableAVL[[#This Row],[AP]])</f>
        <v>5.9670395885913763</v>
      </c>
    </row>
    <row r="5" spans="1:9" x14ac:dyDescent="0.2">
      <c r="A5" t="s">
        <v>26</v>
      </c>
      <c r="B5">
        <v>29.372620253163539</v>
      </c>
      <c r="C5">
        <v>29.398148148148149</v>
      </c>
      <c r="D5">
        <f>TableAVL[[#This Row],[ARIMAPP]]*$I$2+TableAVL[[#This Row],[LSTMPP]]*$I$3</f>
        <v>27.874653241916072</v>
      </c>
      <c r="E5">
        <v>46</v>
      </c>
      <c r="F5">
        <f>ABS(TableAVL[[#This Row],[PP]]-TableAVL[[#This Row],[AP]])</f>
        <v>18.125346758083928</v>
      </c>
      <c r="H5" t="s">
        <v>2</v>
      </c>
      <c r="I5" cm="1">
        <f t="array" ref="I5">SUM(ABS(TableAVL[PP]-TableAVL[AP]))</f>
        <v>50.934544940283942</v>
      </c>
    </row>
    <row r="6" spans="1:9" x14ac:dyDescent="0.2">
      <c r="A6" t="s">
        <v>27</v>
      </c>
      <c r="B6">
        <v>28.702290076335881</v>
      </c>
      <c r="C6">
        <v>28.557692307692299</v>
      </c>
      <c r="D6">
        <f>TableAVL[[#This Row],[ARIMAPP]]*$I$2+TableAVL[[#This Row],[LSTMPP]]*$I$3</f>
        <v>27.269121448664723</v>
      </c>
      <c r="E6">
        <v>24</v>
      </c>
      <c r="F6">
        <f>ABS(TableAVL[[#This Row],[PP]]-TableAVL[[#This Row],[AP]])</f>
        <v>3.2691214486647233</v>
      </c>
    </row>
    <row r="7" spans="1:9" x14ac:dyDescent="0.2">
      <c r="A7" t="s">
        <v>28</v>
      </c>
      <c r="B7">
        <v>45.625</v>
      </c>
      <c r="C7">
        <v>41.44160299266332</v>
      </c>
      <c r="D7">
        <f>TableAVL[[#This Row],[ARIMAPP]]*$I$2+TableAVL[[#This Row],[LSTMPP]]*$I$3</f>
        <v>44.060687871282532</v>
      </c>
      <c r="E7">
        <v>42</v>
      </c>
      <c r="F7">
        <f>ABS(TableAVL[[#This Row],[PP]]-TableAVL[[#This Row],[AP]])</f>
        <v>2.0606878712825321</v>
      </c>
      <c r="H7" t="s">
        <v>3</v>
      </c>
      <c r="I7">
        <f>AVERAGE(TableAVL[DIFF])/10</f>
        <v>0.63668181175354932</v>
      </c>
    </row>
    <row r="8" spans="1:9" x14ac:dyDescent="0.2">
      <c r="A8" t="s">
        <v>29</v>
      </c>
      <c r="B8">
        <v>28.947368421052641</v>
      </c>
      <c r="C8">
        <v>28.222222222222221</v>
      </c>
      <c r="D8">
        <f>TableAVL[[#This Row],[ARIMAPP]]*$I$2+TableAVL[[#This Row],[LSTMPP]]*$I$3</f>
        <v>27.606562299336243</v>
      </c>
      <c r="E8">
        <v>37</v>
      </c>
      <c r="F8">
        <f>ABS(TableAVL[[#This Row],[PP]]-TableAVL[[#This Row],[AP]])</f>
        <v>9.3934377006637568</v>
      </c>
    </row>
    <row r="9" spans="1:9" x14ac:dyDescent="0.2">
      <c r="A9" t="s">
        <v>30</v>
      </c>
      <c r="B9">
        <v>35.172879946207772</v>
      </c>
      <c r="C9">
        <v>31.764705882352938</v>
      </c>
      <c r="D9">
        <f>TableAVL[[#This Row],[ARIMAPP]]*$I$2+TableAVL[[#This Row],[LSTMPP]]*$I$3</f>
        <v>33.99999991730661</v>
      </c>
      <c r="E9">
        <v>34</v>
      </c>
      <c r="F9">
        <f>ABS(TableAVL[[#This Row],[PP]]-TableAVL[[#This Row],[AP]])</f>
        <v>8.2693389913401916E-8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31</v>
      </c>
      <c r="B2">
        <v>26.093713435306618</v>
      </c>
      <c r="C2">
        <v>26.829268292682929</v>
      </c>
      <c r="D2">
        <f>TableBOU[[#This Row],[ARIMAPP]]*$I$2+TableBOU[[#This Row],[LSTMPP]]*$I$3</f>
        <v>34.000000000312447</v>
      </c>
      <c r="E2">
        <v>34</v>
      </c>
      <c r="F2">
        <f>ABS(TableBOU[[#This Row],[PP]]-TableBOU[[#This Row],[AP]])</f>
        <v>3.1244695719578885E-10</v>
      </c>
      <c r="H2" t="s">
        <v>0</v>
      </c>
      <c r="I2">
        <v>1.2752101890530063</v>
      </c>
    </row>
    <row r="3" spans="1:9" x14ac:dyDescent="0.2">
      <c r="A3" t="s">
        <v>32</v>
      </c>
      <c r="B3">
        <v>17.34699994391336</v>
      </c>
      <c r="C3">
        <v>23.660714285714281</v>
      </c>
      <c r="D3">
        <f>TableBOU[[#This Row],[ARIMAPP]]*$I$2+TableBOU[[#This Row],[LSTMPP]]*$I$3</f>
        <v>22.760475232114583</v>
      </c>
      <c r="E3">
        <v>22</v>
      </c>
      <c r="F3">
        <f>ABS(TableBOU[[#This Row],[PP]]-TableBOU[[#This Row],[AP]])</f>
        <v>0.76047523211458312</v>
      </c>
      <c r="H3" t="s">
        <v>1</v>
      </c>
      <c r="I3">
        <v>2.7023873684168184E-2</v>
      </c>
    </row>
    <row r="4" spans="1:9" x14ac:dyDescent="0.2">
      <c r="A4" t="s">
        <v>33</v>
      </c>
      <c r="B4">
        <v>37.659651227602701</v>
      </c>
      <c r="C4">
        <v>27.15384615384615</v>
      </c>
      <c r="D4">
        <f>TableBOU[[#This Row],[ARIMAPP]]*$I$2+TableBOU[[#This Row],[LSTMPP]]*$I$3</f>
        <v>48.757773070122397</v>
      </c>
      <c r="E4">
        <v>64</v>
      </c>
      <c r="F4">
        <f>ABS(TableBOU[[#This Row],[PP]]-TableBOU[[#This Row],[AP]])</f>
        <v>15.242226929877603</v>
      </c>
    </row>
    <row r="5" spans="1:9" x14ac:dyDescent="0.2">
      <c r="A5" t="s">
        <v>34</v>
      </c>
      <c r="B5">
        <v>20.000000000000011</v>
      </c>
      <c r="C5">
        <v>24.193548387096769</v>
      </c>
      <c r="D5">
        <f>TableBOU[[#This Row],[ARIMAPP]]*$I$2+TableBOU[[#This Row],[LSTMPP]]*$I$3</f>
        <v>26.158007176644855</v>
      </c>
      <c r="E5">
        <v>27</v>
      </c>
      <c r="F5">
        <f>ABS(TableBOU[[#This Row],[PP]]-TableBOU[[#This Row],[AP]])</f>
        <v>0.84199282335514525</v>
      </c>
      <c r="H5" t="s">
        <v>2</v>
      </c>
      <c r="I5" cm="1">
        <f t="array" ref="I5">SUM(ABS(TableBOU[PP]-TableBOU[AP]))</f>
        <v>64.618568016797184</v>
      </c>
    </row>
    <row r="6" spans="1:9" x14ac:dyDescent="0.2">
      <c r="A6" t="s">
        <v>35</v>
      </c>
      <c r="B6">
        <v>36.19604147323237</v>
      </c>
      <c r="C6">
        <v>39.969818198059237</v>
      </c>
      <c r="D6">
        <f>TableBOU[[#This Row],[ARIMAPP]]*$I$2+TableBOU[[#This Row],[LSTMPP]]*$I$3</f>
        <v>47.237700208214626</v>
      </c>
      <c r="E6">
        <v>42</v>
      </c>
      <c r="F6">
        <f>ABS(TableBOU[[#This Row],[PP]]-TableBOU[[#This Row],[AP]])</f>
        <v>5.2377002082146262</v>
      </c>
    </row>
    <row r="7" spans="1:9" x14ac:dyDescent="0.2">
      <c r="A7" t="s">
        <v>36</v>
      </c>
      <c r="B7">
        <v>21.41810970897588</v>
      </c>
      <c r="C7">
        <v>26.607142857142851</v>
      </c>
      <c r="D7">
        <f>TableBOU[[#This Row],[ARIMAPP]]*$I$2+TableBOU[[#This Row],[LSTMPP]]*$I$3</f>
        <v>28.031619798809206</v>
      </c>
      <c r="E7">
        <v>49</v>
      </c>
      <c r="F7">
        <f>ABS(TableBOU[[#This Row],[PP]]-TableBOU[[#This Row],[AP]])</f>
        <v>20.968380201190794</v>
      </c>
      <c r="H7" t="s">
        <v>3</v>
      </c>
      <c r="I7">
        <f>AVERAGE(TableBOU[DIFF])/10</f>
        <v>0.71798408907552425</v>
      </c>
    </row>
    <row r="8" spans="1:9" x14ac:dyDescent="0.2">
      <c r="A8" t="s">
        <v>37</v>
      </c>
      <c r="B8">
        <v>36.767859050479949</v>
      </c>
      <c r="C8">
        <v>36.235712268228063</v>
      </c>
      <c r="D8">
        <f>TableBOU[[#This Row],[ARIMAPP]]*$I$2+TableBOU[[#This Row],[LSTMPP]]*$I$3</f>
        <v>47.865977802029278</v>
      </c>
      <c r="E8">
        <v>41</v>
      </c>
      <c r="F8">
        <f>ABS(TableBOU[[#This Row],[PP]]-TableBOU[[#This Row],[AP]])</f>
        <v>6.8659778020292777</v>
      </c>
    </row>
    <row r="9" spans="1:9" x14ac:dyDescent="0.2">
      <c r="A9" t="s">
        <v>38</v>
      </c>
      <c r="B9">
        <v>20.666666666666671</v>
      </c>
      <c r="C9">
        <v>25.833333333333329</v>
      </c>
      <c r="D9">
        <f>TableBOU[[#This Row],[ARIMAPP]]*$I$2+TableBOU[[#This Row],[LSTMPP]]*$I$3</f>
        <v>27.052460643936481</v>
      </c>
      <c r="E9">
        <v>32</v>
      </c>
      <c r="F9">
        <f>ABS(TableBOU[[#This Row],[PP]]-TableBOU[[#This Row],[AP]])</f>
        <v>4.947539356063519</v>
      </c>
    </row>
    <row r="10" spans="1:9" x14ac:dyDescent="0.2">
      <c r="A10" t="s">
        <v>39</v>
      </c>
      <c r="B10">
        <v>14.61538461538462</v>
      </c>
      <c r="C10">
        <v>22.5</v>
      </c>
      <c r="D10">
        <f>TableBOU[[#This Row],[ARIMAPP]]*$I$2+TableBOU[[#This Row],[LSTMPP]]*$I$3</f>
        <v>19.245724536360804</v>
      </c>
      <c r="E10">
        <v>29</v>
      </c>
      <c r="F10">
        <f>ABS(TableBOU[[#This Row],[PP]]-TableBOU[[#This Row],[AP]])</f>
        <v>9.7542754636391962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40</v>
      </c>
      <c r="B2">
        <v>13.80813456504232</v>
      </c>
      <c r="C2">
        <v>31.96208744612527</v>
      </c>
      <c r="D2">
        <f>TableBRE[[#This Row],[ARIMAPP]]*$I$2+TableBRE[[#This Row],[LSTMPP]]*$I$3</f>
        <v>34.961390307618487</v>
      </c>
      <c r="E2">
        <v>35</v>
      </c>
      <c r="F2">
        <f>ABS(TableBRE[[#This Row],[PP]]-TableBRE[[#This Row],[AP]])</f>
        <v>3.8609692381513128E-2</v>
      </c>
      <c r="H2" t="s">
        <v>0</v>
      </c>
      <c r="I2">
        <v>6.9982261020822695E-3</v>
      </c>
    </row>
    <row r="3" spans="1:9" x14ac:dyDescent="0.2">
      <c r="A3" t="s">
        <v>41</v>
      </c>
      <c r="B3">
        <v>31.36363636363636</v>
      </c>
      <c r="C3">
        <v>29.13461538461539</v>
      </c>
      <c r="D3">
        <f>TableBRE[[#This Row],[ARIMAPP]]*$I$2+TableBRE[[#This Row],[LSTMPP]]*$I$3</f>
        <v>31.999995783344627</v>
      </c>
      <c r="E3">
        <v>32</v>
      </c>
      <c r="F3">
        <f>ABS(TableBRE[[#This Row],[PP]]-TableBRE[[#This Row],[AP]])</f>
        <v>4.2166553733125056E-6</v>
      </c>
      <c r="H3" t="s">
        <v>1</v>
      </c>
      <c r="I3">
        <v>1.0908160463127372</v>
      </c>
    </row>
    <row r="4" spans="1:9" x14ac:dyDescent="0.2">
      <c r="A4" t="s">
        <v>42</v>
      </c>
      <c r="B4">
        <v>26.760563380281681</v>
      </c>
      <c r="C4">
        <v>26.964285714285719</v>
      </c>
      <c r="D4">
        <f>TableBRE[[#This Row],[ARIMAPP]]*$I$2+TableBRE[[#This Row],[LSTMPP]]*$I$3</f>
        <v>29.600352007658483</v>
      </c>
      <c r="E4">
        <v>23</v>
      </c>
      <c r="F4">
        <f>ABS(TableBRE[[#This Row],[PP]]-TableBRE[[#This Row],[AP]])</f>
        <v>6.6003520076584827</v>
      </c>
    </row>
    <row r="5" spans="1:9" x14ac:dyDescent="0.2">
      <c r="A5" t="s">
        <v>43</v>
      </c>
      <c r="B5">
        <v>38.799999999999983</v>
      </c>
      <c r="C5">
        <v>30.75</v>
      </c>
      <c r="D5">
        <f>TableBRE[[#This Row],[ARIMAPP]]*$I$2+TableBRE[[#This Row],[LSTMPP]]*$I$3</f>
        <v>33.814124596877463</v>
      </c>
      <c r="E5">
        <v>52</v>
      </c>
      <c r="F5">
        <f>ABS(TableBRE[[#This Row],[PP]]-TableBRE[[#This Row],[AP]])</f>
        <v>18.185875403122537</v>
      </c>
      <c r="H5" t="s">
        <v>2</v>
      </c>
      <c r="I5" cm="1">
        <f t="array" ref="I5">SUM(ABS(TableBRE[PP]-TableBRE[AP]))</f>
        <v>48.196551979901884</v>
      </c>
    </row>
    <row r="6" spans="1:9" x14ac:dyDescent="0.2">
      <c r="A6" t="s">
        <v>44</v>
      </c>
      <c r="B6">
        <v>31.980021817428081</v>
      </c>
      <c r="C6">
        <v>28.245614035087709</v>
      </c>
      <c r="D6">
        <f>TableBRE[[#This Row],[ARIMAPP]]*$I$2+TableBRE[[#This Row],[LSTMPP]]*$I$3</f>
        <v>31.034572450857819</v>
      </c>
      <c r="E6">
        <v>29</v>
      </c>
      <c r="F6">
        <f>ABS(TableBRE[[#This Row],[PP]]-TableBRE[[#This Row],[AP]])</f>
        <v>2.0345724508578193</v>
      </c>
    </row>
    <row r="7" spans="1:9" x14ac:dyDescent="0.2">
      <c r="A7" t="s">
        <v>45</v>
      </c>
      <c r="B7">
        <v>33.314570069710328</v>
      </c>
      <c r="C7">
        <v>27.169811320754711</v>
      </c>
      <c r="D7">
        <f>TableBRE[[#This Row],[ARIMAPP]]*$I$2+TableBRE[[#This Row],[LSTMPP]]*$I$3</f>
        <v>29.8704090578102</v>
      </c>
      <c r="E7">
        <v>49</v>
      </c>
      <c r="F7">
        <f>ABS(TableBRE[[#This Row],[PP]]-TableBRE[[#This Row],[AP]])</f>
        <v>19.1295909421898</v>
      </c>
      <c r="H7" t="s">
        <v>3</v>
      </c>
      <c r="I7">
        <f>AVERAGE(TableBRE[DIFF])/10</f>
        <v>0.68852217114145542</v>
      </c>
    </row>
    <row r="8" spans="1:9" x14ac:dyDescent="0.2">
      <c r="A8" t="s">
        <v>46</v>
      </c>
      <c r="B8">
        <v>24.04255319148935</v>
      </c>
      <c r="C8">
        <v>26.621621621621621</v>
      </c>
      <c r="D8">
        <f>TableBRE[[#This Row],[ARIMAPP]]*$I$2+TableBRE[[#This Row],[LSTMPP]]*$I$3</f>
        <v>29.207547267036361</v>
      </c>
      <c r="E8">
        <v>27</v>
      </c>
      <c r="F8">
        <f>ABS(TableBRE[[#This Row],[PP]]-TableBRE[[#This Row],[AP]])</f>
        <v>2.2075472670363609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47</v>
      </c>
      <c r="B2">
        <v>34.342105263157883</v>
      </c>
      <c r="C2">
        <v>31.446280991735531</v>
      </c>
      <c r="D2">
        <f>TableBHA[[#This Row],[ARIMAPP]]*$I$2+TableBHA[[#This Row],[LSTMPP]]*$I$3</f>
        <v>30.430846099183398</v>
      </c>
      <c r="E2">
        <v>49</v>
      </c>
      <c r="F2">
        <f>ABS(TableBHA[[#This Row],[PP]]-TableBHA[[#This Row],[AP]])</f>
        <v>18.569153900816602</v>
      </c>
      <c r="H2" t="s">
        <v>0</v>
      </c>
      <c r="I2">
        <v>-3.3174663361064352</v>
      </c>
    </row>
    <row r="3" spans="1:9" x14ac:dyDescent="0.2">
      <c r="A3" t="s">
        <v>48</v>
      </c>
      <c r="B3">
        <v>22.30769230769231</v>
      </c>
      <c r="C3">
        <v>25.483870967741929</v>
      </c>
      <c r="D3">
        <f>TableBHA[[#This Row],[ARIMAPP]]*$I$2+TableBHA[[#This Row],[LSTMPP]]*$I$3</f>
        <v>42.983125340825936</v>
      </c>
      <c r="E3">
        <v>43</v>
      </c>
      <c r="F3">
        <f>ABS(TableBHA[[#This Row],[PP]]-TableBHA[[#This Row],[AP]])</f>
        <v>1.6874659174064277E-2</v>
      </c>
      <c r="H3" t="s">
        <v>1</v>
      </c>
      <c r="I3">
        <v>4.59067398967378</v>
      </c>
    </row>
    <row r="4" spans="1:9" x14ac:dyDescent="0.2">
      <c r="A4" t="s">
        <v>49</v>
      </c>
      <c r="B4">
        <v>32.08333333333335</v>
      </c>
      <c r="C4">
        <v>29.284453609539732</v>
      </c>
      <c r="D4">
        <f>TableBHA[[#This Row],[ARIMAPP]]*$I$2+TableBHA[[#This Row],[LSTMPP]]*$I$3</f>
        <v>28.000001203707626</v>
      </c>
      <c r="E4">
        <v>28</v>
      </c>
      <c r="F4">
        <f>ABS(TableBHA[[#This Row],[PP]]-TableBHA[[#This Row],[AP]])</f>
        <v>1.2037076260185131E-6</v>
      </c>
    </row>
    <row r="5" spans="1:9" x14ac:dyDescent="0.2">
      <c r="A5" t="s">
        <v>50</v>
      </c>
      <c r="B5">
        <v>44.571428571428562</v>
      </c>
      <c r="C5">
        <v>42.803104045288769</v>
      </c>
      <c r="D5">
        <f>TableBHA[[#This Row],[ARIMAPP]]*$I$2+TableBHA[[#This Row],[LSTMPP]]*$I$3</f>
        <v>48.630882580120925</v>
      </c>
      <c r="E5">
        <v>23</v>
      </c>
      <c r="F5">
        <f>ABS(TableBHA[[#This Row],[PP]]-TableBHA[[#This Row],[AP]])</f>
        <v>25.630882580120925</v>
      </c>
      <c r="H5" t="s">
        <v>2</v>
      </c>
      <c r="I5" cm="1">
        <f t="array" ref="I5">SUM(ABS(TableBHA[PP]-TableBHA[AP]))</f>
        <v>44.216912343819217</v>
      </c>
    </row>
    <row r="7" spans="1:9" x14ac:dyDescent="0.2">
      <c r="H7" t="s">
        <v>3</v>
      </c>
      <c r="I7">
        <f>AVERAGE(TableBHA[DIFF])/10</f>
        <v>1.1054228085954805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51</v>
      </c>
      <c r="B2">
        <v>26.94214876033055</v>
      </c>
      <c r="C2">
        <v>28.229166666666671</v>
      </c>
      <c r="D2">
        <f>TableBUR[[#This Row],[ARIMAPP]]*$I$2+TableBUR[[#This Row],[LSTMPP]]*$I$3</f>
        <v>29.000000009244616</v>
      </c>
      <c r="E2">
        <v>29</v>
      </c>
      <c r="F2">
        <f>ABS(TableBUR[[#This Row],[PP]]-TableBUR[[#This Row],[AP]])</f>
        <v>9.2446157395897899E-9</v>
      </c>
      <c r="H2" t="s">
        <v>0</v>
      </c>
      <c r="I2">
        <v>1.1604034931700709</v>
      </c>
    </row>
    <row r="3" spans="1:9" x14ac:dyDescent="0.2">
      <c r="A3" t="s">
        <v>52</v>
      </c>
      <c r="B3">
        <v>23.333333333333329</v>
      </c>
      <c r="C3">
        <v>27.321428571428569</v>
      </c>
      <c r="D3">
        <f>TableBUR[[#This Row],[ARIMAPP]]*$I$2+TableBUR[[#This Row],[LSTMPP]]*$I$3</f>
        <v>24.885111642632072</v>
      </c>
      <c r="E3">
        <v>25</v>
      </c>
      <c r="F3">
        <f>ABS(TableBUR[[#This Row],[PP]]-TableBUR[[#This Row],[AP]])</f>
        <v>0.1148883573679278</v>
      </c>
      <c r="H3" t="s">
        <v>1</v>
      </c>
      <c r="I3">
        <v>-8.0192361059801473E-2</v>
      </c>
    </row>
    <row r="4" spans="1:9" x14ac:dyDescent="0.2">
      <c r="A4" t="s">
        <v>53</v>
      </c>
      <c r="B4">
        <v>23.333333333333329</v>
      </c>
      <c r="C4">
        <v>25.483870967741929</v>
      </c>
      <c r="D4">
        <f>TableBUR[[#This Row],[ARIMAPP]]*$I$2+TableBUR[[#This Row],[LSTMPP]]*$I$3</f>
        <v>25.032469725455094</v>
      </c>
      <c r="E4">
        <v>31</v>
      </c>
      <c r="F4">
        <f>ABS(TableBUR[[#This Row],[PP]]-TableBUR[[#This Row],[AP]])</f>
        <v>5.9675302745449059</v>
      </c>
    </row>
    <row r="5" spans="1:9" x14ac:dyDescent="0.2">
      <c r="H5" t="s">
        <v>2</v>
      </c>
      <c r="I5" cm="1">
        <f t="array" ref="I5">SUM(ABS(TableBUR[PP]-TableBUR[AP]))</f>
        <v>6.0824186411574495</v>
      </c>
    </row>
    <row r="7" spans="1:9" x14ac:dyDescent="0.2">
      <c r="H7" t="s">
        <v>3</v>
      </c>
      <c r="I7">
        <f>AVERAGE(TableBUR[DIFF])/10</f>
        <v>0.20274728803858166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54</v>
      </c>
      <c r="B2">
        <v>46.540181708881441</v>
      </c>
      <c r="C2">
        <v>57.966245478406123</v>
      </c>
      <c r="D2">
        <f>TableCHE[[#This Row],[ARIMAPP]]*$I$2+TableCHE[[#This Row],[LSTMPP]]*$I$3</f>
        <v>37.302378726658731</v>
      </c>
      <c r="E2">
        <v>36</v>
      </c>
      <c r="F2">
        <f>ABS(TableCHE[[#This Row],[PP]]-TableCHE[[#This Row],[AP]])</f>
        <v>1.3023787266587306</v>
      </c>
      <c r="H2" t="s">
        <v>0</v>
      </c>
      <c r="I2">
        <v>1.245030310127311</v>
      </c>
    </row>
    <row r="3" spans="1:9" x14ac:dyDescent="0.2">
      <c r="A3" t="s">
        <v>55</v>
      </c>
      <c r="B3">
        <v>27.92414793412129</v>
      </c>
      <c r="C3">
        <v>28.641975308641971</v>
      </c>
      <c r="D3">
        <f>TableCHE[[#This Row],[ARIMAPP]]*$I$2+TableCHE[[#This Row],[LSTMPP]]*$I$3</f>
        <v>24.567112786820402</v>
      </c>
      <c r="E3">
        <v>30</v>
      </c>
      <c r="F3">
        <f>ABS(TableCHE[[#This Row],[PP]]-TableCHE[[#This Row],[AP]])</f>
        <v>5.4328872131795976</v>
      </c>
      <c r="H3" t="s">
        <v>1</v>
      </c>
      <c r="I3">
        <v>-0.35609617233913898</v>
      </c>
    </row>
    <row r="4" spans="1:9" x14ac:dyDescent="0.2">
      <c r="A4" t="s">
        <v>56</v>
      </c>
      <c r="B4">
        <v>35.730337078651672</v>
      </c>
      <c r="C4">
        <v>32.253521126760567</v>
      </c>
      <c r="D4">
        <f>TableCHE[[#This Row],[ARIMAPP]]*$I$2+TableCHE[[#This Row],[LSTMPP]]*$I$3</f>
        <v>32.99999723628806</v>
      </c>
      <c r="E4">
        <v>33</v>
      </c>
      <c r="F4">
        <f>ABS(TableCHE[[#This Row],[PP]]-TableCHE[[#This Row],[AP]])</f>
        <v>2.7637119401902055E-6</v>
      </c>
    </row>
    <row r="5" spans="1:9" x14ac:dyDescent="0.2">
      <c r="A5" t="s">
        <v>57</v>
      </c>
      <c r="B5">
        <v>47.327410169784628</v>
      </c>
      <c r="C5">
        <v>18.888888888888889</v>
      </c>
      <c r="D5">
        <f>TableCHE[[#This Row],[ARIMAPP]]*$I$2+TableCHE[[#This Row],[LSTMPP]]*$I$3</f>
        <v>52.197799128136786</v>
      </c>
      <c r="E5">
        <v>53</v>
      </c>
      <c r="F5">
        <f>ABS(TableCHE[[#This Row],[PP]]-TableCHE[[#This Row],[AP]])</f>
        <v>0.80220087186321365</v>
      </c>
      <c r="H5" t="s">
        <v>2</v>
      </c>
      <c r="I5" cm="1">
        <f t="array" ref="I5">SUM(ABS(TableCHE[PP]-TableCHE[AP]))</f>
        <v>62.990516451290645</v>
      </c>
    </row>
    <row r="6" spans="1:9" x14ac:dyDescent="0.2">
      <c r="A6" t="s">
        <v>58</v>
      </c>
      <c r="B6">
        <v>35.079365079365068</v>
      </c>
      <c r="C6">
        <v>32.1</v>
      </c>
      <c r="D6">
        <f>TableCHE[[#This Row],[ARIMAPP]]*$I$2+TableCHE[[#This Row],[LSTMPP]]*$I$3</f>
        <v>32.244185651744694</v>
      </c>
      <c r="E6">
        <v>22</v>
      </c>
      <c r="F6">
        <f>ABS(TableCHE[[#This Row],[PP]]-TableCHE[[#This Row],[AP]])</f>
        <v>10.244185651744694</v>
      </c>
    </row>
    <row r="7" spans="1:9" x14ac:dyDescent="0.2">
      <c r="A7" t="s">
        <v>59</v>
      </c>
      <c r="B7">
        <v>30.416666666666671</v>
      </c>
      <c r="C7">
        <v>27.513415047068001</v>
      </c>
      <c r="D7">
        <f>TableCHE[[#This Row],[ARIMAPP]]*$I$2+TableCHE[[#This Row],[LSTMPP]]*$I$3</f>
        <v>28.072250146800066</v>
      </c>
      <c r="E7">
        <v>20</v>
      </c>
      <c r="F7">
        <f>ABS(TableCHE[[#This Row],[PP]]-TableCHE[[#This Row],[AP]])</f>
        <v>8.0722501468000658</v>
      </c>
      <c r="H7" t="s">
        <v>3</v>
      </c>
      <c r="I7">
        <f>AVERAGE(TableCHE[DIFF])/10</f>
        <v>0.78738145564113304</v>
      </c>
    </row>
    <row r="8" spans="1:9" x14ac:dyDescent="0.2">
      <c r="A8" t="s">
        <v>60</v>
      </c>
      <c r="B8">
        <v>18.999999999999989</v>
      </c>
      <c r="C8">
        <v>22.8125</v>
      </c>
      <c r="D8">
        <f>TableCHE[[#This Row],[ARIMAPP]]*$I$2+TableCHE[[#This Row],[LSTMPP]]*$I$3</f>
        <v>15.532131960932286</v>
      </c>
      <c r="E8">
        <v>39</v>
      </c>
      <c r="F8">
        <f>ABS(TableCHE[[#This Row],[PP]]-TableCHE[[#This Row],[AP]])</f>
        <v>23.467868039067714</v>
      </c>
    </row>
    <row r="9" spans="1:9" x14ac:dyDescent="0.2">
      <c r="A9" t="s">
        <v>61</v>
      </c>
      <c r="B9">
        <v>23.18181818181818</v>
      </c>
      <c r="C9">
        <v>26.764705882352938</v>
      </c>
      <c r="D9">
        <f>TableCHE[[#This Row],[ARIMAPP]]*$I$2+TableCHE[[#This Row],[LSTMPP]]*$I$3</f>
        <v>19.331256961735306</v>
      </c>
      <c r="E9">
        <v>33</v>
      </c>
      <c r="F9">
        <f>ABS(TableCHE[[#This Row],[PP]]-TableCHE[[#This Row],[AP]])</f>
        <v>13.668743038264694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62</v>
      </c>
      <c r="B2">
        <v>26.73758865248227</v>
      </c>
      <c r="C2">
        <v>28.482142857142851</v>
      </c>
      <c r="D2">
        <f>TableCRY[[#This Row],[ARIMAPP]]*$I$2+TableCRY[[#This Row],[LSTMPP]]*$I$3</f>
        <v>24.51988066700325</v>
      </c>
      <c r="E2">
        <v>28</v>
      </c>
      <c r="F2">
        <f>ABS(TableCRY[[#This Row],[PP]]-TableCRY[[#This Row],[AP]])</f>
        <v>3.4801193329967504</v>
      </c>
      <c r="H2" t="s">
        <v>0</v>
      </c>
      <c r="I2">
        <v>0.86004466353429254</v>
      </c>
    </row>
    <row r="3" spans="1:9" x14ac:dyDescent="0.2">
      <c r="A3" t="s">
        <v>63</v>
      </c>
      <c r="B3">
        <v>23.067391592793879</v>
      </c>
      <c r="C3">
        <v>27.57731958762886</v>
      </c>
      <c r="D3">
        <f>TableCRY[[#This Row],[ARIMAPP]]*$I$2+TableCRY[[#This Row],[LSTMPP]]*$I$3</f>
        <v>21.314921259135915</v>
      </c>
      <c r="E3">
        <v>20</v>
      </c>
      <c r="F3">
        <f>ABS(TableCRY[[#This Row],[PP]]-TableCRY[[#This Row],[AP]])</f>
        <v>1.3149212591359145</v>
      </c>
      <c r="H3" t="s">
        <v>1</v>
      </c>
      <c r="I3">
        <v>5.3519857628216851E-2</v>
      </c>
    </row>
    <row r="4" spans="1:9" x14ac:dyDescent="0.2">
      <c r="A4" t="s">
        <v>64</v>
      </c>
      <c r="B4">
        <v>26.639484909728669</v>
      </c>
      <c r="C4">
        <v>28.56589147286822</v>
      </c>
      <c r="D4">
        <f>TableCRY[[#This Row],[ARIMAPP]]*$I$2+TableCRY[[#This Row],[LSTMPP]]*$I$3</f>
        <v>24.439989280565459</v>
      </c>
      <c r="E4">
        <v>32</v>
      </c>
      <c r="F4">
        <f>ABS(TableCRY[[#This Row],[PP]]-TableCRY[[#This Row],[AP]])</f>
        <v>7.5600107194345405</v>
      </c>
    </row>
    <row r="5" spans="1:9" x14ac:dyDescent="0.2">
      <c r="A5" t="s">
        <v>65</v>
      </c>
      <c r="B5">
        <v>26.778407505377039</v>
      </c>
      <c r="C5">
        <v>28.910256410256419</v>
      </c>
      <c r="D5">
        <f>TableCRY[[#This Row],[ARIMAPP]]*$I$2+TableCRY[[#This Row],[LSTMPP]]*$I$3</f>
        <v>24.57789928001834</v>
      </c>
      <c r="E5">
        <v>22</v>
      </c>
      <c r="F5">
        <f>ABS(TableCRY[[#This Row],[PP]]-TableCRY[[#This Row],[AP]])</f>
        <v>2.5778992800183396</v>
      </c>
      <c r="H5" t="s">
        <v>2</v>
      </c>
      <c r="I5" cm="1">
        <f t="array" ref="I5">SUM(ABS(TableCRY[PP]-TableCRY[AP]))</f>
        <v>26.52206288607411</v>
      </c>
    </row>
    <row r="6" spans="1:9" x14ac:dyDescent="0.2">
      <c r="A6" t="s">
        <v>66</v>
      </c>
      <c r="B6">
        <v>36.265060240963862</v>
      </c>
      <c r="C6">
        <v>31.818181818181809</v>
      </c>
      <c r="D6">
        <f>TableCRY[[#This Row],[ARIMAPP]]*$I$2+TableCRY[[#This Row],[LSTMPP]]*$I$3</f>
        <v>32.892476093888426</v>
      </c>
      <c r="E6">
        <v>33</v>
      </c>
      <c r="F6">
        <f>ABS(TableCRY[[#This Row],[PP]]-TableCRY[[#This Row],[AP]])</f>
        <v>0.10752390611157381</v>
      </c>
    </row>
    <row r="7" spans="1:9" x14ac:dyDescent="0.2">
      <c r="A7" t="s">
        <v>67</v>
      </c>
      <c r="B7">
        <v>36.470588235294123</v>
      </c>
      <c r="C7">
        <v>33.625</v>
      </c>
      <c r="D7">
        <f>TableCRY[[#This Row],[ARIMAPP]]*$I$2+TableCRY[[#This Row],[LSTMPP]]*$I$3</f>
        <v>33.165940000470052</v>
      </c>
      <c r="E7">
        <v>36</v>
      </c>
      <c r="F7">
        <f>ABS(TableCRY[[#This Row],[PP]]-TableCRY[[#This Row],[AP]])</f>
        <v>2.8340599995299485</v>
      </c>
      <c r="H7" t="s">
        <v>3</v>
      </c>
      <c r="I7">
        <f>AVERAGE(TableCRY[DIFF])/10</f>
        <v>0.29468958762304565</v>
      </c>
    </row>
    <row r="8" spans="1:9" x14ac:dyDescent="0.2">
      <c r="A8" t="s">
        <v>68</v>
      </c>
      <c r="B8">
        <v>21.47540983606558</v>
      </c>
      <c r="C8">
        <v>24.895833333333329</v>
      </c>
      <c r="D8">
        <f>TableCRY[[#This Row],[ARIMAPP]]*$I$2+TableCRY[[#This Row],[LSTMPP]]*$I$3</f>
        <v>19.802233082255874</v>
      </c>
      <c r="E8">
        <v>28</v>
      </c>
      <c r="F8">
        <f>ABS(TableCRY[[#This Row],[PP]]-TableCRY[[#This Row],[AP]])</f>
        <v>8.1977669177441257</v>
      </c>
    </row>
    <row r="9" spans="1:9" x14ac:dyDescent="0.2">
      <c r="A9" t="s">
        <v>69</v>
      </c>
      <c r="B9">
        <v>30.151515151515159</v>
      </c>
      <c r="C9">
        <v>28.36538461538461</v>
      </c>
      <c r="D9">
        <f>TableCRY[[#This Row],[ARIMAPP]]*$I$2+TableCRY[[#This Row],[LSTMPP]]*$I$3</f>
        <v>27.449761049718976</v>
      </c>
      <c r="E9">
        <v>27</v>
      </c>
      <c r="F9">
        <f>ABS(TableCRY[[#This Row],[PP]]-TableCRY[[#This Row],[AP]])</f>
        <v>0.44976104971897612</v>
      </c>
    </row>
    <row r="10" spans="1:9" x14ac:dyDescent="0.2">
      <c r="A10" t="s">
        <v>70</v>
      </c>
      <c r="B10">
        <v>27.250000000000011</v>
      </c>
      <c r="C10">
        <v>29.21875</v>
      </c>
      <c r="D10">
        <f>TableCRY[[#This Row],[ARIMAPP]]*$I$2+TableCRY[[#This Row],[LSTMPP]]*$I$3</f>
        <v>25.000000421383941</v>
      </c>
      <c r="E10">
        <v>25</v>
      </c>
      <c r="F10">
        <f>ABS(TableCRY[[#This Row],[PP]]-TableCRY[[#This Row],[AP]])</f>
        <v>4.2138394107382737E-7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71</v>
      </c>
      <c r="B2">
        <v>33.405053160777832</v>
      </c>
      <c r="C2">
        <v>30.203252032520322</v>
      </c>
      <c r="D2">
        <f>TableEVE[[#This Row],[ARIMAPP]]*$I$2+TableEVE[[#This Row],[LSTMPP]]*$I$3</f>
        <v>37.238859115685635</v>
      </c>
      <c r="E2">
        <v>49</v>
      </c>
      <c r="F2">
        <f>ABS(TableEVE[[#This Row],[PP]]-TableEVE[[#This Row],[AP]])</f>
        <v>11.761140884314365</v>
      </c>
      <c r="H2" t="s">
        <v>0</v>
      </c>
      <c r="I2">
        <v>-0.16433720197714438</v>
      </c>
    </row>
    <row r="3" spans="1:9" x14ac:dyDescent="0.2">
      <c r="A3" t="s">
        <v>72</v>
      </c>
      <c r="B3">
        <v>29.867067717227091</v>
      </c>
      <c r="C3">
        <v>29.62328767123288</v>
      </c>
      <c r="D3">
        <f>TableEVE[[#This Row],[ARIMAPP]]*$I$2+TableEVE[[#This Row],[LSTMPP]]*$I$3</f>
        <v>36.999805942652358</v>
      </c>
      <c r="E3">
        <v>37</v>
      </c>
      <c r="F3">
        <f>ABS(TableEVE[[#This Row],[PP]]-TableEVE[[#This Row],[AP]])</f>
        <v>1.9405734764177396E-4</v>
      </c>
      <c r="H3" t="s">
        <v>1</v>
      </c>
      <c r="I3">
        <v>1.4147003785558958</v>
      </c>
    </row>
    <row r="4" spans="1:9" x14ac:dyDescent="0.2">
      <c r="A4" t="s">
        <v>73</v>
      </c>
      <c r="B4">
        <v>34.751381215469607</v>
      </c>
      <c r="C4">
        <v>37.562935561820083</v>
      </c>
      <c r="D4">
        <f>TableEVE[[#This Row],[ARIMAPP]]*$I$2+TableEVE[[#This Row],[LSTMPP]]*$I$3</f>
        <v>47.429354405186217</v>
      </c>
      <c r="E4">
        <v>44</v>
      </c>
      <c r="F4">
        <f>ABS(TableEVE[[#This Row],[PP]]-TableEVE[[#This Row],[AP]])</f>
        <v>3.429354405186217</v>
      </c>
    </row>
    <row r="5" spans="1:9" x14ac:dyDescent="0.2">
      <c r="A5" t="s">
        <v>74</v>
      </c>
      <c r="B5">
        <v>34.42724197628015</v>
      </c>
      <c r="C5">
        <v>32.86363636363636</v>
      </c>
      <c r="D5">
        <f>TableEVE[[#This Row],[ARIMAPP]]*$I$2+TableEVE[[#This Row],[LSTMPP]]*$I$3</f>
        <v>40.834522186187684</v>
      </c>
      <c r="E5">
        <v>28</v>
      </c>
      <c r="F5">
        <f>ABS(TableEVE[[#This Row],[PP]]-TableEVE[[#This Row],[AP]])</f>
        <v>12.834522186187684</v>
      </c>
      <c r="H5" t="s">
        <v>2</v>
      </c>
      <c r="I5" cm="1">
        <f t="array" ref="I5">SUM(ABS(TableEVE[PP]-TableEVE[AP]))</f>
        <v>73.198733946623065</v>
      </c>
    </row>
    <row r="6" spans="1:9" x14ac:dyDescent="0.2">
      <c r="A6" t="s">
        <v>75</v>
      </c>
      <c r="B6">
        <v>31.16667485044086</v>
      </c>
      <c r="C6">
        <v>29.393939393939391</v>
      </c>
      <c r="D6">
        <f>TableEVE[[#This Row],[ARIMAPP]]*$I$2+TableEVE[[#This Row],[LSTMPP]]*$I$3</f>
        <v>36.461773048002229</v>
      </c>
      <c r="E6">
        <v>47</v>
      </c>
      <c r="F6">
        <f>ABS(TableEVE[[#This Row],[PP]]-TableEVE[[#This Row],[AP]])</f>
        <v>10.538226951997771</v>
      </c>
    </row>
    <row r="7" spans="1:9" x14ac:dyDescent="0.2">
      <c r="A7" t="s">
        <v>76</v>
      </c>
      <c r="B7">
        <v>53.364261375940274</v>
      </c>
      <c r="C7">
        <v>21.75</v>
      </c>
      <c r="D7">
        <f>TableEVE[[#This Row],[ARIMAPP]]*$I$2+TableEVE[[#This Row],[LSTMPP]]*$I$3</f>
        <v>21.999999833491714</v>
      </c>
      <c r="E7">
        <v>22</v>
      </c>
      <c r="F7">
        <f>ABS(TableEVE[[#This Row],[PP]]-TableEVE[[#This Row],[AP]])</f>
        <v>1.6650828627007286E-7</v>
      </c>
      <c r="H7" t="s">
        <v>3</v>
      </c>
      <c r="I7">
        <f>AVERAGE(TableEVE[DIFF])/10</f>
        <v>0.73198733946623062</v>
      </c>
    </row>
    <row r="8" spans="1:9" x14ac:dyDescent="0.2">
      <c r="A8" t="s">
        <v>77</v>
      </c>
      <c r="B8">
        <v>18.125</v>
      </c>
      <c r="C8">
        <v>22.083333333333329</v>
      </c>
      <c r="D8">
        <f>TableEVE[[#This Row],[ARIMAPP]]*$I$2+TableEVE[[#This Row],[LSTMPP]]*$I$3</f>
        <v>28.262688240606952</v>
      </c>
      <c r="E8">
        <v>33</v>
      </c>
      <c r="F8">
        <f>ABS(TableEVE[[#This Row],[PP]]-TableEVE[[#This Row],[AP]])</f>
        <v>4.737311759393048</v>
      </c>
    </row>
    <row r="9" spans="1:9" x14ac:dyDescent="0.2">
      <c r="A9" t="s">
        <v>78</v>
      </c>
      <c r="B9">
        <v>39.999999999999993</v>
      </c>
      <c r="C9">
        <v>33.674698795180717</v>
      </c>
      <c r="D9">
        <f>TableEVE[[#This Row],[ARIMAPP]]*$I$2+TableEVE[[#This Row],[LSTMPP]]*$I$3</f>
        <v>41.066121054212161</v>
      </c>
      <c r="E9">
        <v>36</v>
      </c>
      <c r="F9">
        <f>ABS(TableEVE[[#This Row],[PP]]-TableEVE[[#This Row],[AP]])</f>
        <v>5.0661210542121609</v>
      </c>
    </row>
    <row r="10" spans="1:9" x14ac:dyDescent="0.2">
      <c r="A10" t="s">
        <v>79</v>
      </c>
      <c r="B10">
        <v>25.106382978723399</v>
      </c>
      <c r="C10">
        <v>27.567567567567568</v>
      </c>
      <c r="D10">
        <f>TableEVE[[#This Row],[ARIMAPP]]*$I$2+TableEVE[[#This Row],[LSTMPP]]*$I$3</f>
        <v>34.873935543213065</v>
      </c>
      <c r="E10">
        <v>52</v>
      </c>
      <c r="F10">
        <f>ABS(TableEVE[[#This Row],[PP]]-TableEVE[[#This Row],[AP]])</f>
        <v>17.126064456786935</v>
      </c>
    </row>
    <row r="11" spans="1:9" x14ac:dyDescent="0.2">
      <c r="A11" t="s">
        <v>80</v>
      </c>
      <c r="B11">
        <v>23.32150938394118</v>
      </c>
      <c r="C11">
        <v>27.241379310344829</v>
      </c>
      <c r="D11">
        <f>TableEVE[[#This Row],[ARIMAPP]]*$I$2+TableEVE[[#This Row],[LSTMPP]]*$I$3</f>
        <v>34.705798024688967</v>
      </c>
      <c r="E11">
        <v>27</v>
      </c>
      <c r="F11">
        <f>ABS(TableEVE[[#This Row],[PP]]-TableEVE[[#This Row],[AP]])</f>
        <v>7.705798024688967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81</v>
      </c>
      <c r="B2">
        <v>19.313404073153499</v>
      </c>
      <c r="C2">
        <v>42.295586599324309</v>
      </c>
      <c r="D2">
        <f>TableFUL[[#This Row],[ARIMAPP]]*$I$2+TableFUL[[#This Row],[LSTMPP]]*$I$3</f>
        <v>35.000000003447887</v>
      </c>
      <c r="E2">
        <v>35</v>
      </c>
      <c r="F2">
        <f>ABS(TableFUL[[#This Row],[PP]]-TableFUL[[#This Row],[AP]])</f>
        <v>3.4478873089938133E-9</v>
      </c>
      <c r="H2" t="s">
        <v>0</v>
      </c>
      <c r="I2">
        <v>0.46188704518740925</v>
      </c>
    </row>
    <row r="3" spans="1:9" x14ac:dyDescent="0.2">
      <c r="A3" t="s">
        <v>82</v>
      </c>
      <c r="B3">
        <v>20.256410256410241</v>
      </c>
      <c r="C3">
        <v>24.274193548387089</v>
      </c>
      <c r="D3">
        <f>TableFUL[[#This Row],[ARIMAPP]]*$I$2+TableFUL[[#This Row],[LSTMPP]]*$I$3</f>
        <v>24.323601142646744</v>
      </c>
      <c r="E3">
        <v>32</v>
      </c>
      <c r="F3">
        <f>ABS(TableFUL[[#This Row],[PP]]-TableFUL[[#This Row],[AP]])</f>
        <v>7.6763988573532558</v>
      </c>
      <c r="H3" t="s">
        <v>1</v>
      </c>
      <c r="I3">
        <v>0.6165983489162713</v>
      </c>
    </row>
    <row r="4" spans="1:9" x14ac:dyDescent="0.2">
      <c r="A4" t="s">
        <v>83</v>
      </c>
      <c r="B4">
        <v>26.496815286624191</v>
      </c>
      <c r="C4">
        <v>27.92</v>
      </c>
      <c r="D4">
        <f>TableFUL[[#This Row],[ARIMAPP]]*$I$2+TableFUL[[#This Row],[LSTMPP]]*$I$3</f>
        <v>29.45396162135772</v>
      </c>
      <c r="E4">
        <v>42</v>
      </c>
      <c r="F4">
        <f>ABS(TableFUL[[#This Row],[PP]]-TableFUL[[#This Row],[AP]])</f>
        <v>12.54603837864228</v>
      </c>
    </row>
    <row r="5" spans="1:9" x14ac:dyDescent="0.2">
      <c r="A5" t="s">
        <v>84</v>
      </c>
      <c r="B5">
        <v>37.207095992085307</v>
      </c>
      <c r="C5">
        <v>32.857142857142847</v>
      </c>
      <c r="D5">
        <f>TableFUL[[#This Row],[ARIMAPP]]*$I$2+TableFUL[[#This Row],[LSTMPP]]*$I$3</f>
        <v>37.445135663608916</v>
      </c>
      <c r="E5">
        <v>30</v>
      </c>
      <c r="F5">
        <f>ABS(TableFUL[[#This Row],[PP]]-TableFUL[[#This Row],[AP]])</f>
        <v>7.4451356636089159</v>
      </c>
      <c r="H5" t="s">
        <v>2</v>
      </c>
      <c r="I5" cm="1">
        <f t="array" ref="I5">SUM(ABS(TableFUL[PP]-TableFUL[AP]))</f>
        <v>57.859095601850584</v>
      </c>
    </row>
    <row r="6" spans="1:9" x14ac:dyDescent="0.2">
      <c r="A6" t="s">
        <v>85</v>
      </c>
      <c r="B6">
        <v>25.22388059701494</v>
      </c>
      <c r="C6">
        <v>26.60377358490566</v>
      </c>
      <c r="D6">
        <f>TableFUL[[#This Row],[ARIMAPP]]*$I$2+TableFUL[[#This Row],[LSTMPP]]*$I$3</f>
        <v>28.054426544510399</v>
      </c>
      <c r="E6">
        <v>35</v>
      </c>
      <c r="F6">
        <f>ABS(TableFUL[[#This Row],[PP]]-TableFUL[[#This Row],[AP]])</f>
        <v>6.9455734554896011</v>
      </c>
    </row>
    <row r="7" spans="1:9" x14ac:dyDescent="0.2">
      <c r="A7" t="s">
        <v>86</v>
      </c>
      <c r="B7">
        <v>31.097825248772889</v>
      </c>
      <c r="C7">
        <v>31.111111111111111</v>
      </c>
      <c r="D7">
        <f>TableFUL[[#This Row],[ARIMAPP]]*$I$2+TableFUL[[#This Row],[LSTMPP]]*$I$3</f>
        <v>33.546742359971894</v>
      </c>
      <c r="E7">
        <v>22</v>
      </c>
      <c r="F7">
        <f>ABS(TableFUL[[#This Row],[PP]]-TableFUL[[#This Row],[AP]])</f>
        <v>11.546742359971894</v>
      </c>
      <c r="H7" t="s">
        <v>3</v>
      </c>
      <c r="I7">
        <f>AVERAGE(TableFUL[DIFF])/10</f>
        <v>0.57859095601850585</v>
      </c>
    </row>
    <row r="8" spans="1:9" x14ac:dyDescent="0.2">
      <c r="A8" t="s">
        <v>87</v>
      </c>
      <c r="B8">
        <v>23.235294117647062</v>
      </c>
      <c r="C8">
        <v>26.388888888888889</v>
      </c>
      <c r="D8">
        <f>TableFUL[[#This Row],[ARIMAPP]]*$I$2+TableFUL[[#This Row],[LSTMPP]]*$I$3</f>
        <v>27.00342666268422</v>
      </c>
      <c r="E8">
        <v>27</v>
      </c>
      <c r="F8">
        <f>ABS(TableFUL[[#This Row],[PP]]-TableFUL[[#This Row],[AP]])</f>
        <v>3.4266626842196501E-3</v>
      </c>
    </row>
    <row r="9" spans="1:9" x14ac:dyDescent="0.2">
      <c r="A9" t="s">
        <v>88</v>
      </c>
      <c r="B9">
        <v>24.87179487179489</v>
      </c>
      <c r="C9">
        <v>25.806451612903231</v>
      </c>
      <c r="D9">
        <f>TableFUL[[#This Row],[ARIMAPP]]*$I$2+TableFUL[[#This Row],[LSTMPP]]*$I$3</f>
        <v>27.400175297744479</v>
      </c>
      <c r="E9">
        <v>28</v>
      </c>
      <c r="F9">
        <f>ABS(TableFUL[[#This Row],[PP]]-TableFUL[[#This Row],[AP]])</f>
        <v>0.5998247022555212</v>
      </c>
    </row>
    <row r="10" spans="1:9" x14ac:dyDescent="0.2">
      <c r="A10" t="s">
        <v>89</v>
      </c>
      <c r="B10">
        <v>36.667872036518432</v>
      </c>
      <c r="C10">
        <v>38.729039622301542</v>
      </c>
      <c r="D10">
        <f>TableFUL[[#This Row],[ARIMAPP]]*$I$2+TableFUL[[#This Row],[LSTMPP]]*$I$3</f>
        <v>40.816676954481508</v>
      </c>
      <c r="E10">
        <v>36</v>
      </c>
      <c r="F10">
        <f>ABS(TableFUL[[#This Row],[PP]]-TableFUL[[#This Row],[AP]])</f>
        <v>4.8166769544815082</v>
      </c>
    </row>
    <row r="11" spans="1:9" x14ac:dyDescent="0.2">
      <c r="A11" t="s">
        <v>90</v>
      </c>
      <c r="B11">
        <v>39.032258064516128</v>
      </c>
      <c r="C11">
        <v>40.045885842982869</v>
      </c>
      <c r="D11">
        <f>TableFUL[[#This Row],[ARIMAPP]]*$I$2+TableFUL[[#This Row],[LSTMPP]]*$I$3</f>
        <v>42.720721436084503</v>
      </c>
      <c r="E11">
        <v>49</v>
      </c>
      <c r="F11">
        <f>ABS(TableFUL[[#This Row],[PP]]-TableFUL[[#This Row],[AP]])</f>
        <v>6.2792785639154971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91</v>
      </c>
      <c r="B2">
        <v>44.164505233275918</v>
      </c>
      <c r="C2">
        <v>36.863421817765293</v>
      </c>
      <c r="D2">
        <f>TableLIV[[#This Row],[ARIMAPP]]*$I$2+TableLIV[[#This Row],[LSTMPP]]*$I$3</f>
        <v>47.032925273922693</v>
      </c>
      <c r="E2">
        <v>49</v>
      </c>
      <c r="F2">
        <f>ABS(TableLIV[[#This Row],[PP]]-TableLIV[[#This Row],[AP]])</f>
        <v>1.9670747260773069</v>
      </c>
      <c r="H2" t="s">
        <v>0</v>
      </c>
      <c r="I2">
        <v>1.6878185240685257</v>
      </c>
    </row>
    <row r="3" spans="1:9" x14ac:dyDescent="0.2">
      <c r="A3" t="s">
        <v>92</v>
      </c>
      <c r="B3">
        <v>69.116022099447477</v>
      </c>
      <c r="C3">
        <v>68.210240535789964</v>
      </c>
      <c r="D3">
        <f>TableLIV[[#This Row],[ARIMAPP]]*$I$2+TableLIV[[#This Row],[LSTMPP]]*$I$3</f>
        <v>65.75449058180169</v>
      </c>
      <c r="E3">
        <v>65</v>
      </c>
      <c r="F3">
        <f>ABS(TableLIV[[#This Row],[PP]]-TableLIV[[#This Row],[AP]])</f>
        <v>0.75449058180169004</v>
      </c>
      <c r="H3" t="s">
        <v>1</v>
      </c>
      <c r="I3">
        <v>-0.74623416407493326</v>
      </c>
    </row>
    <row r="4" spans="1:9" x14ac:dyDescent="0.2">
      <c r="A4" t="s">
        <v>93</v>
      </c>
      <c r="B4">
        <v>52.684387686653309</v>
      </c>
      <c r="C4">
        <v>49.477617520960727</v>
      </c>
      <c r="D4">
        <f>TableLIV[[#This Row],[ARIMAPP]]*$I$2+TableLIV[[#This Row],[LSTMPP]]*$I$3</f>
        <v>51.999796915567792</v>
      </c>
      <c r="E4">
        <v>73</v>
      </c>
      <c r="F4">
        <f>ABS(TableLIV[[#This Row],[PP]]-TableLIV[[#This Row],[AP]])</f>
        <v>21.000203084432208</v>
      </c>
    </row>
    <row r="5" spans="1:9" x14ac:dyDescent="0.2">
      <c r="A5" t="s">
        <v>94</v>
      </c>
      <c r="B5">
        <v>48.284466305951369</v>
      </c>
      <c r="C5">
        <v>42.205811018517529</v>
      </c>
      <c r="D5">
        <f>TableLIV[[#This Row],[ARIMAPP]]*$I$2+TableLIV[[#This Row],[LSTMPP]]*$I$3</f>
        <v>49.999998551439262</v>
      </c>
      <c r="E5">
        <v>50</v>
      </c>
      <c r="F5">
        <f>ABS(TableLIV[[#This Row],[PP]]-TableLIV[[#This Row],[AP]])</f>
        <v>1.4485607380265719E-6</v>
      </c>
      <c r="H5" t="s">
        <v>2</v>
      </c>
      <c r="I5" cm="1">
        <f t="array" ref="I5">SUM(ABS(TableLIV[PP]-TableLIV[AP]))</f>
        <v>43.494432804475657</v>
      </c>
    </row>
    <row r="6" spans="1:9" x14ac:dyDescent="0.2">
      <c r="A6" t="s">
        <v>95</v>
      </c>
      <c r="B6">
        <v>28.707786528370772</v>
      </c>
      <c r="C6">
        <v>28.851351351351351</v>
      </c>
      <c r="D6">
        <f>TableLIV[[#This Row],[ARIMAPP]]*$I$2+TableLIV[[#This Row],[LSTMPP]]*$I$3</f>
        <v>26.923669829481188</v>
      </c>
      <c r="E6">
        <v>27</v>
      </c>
      <c r="F6">
        <f>ABS(TableLIV[[#This Row],[PP]]-TableLIV[[#This Row],[AP]])</f>
        <v>7.6330170518811968E-2</v>
      </c>
    </row>
    <row r="7" spans="1:9" x14ac:dyDescent="0.2">
      <c r="A7" t="s">
        <v>96</v>
      </c>
      <c r="B7">
        <v>28.999999999999989</v>
      </c>
      <c r="C7">
        <v>30.606288118622061</v>
      </c>
      <c r="D7">
        <f>TableLIV[[#This Row],[ARIMAPP]]*$I$2+TableLIV[[#This Row],[LSTMPP]]*$I$3</f>
        <v>26.107279368350731</v>
      </c>
      <c r="E7">
        <v>30</v>
      </c>
      <c r="F7">
        <f>ABS(TableLIV[[#This Row],[PP]]-TableLIV[[#This Row],[AP]])</f>
        <v>3.8927206316492686</v>
      </c>
      <c r="H7" t="s">
        <v>3</v>
      </c>
      <c r="I7">
        <f>AVERAGE(TableLIV[DIFF])/10</f>
        <v>0.48327147560528505</v>
      </c>
    </row>
    <row r="8" spans="1:9" x14ac:dyDescent="0.2">
      <c r="A8" t="s">
        <v>97</v>
      </c>
      <c r="B8">
        <v>33.823529411764703</v>
      </c>
      <c r="C8">
        <v>37.399601742722183</v>
      </c>
      <c r="D8">
        <f>TableLIV[[#This Row],[ARIMAPP]]*$I$2+TableLIV[[#This Row],[LSTMPP]]*$I$3</f>
        <v>29.179118947337368</v>
      </c>
      <c r="E8">
        <v>29</v>
      </c>
      <c r="F8">
        <f>ABS(TableLIV[[#This Row],[PP]]-TableLIV[[#This Row],[AP]])</f>
        <v>0.17911894733736844</v>
      </c>
    </row>
    <row r="9" spans="1:9" x14ac:dyDescent="0.2">
      <c r="A9" t="s">
        <v>98</v>
      </c>
      <c r="B9">
        <v>38.571428571428562</v>
      </c>
      <c r="C9">
        <v>32.710874492584743</v>
      </c>
      <c r="D9">
        <f>TableLIV[[#This Row],[ARIMAPP]]*$I$2+TableLIV[[#This Row],[LSTMPP]]*$I$3</f>
        <v>40.691599559509086</v>
      </c>
      <c r="E9">
        <v>35</v>
      </c>
      <c r="F9">
        <f>ABS(TableLIV[[#This Row],[PP]]-TableLIV[[#This Row],[AP]])</f>
        <v>5.6915995595090862</v>
      </c>
    </row>
    <row r="10" spans="1:9" x14ac:dyDescent="0.2">
      <c r="A10" t="s">
        <v>99</v>
      </c>
      <c r="B10">
        <v>39.090909090909072</v>
      </c>
      <c r="C10">
        <v>30.882352941176482</v>
      </c>
      <c r="D10">
        <f>TableLIV[[#This Row],[ARIMAPP]]*$I$2+TableLIV[[#This Row],[LSTMPP]]*$I$3</f>
        <v>42.932893654589179</v>
      </c>
      <c r="E10">
        <v>33</v>
      </c>
      <c r="F10">
        <f>ABS(TableLIV[[#This Row],[PP]]-TableLIV[[#This Row],[AP]])</f>
        <v>9.9328936545891793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100</v>
      </c>
      <c r="B2">
        <v>40.056497175141203</v>
      </c>
      <c r="C2">
        <v>34.901568202835641</v>
      </c>
      <c r="D2">
        <f>TableMCI[[#This Row],[ARIMAPP]]*$I$2+TableMCI[[#This Row],[LSTMPP]]*$I$3</f>
        <v>35.285683151506376</v>
      </c>
      <c r="E2">
        <v>22</v>
      </c>
      <c r="F2">
        <f>ABS(TableMCI[[#This Row],[PP]]-TableMCI[[#This Row],[AP]])</f>
        <v>13.285683151506376</v>
      </c>
      <c r="H2" t="s">
        <v>0</v>
      </c>
      <c r="I2">
        <v>1.5868604225311709</v>
      </c>
    </row>
    <row r="3" spans="1:9" x14ac:dyDescent="0.2">
      <c r="A3" t="s">
        <v>101</v>
      </c>
      <c r="B3">
        <v>38.702290076335863</v>
      </c>
      <c r="C3">
        <v>37.06833302528463</v>
      </c>
      <c r="D3">
        <f>TableMCI[[#This Row],[ARIMAPP]]*$I$2+TableMCI[[#This Row],[LSTMPP]]*$I$3</f>
        <v>31.381162097963113</v>
      </c>
      <c r="E3">
        <v>22</v>
      </c>
      <c r="F3">
        <f>ABS(TableMCI[[#This Row],[PP]]-TableMCI[[#This Row],[AP]])</f>
        <v>9.381162097963113</v>
      </c>
      <c r="H3" t="s">
        <v>1</v>
      </c>
      <c r="I3">
        <v>-0.8102325579358729</v>
      </c>
    </row>
    <row r="4" spans="1:9" x14ac:dyDescent="0.2">
      <c r="A4" t="s">
        <v>102</v>
      </c>
      <c r="B4">
        <v>33.42355812601069</v>
      </c>
      <c r="C4">
        <v>30</v>
      </c>
      <c r="D4">
        <f>TableMCI[[#This Row],[ARIMAPP]]*$I$2+TableMCI[[#This Row],[LSTMPP]]*$I$3</f>
        <v>28.731544832260283</v>
      </c>
      <c r="E4">
        <v>30</v>
      </c>
      <c r="F4">
        <f>ABS(TableMCI[[#This Row],[PP]]-TableMCI[[#This Row],[AP]])</f>
        <v>1.2684551677397167</v>
      </c>
    </row>
    <row r="5" spans="1:9" x14ac:dyDescent="0.2">
      <c r="A5" t="s">
        <v>103</v>
      </c>
      <c r="B5">
        <v>46.704899936085788</v>
      </c>
      <c r="C5">
        <v>34.696969696969703</v>
      </c>
      <c r="D5">
        <f>TableMCI[[#This Row],[ARIMAPP]]*$I$2+TableMCI[[#This Row],[LSTMPP]]*$I$3</f>
        <v>46.001542736653924</v>
      </c>
      <c r="E5">
        <v>46</v>
      </c>
      <c r="F5">
        <f>ABS(TableMCI[[#This Row],[PP]]-TableMCI[[#This Row],[AP]])</f>
        <v>1.5427366539242371E-3</v>
      </c>
      <c r="H5" t="s">
        <v>2</v>
      </c>
      <c r="I5" cm="1">
        <f t="array" ref="I5">SUM(ABS(TableMCI[PP]-TableMCI[AP]))</f>
        <v>65.013287644184615</v>
      </c>
    </row>
    <row r="6" spans="1:9" x14ac:dyDescent="0.2">
      <c r="A6" t="s">
        <v>104</v>
      </c>
      <c r="B6">
        <v>30.592592592592599</v>
      </c>
      <c r="C6">
        <v>30.229679850577789</v>
      </c>
      <c r="D6">
        <f>TableMCI[[#This Row],[ARIMAPP]]*$I$2+TableMCI[[#This Row],[LSTMPP]]*$I$3</f>
        <v>24.053103576889303</v>
      </c>
      <c r="E6">
        <v>25</v>
      </c>
      <c r="F6">
        <f>ABS(TableMCI[[#This Row],[PP]]-TableMCI[[#This Row],[AP]])</f>
        <v>0.94689642311069733</v>
      </c>
    </row>
    <row r="7" spans="1:9" x14ac:dyDescent="0.2">
      <c r="A7" t="s">
        <v>105</v>
      </c>
      <c r="B7">
        <v>82.344849188075159</v>
      </c>
      <c r="C7">
        <v>78.582124360826683</v>
      </c>
      <c r="D7">
        <f>TableMCI[[#This Row],[ARIMAPP]]*$I$2+TableMCI[[#This Row],[LSTMPP]]*$I$3</f>
        <v>66.999986546947014</v>
      </c>
      <c r="E7">
        <v>67</v>
      </c>
      <c r="F7">
        <f>ABS(TableMCI[[#This Row],[PP]]-TableMCI[[#This Row],[AP]])</f>
        <v>1.3453052986278635E-5</v>
      </c>
      <c r="H7" t="s">
        <v>3</v>
      </c>
      <c r="I7">
        <f>AVERAGE(TableMCI[DIFF])/10</f>
        <v>0.72236986271316239</v>
      </c>
    </row>
    <row r="8" spans="1:9" x14ac:dyDescent="0.2">
      <c r="A8" t="s">
        <v>106</v>
      </c>
      <c r="B8">
        <v>33.333333333333321</v>
      </c>
      <c r="C8">
        <v>31.25</v>
      </c>
      <c r="D8">
        <f>TableMCI[[#This Row],[ARIMAPP]]*$I$2+TableMCI[[#This Row],[LSTMPP]]*$I$3</f>
        <v>27.57557998220965</v>
      </c>
      <c r="E8">
        <v>59</v>
      </c>
      <c r="F8">
        <f>ABS(TableMCI[[#This Row],[PP]]-TableMCI[[#This Row],[AP]])</f>
        <v>31.42442001779035</v>
      </c>
    </row>
    <row r="9" spans="1:9" x14ac:dyDescent="0.2">
      <c r="A9" t="s">
        <v>107</v>
      </c>
      <c r="B9">
        <v>35.405405405405411</v>
      </c>
      <c r="C9">
        <v>27.068965517241381</v>
      </c>
      <c r="D9">
        <f>TableMCI[[#This Row],[ARIMAPP]]*$I$2+TableMCI[[#This Row],[LSTMPP]]*$I$3</f>
        <v>34.251279409796609</v>
      </c>
      <c r="E9">
        <v>42</v>
      </c>
      <c r="F9">
        <f>ABS(TableMCI[[#This Row],[PP]]-TableMCI[[#This Row],[AP]])</f>
        <v>7.7487205902033907</v>
      </c>
    </row>
    <row r="10" spans="1:9" x14ac:dyDescent="0.2">
      <c r="A10" t="s">
        <v>108</v>
      </c>
      <c r="B10">
        <v>31.666666666666661</v>
      </c>
      <c r="C10">
        <v>28.75</v>
      </c>
      <c r="D10">
        <f>TableMCI[[#This Row],[ARIMAPP]]*$I$2+TableMCI[[#This Row],[LSTMPP]]*$I$3</f>
        <v>26.956394006164057</v>
      </c>
      <c r="E10">
        <v>26</v>
      </c>
      <c r="F10">
        <f>ABS(TableMCI[[#This Row],[PP]]-TableMCI[[#This Row],[AP]])</f>
        <v>0.95639400616405723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0.33203125" bestFit="1" customWidth="1"/>
    <col min="2" max="2" width="0" hidden="1" customWidth="1"/>
    <col min="3" max="3" width="12.1640625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109</v>
      </c>
      <c r="B2">
        <v>37.315296342251692</v>
      </c>
      <c r="C2">
        <v>32.770270270270267</v>
      </c>
      <c r="D2">
        <f>TableMUN[[#This Row],[ARIMAPP]]*$I$2+TableMUN[[#This Row],[LSTMPP]]*$I$3</f>
        <v>19.11355444145677</v>
      </c>
      <c r="E2">
        <v>21</v>
      </c>
      <c r="F2">
        <f>ABS(TableMUN[[#This Row],[PP]]-TableMUN[[#This Row],[AP]])</f>
        <v>1.8864455585432296</v>
      </c>
      <c r="H2" t="s">
        <v>0</v>
      </c>
      <c r="I2">
        <v>-3.4060660469767128</v>
      </c>
    </row>
    <row r="3" spans="1:9" x14ac:dyDescent="0.2">
      <c r="A3" t="s">
        <v>110</v>
      </c>
      <c r="B3">
        <v>45.685741524346263</v>
      </c>
      <c r="C3">
        <v>44.888673409859862</v>
      </c>
      <c r="D3">
        <f>TableMUN[[#This Row],[ARIMAPP]]*$I$2+TableMUN[[#This Row],[LSTMPP]]*$I$3</f>
        <v>44.672241722705422</v>
      </c>
      <c r="E3">
        <v>25</v>
      </c>
      <c r="F3">
        <f>ABS(TableMUN[[#This Row],[PP]]-TableMUN[[#This Row],[AP]])</f>
        <v>19.672241722705422</v>
      </c>
      <c r="H3" t="s">
        <v>1</v>
      </c>
      <c r="I3">
        <v>4.4617245185896577</v>
      </c>
    </row>
    <row r="4" spans="1:9" x14ac:dyDescent="0.2">
      <c r="A4" t="s">
        <v>111</v>
      </c>
      <c r="B4">
        <v>25.196850393700782</v>
      </c>
      <c r="C4">
        <v>27.079207920792079</v>
      </c>
      <c r="D4">
        <f>TableMUN[[#This Row],[ARIMAPP]]*$I$2+TableMUN[[#This Row],[LSTMPP]]*$I$3</f>
        <v>34.997829307449237</v>
      </c>
      <c r="E4">
        <v>35</v>
      </c>
      <c r="F4">
        <f>ABS(TableMUN[[#This Row],[PP]]-TableMUN[[#This Row],[AP]])</f>
        <v>2.1706925507629649E-3</v>
      </c>
    </row>
    <row r="5" spans="1:9" x14ac:dyDescent="0.2">
      <c r="A5" t="s">
        <v>112</v>
      </c>
      <c r="B5">
        <v>29.984571264041019</v>
      </c>
      <c r="C5">
        <v>31.769102619377239</v>
      </c>
      <c r="D5">
        <f>TableMUN[[#This Row],[ARIMAPP]]*$I$2+TableMUN[[#This Row],[LSTMPP]]*$I$3</f>
        <v>39.615553974862621</v>
      </c>
      <c r="E5">
        <v>40</v>
      </c>
      <c r="F5">
        <f>ABS(TableMUN[[#This Row],[PP]]-TableMUN[[#This Row],[AP]])</f>
        <v>0.38444602513737891</v>
      </c>
      <c r="H5" t="s">
        <v>2</v>
      </c>
      <c r="I5" cm="1">
        <f t="array" ref="I5">SUM(ABS(TableMUN[PP]-TableMUN[AP]))</f>
        <v>53.705219877812226</v>
      </c>
    </row>
    <row r="6" spans="1:9" x14ac:dyDescent="0.2">
      <c r="A6" t="s">
        <v>113</v>
      </c>
      <c r="B6">
        <v>43.4579439252336</v>
      </c>
      <c r="C6">
        <v>37.882352941176471</v>
      </c>
      <c r="D6">
        <f>TableMUN[[#This Row],[ARIMAPP]]*$I$2+TableMUN[[#This Row],[LSTMPP]]*$I$3</f>
        <v>20.999995664358039</v>
      </c>
      <c r="E6">
        <v>21</v>
      </c>
      <c r="F6">
        <f>ABS(TableMUN[[#This Row],[PP]]-TableMUN[[#This Row],[AP]])</f>
        <v>4.3356419610063313E-6</v>
      </c>
    </row>
    <row r="7" spans="1:9" x14ac:dyDescent="0.2">
      <c r="A7" t="s">
        <v>114</v>
      </c>
      <c r="B7">
        <v>30.588235294117641</v>
      </c>
      <c r="C7">
        <v>31.526315789473681</v>
      </c>
      <c r="D7">
        <f>TableMUN[[#This Row],[ARIMAPP]]*$I$2+TableMUN[[#This Row],[LSTMPP]]*$I$3</f>
        <v>36.476186466466132</v>
      </c>
      <c r="E7">
        <v>31</v>
      </c>
      <c r="F7">
        <f>ABS(TableMUN[[#This Row],[PP]]-TableMUN[[#This Row],[AP]])</f>
        <v>5.4761864664661317</v>
      </c>
      <c r="H7" t="s">
        <v>3</v>
      </c>
      <c r="I7">
        <f>AVERAGE(TableMUN[DIFF])/10</f>
        <v>0.59672466530902468</v>
      </c>
    </row>
    <row r="8" spans="1:9" x14ac:dyDescent="0.2">
      <c r="A8" t="s">
        <v>115</v>
      </c>
      <c r="B8">
        <v>45.40959169236212</v>
      </c>
      <c r="C8">
        <v>44.361939197460451</v>
      </c>
      <c r="D8">
        <f>TableMUN[[#This Row],[ARIMAPP]]*$I$2+TableMUN[[#This Row],[LSTMPP]]*$I$3</f>
        <v>43.262683339062477</v>
      </c>
      <c r="E8">
        <v>33</v>
      </c>
      <c r="F8">
        <f>ABS(TableMUN[[#This Row],[PP]]-TableMUN[[#This Row],[AP]])</f>
        <v>10.262683339062477</v>
      </c>
    </row>
    <row r="9" spans="1:9" x14ac:dyDescent="0.2">
      <c r="A9" t="s">
        <v>116</v>
      </c>
      <c r="B9">
        <v>34.193548387096769</v>
      </c>
      <c r="C9">
        <v>33.75</v>
      </c>
      <c r="D9">
        <f>TableMUN[[#This Row],[ARIMAPP]]*$I$2+TableMUN[[#This Row],[LSTMPP]]*$I$3</f>
        <v>34.117718315455306</v>
      </c>
      <c r="E9">
        <v>44</v>
      </c>
      <c r="F9">
        <f>ABS(TableMUN[[#This Row],[PP]]-TableMUN[[#This Row],[AP]])</f>
        <v>9.8822816845446937</v>
      </c>
    </row>
    <row r="10" spans="1:9" x14ac:dyDescent="0.2">
      <c r="A10" t="s">
        <v>117</v>
      </c>
      <c r="B10">
        <v>19.96622984614525</v>
      </c>
      <c r="C10">
        <v>23.055555555555561</v>
      </c>
      <c r="D10">
        <f>TableMUN[[#This Row],[ARIMAPP]]*$I$2+TableMUN[[#This Row],[LSTMPP]]*$I$3</f>
        <v>34.861239946839831</v>
      </c>
      <c r="E10">
        <v>41</v>
      </c>
      <c r="F10">
        <f>ABS(TableMUN[[#This Row],[PP]]-TableMUN[[#This Row],[AP]])</f>
        <v>6.1387600531601692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85</v>
      </c>
      <c r="B2">
        <v>45.602836879432608</v>
      </c>
      <c r="C2">
        <v>37.589285714285722</v>
      </c>
      <c r="D2">
        <f>TableNEW[[#This Row],[ARIMAPP]]*$I$2+TableNEW[[#This Row],[LSTMPP]]*$I$3</f>
        <v>42.511780876659131</v>
      </c>
      <c r="E2">
        <v>42</v>
      </c>
      <c r="F2">
        <f>ABS(TableNEW[[#This Row],[PP]]-TableNEW[[#This Row],[AP]])</f>
        <v>0.51178087665913097</v>
      </c>
      <c r="H2" t="s">
        <v>0</v>
      </c>
      <c r="I2">
        <v>2.4953589894679453</v>
      </c>
    </row>
    <row r="3" spans="1:9" x14ac:dyDescent="0.2">
      <c r="A3" t="s">
        <v>118</v>
      </c>
      <c r="B3">
        <v>50.088681489081203</v>
      </c>
      <c r="C3">
        <v>38.999999999999993</v>
      </c>
      <c r="D3">
        <f>TableNEW[[#This Row],[ARIMAPP]]*$I$2+TableNEW[[#This Row],[LSTMPP]]*$I$3</f>
        <v>51.030319497406055</v>
      </c>
      <c r="E3">
        <v>36</v>
      </c>
      <c r="F3">
        <f>ABS(TableNEW[[#This Row],[PP]]-TableNEW[[#This Row],[AP]])</f>
        <v>15.030319497406055</v>
      </c>
      <c r="H3" t="s">
        <v>1</v>
      </c>
      <c r="I3">
        <v>-1.8963826186402413</v>
      </c>
    </row>
    <row r="4" spans="1:9" x14ac:dyDescent="0.2">
      <c r="A4" t="s">
        <v>119</v>
      </c>
      <c r="B4">
        <v>34.999366319918899</v>
      </c>
      <c r="C4">
        <v>30.77669902912621</v>
      </c>
      <c r="D4">
        <f>TableNEW[[#This Row],[ARIMAPP]]*$I$2+TableNEW[[#This Row],[LSTMPP]]*$I$3</f>
        <v>28.971586274134332</v>
      </c>
      <c r="E4">
        <v>23</v>
      </c>
      <c r="F4">
        <f>ABS(TableNEW[[#This Row],[PP]]-TableNEW[[#This Row],[AP]])</f>
        <v>5.9715862741343315</v>
      </c>
    </row>
    <row r="5" spans="1:9" x14ac:dyDescent="0.2">
      <c r="A5" t="s">
        <v>120</v>
      </c>
      <c r="B5">
        <v>29.93939000021463</v>
      </c>
      <c r="C5">
        <v>25.59782608695652</v>
      </c>
      <c r="D5">
        <f>TableNEW[[#This Row],[ARIMAPP]]*$I$2+TableNEW[[#This Row],[LSTMPP]]*$I$3</f>
        <v>26.166253509942194</v>
      </c>
      <c r="E5">
        <v>24</v>
      </c>
      <c r="F5">
        <f>ABS(TableNEW[[#This Row],[PP]]-TableNEW[[#This Row],[AP]])</f>
        <v>2.1662535099421945</v>
      </c>
      <c r="H5" t="s">
        <v>2</v>
      </c>
      <c r="I5" cm="1">
        <f t="array" ref="I5">SUM(ABS(TableNEW[PP]-TableNEW[AP]))</f>
        <v>90.883523554747327</v>
      </c>
    </row>
    <row r="6" spans="1:9" x14ac:dyDescent="0.2">
      <c r="A6" t="s">
        <v>121</v>
      </c>
      <c r="B6">
        <v>28.650793650793641</v>
      </c>
      <c r="C6">
        <v>29.1</v>
      </c>
      <c r="D6">
        <f>TableNEW[[#This Row],[ARIMAPP]]*$I$2+TableNEW[[#This Row],[LSTMPP]]*$I$3</f>
        <v>16.309281289468025</v>
      </c>
      <c r="E6">
        <v>48</v>
      </c>
      <c r="F6">
        <f>ABS(TableNEW[[#This Row],[PP]]-TableNEW[[#This Row],[AP]])</f>
        <v>31.690718710531975</v>
      </c>
    </row>
    <row r="7" spans="1:9" x14ac:dyDescent="0.2">
      <c r="A7" t="s">
        <v>122</v>
      </c>
      <c r="B7">
        <v>25.434782608695659</v>
      </c>
      <c r="C7">
        <v>26.13636363636364</v>
      </c>
      <c r="D7">
        <f>TableNEW[[#This Row],[ARIMAPP]]*$I$2+TableNEW[[#This Row],[LSTMPP]]*$I$3</f>
        <v>13.904367713310812</v>
      </c>
      <c r="E7">
        <v>34</v>
      </c>
      <c r="F7">
        <f>ABS(TableNEW[[#This Row],[PP]]-TableNEW[[#This Row],[AP]])</f>
        <v>20.095632286689188</v>
      </c>
      <c r="H7" t="s">
        <v>3</v>
      </c>
      <c r="I7">
        <f>AVERAGE(TableNEW[DIFF])/10</f>
        <v>0.82621385049770291</v>
      </c>
    </row>
    <row r="8" spans="1:9" x14ac:dyDescent="0.2">
      <c r="A8" t="s">
        <v>123</v>
      </c>
      <c r="B8">
        <v>40.746675280074868</v>
      </c>
      <c r="C8">
        <v>35.648148148148159</v>
      </c>
      <c r="D8">
        <f>TableNEW[[#This Row],[ARIMAPP]]*$I$2+TableNEW[[#This Row],[LSTMPP]]*$I$3</f>
        <v>34.075053916205661</v>
      </c>
      <c r="E8">
        <v>47</v>
      </c>
      <c r="F8">
        <f>ABS(TableNEW[[#This Row],[PP]]-TableNEW[[#This Row],[AP]])</f>
        <v>12.924946083794339</v>
      </c>
    </row>
    <row r="9" spans="1:9" x14ac:dyDescent="0.2">
      <c r="A9" t="s">
        <v>124</v>
      </c>
      <c r="B9">
        <v>38.90187149519663</v>
      </c>
      <c r="C9">
        <v>26.439393939393941</v>
      </c>
      <c r="D9">
        <f>TableNEW[[#This Row],[ARIMAPP]]*$I$2+TableNEW[[#This Row],[LSTMPP]]*$I$3</f>
        <v>46.934927628616926</v>
      </c>
      <c r="E9">
        <v>47</v>
      </c>
      <c r="F9">
        <f>ABS(TableNEW[[#This Row],[PP]]-TableNEW[[#This Row],[AP]])</f>
        <v>6.5072371383074312E-2</v>
      </c>
    </row>
    <row r="10" spans="1:9" x14ac:dyDescent="0.2">
      <c r="A10" t="s">
        <v>125</v>
      </c>
      <c r="B10">
        <v>34.423076923076927</v>
      </c>
      <c r="C10">
        <v>31.585365853658541</v>
      </c>
      <c r="D10">
        <f>TableNEW[[#This Row],[ARIMAPP]]*$I$2+TableNEW[[#This Row],[LSTMPP]]*$I$3</f>
        <v>25.999995636875546</v>
      </c>
      <c r="E10">
        <v>26</v>
      </c>
      <c r="F10">
        <f>ABS(TableNEW[[#This Row],[PP]]-TableNEW[[#This Row],[AP]])</f>
        <v>4.3631244537323255E-6</v>
      </c>
    </row>
    <row r="11" spans="1:9" x14ac:dyDescent="0.2">
      <c r="A11" t="s">
        <v>126</v>
      </c>
      <c r="B11">
        <v>41.600964577715743</v>
      </c>
      <c r="C11">
        <v>38.123064771023252</v>
      </c>
      <c r="D11">
        <f>TableNEW[[#This Row],[ARIMAPP]]*$I$2+TableNEW[[#This Row],[LSTMPP]]*$I$3</f>
        <v>31.51342352847594</v>
      </c>
      <c r="E11">
        <v>31</v>
      </c>
      <c r="F11">
        <f>ABS(TableNEW[[#This Row],[PP]]-TableNEW[[#This Row],[AP]])</f>
        <v>0.51342352847593986</v>
      </c>
    </row>
    <row r="12" spans="1:9" x14ac:dyDescent="0.2">
      <c r="A12" t="s">
        <v>127</v>
      </c>
      <c r="B12">
        <v>46.666666666666693</v>
      </c>
      <c r="C12">
        <v>37.631578947368418</v>
      </c>
      <c r="D12">
        <f>TableNEW[[#This Row],[ARIMAPP]]*$I$2+TableNEW[[#This Row],[LSTMPP]]*$I$3</f>
        <v>45.086213947393361</v>
      </c>
      <c r="E12">
        <v>47</v>
      </c>
      <c r="F12">
        <f>ABS(TableNEW[[#This Row],[PP]]-TableNEW[[#This Row],[AP]])</f>
        <v>1.913786052606639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128</v>
      </c>
      <c r="B2">
        <v>33.049624854477223</v>
      </c>
      <c r="C2">
        <v>33.358778625954201</v>
      </c>
      <c r="D2">
        <f>TableNFO[[#This Row],[ARIMAPP]]*$I$2+TableNFO[[#This Row],[LSTMPP]]*$I$3</f>
        <v>50.999998572655585</v>
      </c>
      <c r="E2">
        <v>51</v>
      </c>
      <c r="F2">
        <f>ABS(TableNFO[[#This Row],[PP]]-TableNFO[[#This Row],[AP]])</f>
        <v>1.4273444151058357E-6</v>
      </c>
      <c r="H2" t="s">
        <v>0</v>
      </c>
      <c r="I2">
        <v>1.0374458343341206</v>
      </c>
    </row>
    <row r="3" spans="1:9" x14ac:dyDescent="0.2">
      <c r="A3" t="s">
        <v>129</v>
      </c>
      <c r="B3">
        <v>31.142738118992501</v>
      </c>
      <c r="C3">
        <v>25.833333333333329</v>
      </c>
      <c r="D3">
        <f>TableNFO[[#This Row],[ARIMAPP]]*$I$2+TableNFO[[#This Row],[LSTMPP]]*$I$3</f>
        <v>45.251446407221863</v>
      </c>
      <c r="E3">
        <v>36</v>
      </c>
      <c r="F3">
        <f>ABS(TableNFO[[#This Row],[PP]]-TableNFO[[#This Row],[AP]])</f>
        <v>9.251446407221863</v>
      </c>
      <c r="H3" t="s">
        <v>1</v>
      </c>
      <c r="I3">
        <v>0.50100164422895488</v>
      </c>
    </row>
    <row r="4" spans="1:9" x14ac:dyDescent="0.2">
      <c r="A4" t="s">
        <v>130</v>
      </c>
      <c r="B4">
        <v>24.873153920011909</v>
      </c>
      <c r="C4">
        <v>24.714285714285719</v>
      </c>
      <c r="D4">
        <f>TableNFO[[#This Row],[ARIMAPP]]*$I$2+TableNFO[[#This Row],[LSTMPP]]*$I$3</f>
        <v>38.186447699869071</v>
      </c>
      <c r="E4">
        <v>43</v>
      </c>
      <c r="F4">
        <f>ABS(TableNFO[[#This Row],[PP]]-TableNFO[[#This Row],[AP]])</f>
        <v>4.8135523001309295</v>
      </c>
    </row>
    <row r="5" spans="1:9" x14ac:dyDescent="0.2">
      <c r="A5" t="s">
        <v>131</v>
      </c>
      <c r="B5">
        <v>18.48484848484847</v>
      </c>
      <c r="C5">
        <v>23.84615384615384</v>
      </c>
      <c r="D5">
        <f>TableNFO[[#This Row],[ARIMAPP]]*$I$2+TableNFO[[#This Row],[LSTMPP]]*$I$3</f>
        <v>31.123991344363116</v>
      </c>
      <c r="E5">
        <v>24</v>
      </c>
      <c r="F5">
        <f>ABS(TableNFO[[#This Row],[PP]]-TableNFO[[#This Row],[AP]])</f>
        <v>7.123991344363116</v>
      </c>
      <c r="H5" t="s">
        <v>2</v>
      </c>
      <c r="I5" cm="1">
        <f t="array" ref="I5">SUM(ABS(TableNFO[PP]-TableNFO[AP]))</f>
        <v>21.230841424526371</v>
      </c>
    </row>
    <row r="6" spans="1:9" x14ac:dyDescent="0.2">
      <c r="A6" t="s">
        <v>132</v>
      </c>
      <c r="B6">
        <v>17.5</v>
      </c>
      <c r="C6">
        <v>21.5625</v>
      </c>
      <c r="D6">
        <f>TableNFO[[#This Row],[ARIMAPP]]*$I$2+TableNFO[[#This Row],[LSTMPP]]*$I$3</f>
        <v>28.958150054533952</v>
      </c>
      <c r="E6">
        <v>29</v>
      </c>
      <c r="F6">
        <f>ABS(TableNFO[[#This Row],[PP]]-TableNFO[[#This Row],[AP]])</f>
        <v>4.18499454660477E-2</v>
      </c>
    </row>
    <row r="7" spans="1:9" x14ac:dyDescent="0.2">
      <c r="H7" t="s">
        <v>3</v>
      </c>
      <c r="I7">
        <f>AVERAGE(TableNFO[DIFF])/10</f>
        <v>0.42461682849052745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133</v>
      </c>
      <c r="B2">
        <v>18.75</v>
      </c>
      <c r="C2">
        <v>22.5</v>
      </c>
      <c r="D2">
        <f>TableSHU[[#This Row],[ARIMAPP]]*$I$2+TableSHU[[#This Row],[LSTMPP]]*$I$3</f>
        <v>34.000000000050001</v>
      </c>
      <c r="E2">
        <v>34</v>
      </c>
      <c r="F2">
        <f>ABS(TableSHU[[#This Row],[PP]]-TableSHU[[#This Row],[AP]])</f>
        <v>5.000089231543825E-11</v>
      </c>
      <c r="H2" t="s">
        <v>0</v>
      </c>
      <c r="I2">
        <v>1</v>
      </c>
    </row>
    <row r="3" spans="1:9" x14ac:dyDescent="0.2">
      <c r="H3" t="s">
        <v>1</v>
      </c>
      <c r="I3">
        <v>0.67777777778000003</v>
      </c>
    </row>
    <row r="5" spans="1:9" x14ac:dyDescent="0.2">
      <c r="H5" t="s">
        <v>2</v>
      </c>
      <c r="I5">
        <f>SUM(ABS(TableSHU[PP]-TableSHU[AP]))</f>
        <v>5.000089231543825E-11</v>
      </c>
    </row>
    <row r="7" spans="1:9" x14ac:dyDescent="0.2">
      <c r="H7" t="s">
        <v>3</v>
      </c>
      <c r="I7">
        <f>AVERAGE(TableSHU[DIFF])/10</f>
        <v>5.0000892315438253E-12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134</v>
      </c>
      <c r="B2">
        <v>43.451991934040016</v>
      </c>
      <c r="C2">
        <v>42.058552396590443</v>
      </c>
      <c r="D2">
        <f>TableTOT[[#This Row],[ARIMAPP]]*$I$2+TableTOT[[#This Row],[LSTMPP]]*$I$3</f>
        <v>50.405999201487305</v>
      </c>
      <c r="E2">
        <v>54</v>
      </c>
      <c r="F2">
        <f>ABS(TableTOT[[#This Row],[PP]]-TableTOT[[#This Row],[AP]])</f>
        <v>3.5940007985126954</v>
      </c>
      <c r="H2" t="s">
        <v>0</v>
      </c>
      <c r="I2">
        <v>-6.5559525204939864E-2</v>
      </c>
    </row>
    <row r="3" spans="1:9" x14ac:dyDescent="0.2">
      <c r="A3" t="s">
        <v>135</v>
      </c>
      <c r="B3">
        <v>24.42458453067751</v>
      </c>
      <c r="C3">
        <v>40.752736553038979</v>
      </c>
      <c r="D3">
        <f>TableTOT[[#This Row],[ARIMAPP]]*$I$2+TableTOT[[#This Row],[LSTMPP]]*$I$3</f>
        <v>49.999998252754438</v>
      </c>
      <c r="E3">
        <v>50</v>
      </c>
      <c r="F3">
        <f>ABS(TableTOT[[#This Row],[PP]]-TableTOT[[#This Row],[AP]])</f>
        <v>1.747245562455646E-6</v>
      </c>
      <c r="H3" t="s">
        <v>1</v>
      </c>
      <c r="I3">
        <v>1.2662036167989708</v>
      </c>
    </row>
    <row r="4" spans="1:9" x14ac:dyDescent="0.2">
      <c r="A4" t="s">
        <v>136</v>
      </c>
      <c r="B4">
        <v>30.78431372549019</v>
      </c>
      <c r="C4">
        <v>28</v>
      </c>
      <c r="D4">
        <f>TableTOT[[#This Row],[ARIMAPP]]*$I$2+TableTOT[[#This Row],[LSTMPP]]*$I$3</f>
        <v>33.435496278768134</v>
      </c>
      <c r="E4">
        <v>33</v>
      </c>
      <c r="F4">
        <f>ABS(TableTOT[[#This Row],[PP]]-TableTOT[[#This Row],[AP]])</f>
        <v>0.43549627876813446</v>
      </c>
    </row>
    <row r="5" spans="1:9" x14ac:dyDescent="0.2">
      <c r="A5" t="s">
        <v>137</v>
      </c>
      <c r="B5">
        <v>38.005748478558857</v>
      </c>
      <c r="C5">
        <v>40.7374432028667</v>
      </c>
      <c r="D5">
        <f>TableTOT[[#This Row],[ARIMAPP]]*$I$2+TableTOT[[#This Row],[LSTMPP]]*$I$3</f>
        <v>49.090259097299779</v>
      </c>
      <c r="E5">
        <v>45</v>
      </c>
      <c r="F5">
        <f>ABS(TableTOT[[#This Row],[PP]]-TableTOT[[#This Row],[AP]])</f>
        <v>4.0902590972997785</v>
      </c>
      <c r="H5" t="s">
        <v>2</v>
      </c>
      <c r="I5" cm="1">
        <f t="array" ref="I5">SUM(ABS(TableTOT[PP]-TableTOT[AP]))</f>
        <v>24.837627222383823</v>
      </c>
    </row>
    <row r="6" spans="1:9" x14ac:dyDescent="0.2">
      <c r="A6" t="s">
        <v>138</v>
      </c>
      <c r="B6">
        <v>29.069767441860471</v>
      </c>
      <c r="C6">
        <v>30.588235294117641</v>
      </c>
      <c r="D6">
        <f>TableTOT[[#This Row],[ARIMAPP]]*$I$2+TableTOT[[#This Row],[LSTMPP]]*$I$3</f>
        <v>36.825134009603289</v>
      </c>
      <c r="E6">
        <v>37</v>
      </c>
      <c r="F6">
        <f>ABS(TableTOT[[#This Row],[PP]]-TableTOT[[#This Row],[AP]])</f>
        <v>0.17486599039671091</v>
      </c>
    </row>
    <row r="7" spans="1:9" x14ac:dyDescent="0.2">
      <c r="A7" t="s">
        <v>139</v>
      </c>
      <c r="B7">
        <v>49.54545454545454</v>
      </c>
      <c r="C7">
        <v>40.410722131424393</v>
      </c>
      <c r="D7">
        <f>TableTOT[[#This Row],[ARIMAPP]]*$I$2+TableTOT[[#This Row],[LSTMPP]]*$I$3</f>
        <v>47.920026044204846</v>
      </c>
      <c r="E7">
        <v>59</v>
      </c>
      <c r="F7">
        <f>ABS(TableTOT[[#This Row],[PP]]-TableTOT[[#This Row],[AP]])</f>
        <v>11.079973955795154</v>
      </c>
      <c r="H7" t="s">
        <v>3</v>
      </c>
      <c r="I7">
        <f>AVERAGE(TableTOT[DIFF])/10</f>
        <v>0.31047034027979781</v>
      </c>
    </row>
    <row r="8" spans="1:9" x14ac:dyDescent="0.2">
      <c r="A8" t="s">
        <v>140</v>
      </c>
      <c r="B8">
        <v>19.444444444444439</v>
      </c>
      <c r="C8">
        <v>23.928571428571431</v>
      </c>
      <c r="D8">
        <f>TableTOT[[#This Row],[ARIMAPP]]*$I$2+TableTOT[[#This Row],[LSTMPP]]*$I$3</f>
        <v>29.023675142038051</v>
      </c>
      <c r="E8">
        <v>26</v>
      </c>
      <c r="F8">
        <f>ABS(TableTOT[[#This Row],[PP]]-TableTOT[[#This Row],[AP]])</f>
        <v>3.0236751420380514</v>
      </c>
    </row>
    <row r="9" spans="1:9" x14ac:dyDescent="0.2">
      <c r="A9" t="s">
        <v>141</v>
      </c>
      <c r="B9">
        <v>42.212523743172149</v>
      </c>
      <c r="C9">
        <v>33.333333333333329</v>
      </c>
      <c r="D9">
        <f>TableTOT[[#This Row],[ARIMAPP]]*$I$2+TableTOT[[#This Row],[LSTMPP]]*$I$3</f>
        <v>39.439354212327736</v>
      </c>
      <c r="E9">
        <v>37</v>
      </c>
      <c r="F9">
        <f>ABS(TableTOT[[#This Row],[PP]]-TableTOT[[#This Row],[AP]])</f>
        <v>2.4393542123277356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142</v>
      </c>
      <c r="B2">
        <v>38.3176524123473</v>
      </c>
      <c r="C2">
        <v>33.652482269503558</v>
      </c>
      <c r="D2">
        <f>TableWHU[[#This Row],[ARIMAPP]]*$I$2+TableWHU[[#This Row],[LSTMPP]]*$I$3</f>
        <v>39.048598823091162</v>
      </c>
      <c r="E2">
        <v>40</v>
      </c>
      <c r="F2">
        <f>ABS(TableWHU[[#This Row],[PP]]-TableWHU[[#This Row],[AP]])</f>
        <v>0.95140117690883841</v>
      </c>
      <c r="H2" t="s">
        <v>0</v>
      </c>
      <c r="I2">
        <v>5.0047525204483814E-2</v>
      </c>
    </row>
    <row r="3" spans="1:9" x14ac:dyDescent="0.2">
      <c r="A3" t="s">
        <v>143</v>
      </c>
      <c r="B3">
        <v>32.867647058823508</v>
      </c>
      <c r="C3">
        <v>31.111111111111111</v>
      </c>
      <c r="D3">
        <f>TableWHU[[#This Row],[ARIMAPP]]*$I$2+TableWHU[[#This Row],[LSTMPP]]*$I$3</f>
        <v>35.971785290297106</v>
      </c>
      <c r="E3">
        <v>26</v>
      </c>
      <c r="F3">
        <f>ABS(TableWHU[[#This Row],[PP]]-TableWHU[[#This Row],[AP]])</f>
        <v>9.971785290297106</v>
      </c>
      <c r="H3" t="s">
        <v>1</v>
      </c>
      <c r="I3">
        <v>1.1033627430763464</v>
      </c>
    </row>
    <row r="4" spans="1:9" x14ac:dyDescent="0.2">
      <c r="A4" t="s">
        <v>144</v>
      </c>
      <c r="B4">
        <v>18.392857142857149</v>
      </c>
      <c r="C4">
        <v>23.63636363636364</v>
      </c>
      <c r="D4">
        <f>TableWHU[[#This Row],[ARIMAPP]]*$I$2+TableWHU[[#This Row],[LSTMPP]]*$I$3</f>
        <v>26.999999999607809</v>
      </c>
      <c r="E4">
        <v>27</v>
      </c>
      <c r="F4">
        <f>ABS(TableWHU[[#This Row],[PP]]-TableWHU[[#This Row],[AP]])</f>
        <v>3.921911684301449E-10</v>
      </c>
    </row>
    <row r="5" spans="1:9" x14ac:dyDescent="0.2">
      <c r="A5" t="s">
        <v>145</v>
      </c>
      <c r="B5">
        <v>40.952391524485677</v>
      </c>
      <c r="C5">
        <v>40.95326893965062</v>
      </c>
      <c r="D5">
        <f>TableWHU[[#This Row],[ARIMAPP]]*$I$2+TableWHU[[#This Row],[LSTMPP]]*$I$3</f>
        <v>47.235877002201832</v>
      </c>
      <c r="E5">
        <v>58</v>
      </c>
      <c r="F5">
        <f>ABS(TableWHU[[#This Row],[PP]]-TableWHU[[#This Row],[AP]])</f>
        <v>10.764122997798168</v>
      </c>
      <c r="H5" t="s">
        <v>2</v>
      </c>
      <c r="I5" cm="1">
        <f t="array" ref="I5">SUM(ABS(TableWHU[PP]-TableWHU[AP]))</f>
        <v>25.00947110553092</v>
      </c>
    </row>
    <row r="6" spans="1:9" x14ac:dyDescent="0.2">
      <c r="A6" t="s">
        <v>146</v>
      </c>
      <c r="B6">
        <v>31.999999999999989</v>
      </c>
      <c r="C6">
        <v>31.388888888888889</v>
      </c>
      <c r="D6">
        <f>TableWHU[[#This Row],[ARIMAPP]]*$I$2+TableWHU[[#This Row],[LSTMPP]]*$I$3</f>
        <v>36.234851353106578</v>
      </c>
      <c r="E6">
        <v>37</v>
      </c>
      <c r="F6">
        <f>ABS(TableWHU[[#This Row],[PP]]-TableWHU[[#This Row],[AP]])</f>
        <v>0.76514864689342232</v>
      </c>
    </row>
    <row r="7" spans="1:9" x14ac:dyDescent="0.2">
      <c r="A7" t="s">
        <v>147</v>
      </c>
      <c r="B7">
        <v>34.010898203455042</v>
      </c>
      <c r="C7">
        <v>37.027579519557626</v>
      </c>
      <c r="D7">
        <f>TableWHU[[#This Row],[ARIMAPP]]*$I$2+TableWHU[[#This Row],[LSTMPP]]*$I$3</f>
        <v>42.557012993241194</v>
      </c>
      <c r="E7">
        <v>40</v>
      </c>
      <c r="F7">
        <f>ABS(TableWHU[[#This Row],[PP]]-TableWHU[[#This Row],[AP]])</f>
        <v>2.5570129932411945</v>
      </c>
      <c r="H7" t="s">
        <v>3</v>
      </c>
      <c r="I7">
        <f>AVERAGE(TableWHU[DIFF])/10</f>
        <v>0.41682451842551532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2" max="3" width="0" hidden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148</v>
      </c>
      <c r="B2">
        <v>18.81222108289823</v>
      </c>
      <c r="C2">
        <v>24.912280701754391</v>
      </c>
      <c r="D2">
        <f>TableWOL[[#This Row],[ARIMAPP]]*$I$2+TableWOL[[#This Row],[LSTMPP]]*$I$3</f>
        <v>35.550558010349683</v>
      </c>
      <c r="E2">
        <v>45</v>
      </c>
      <c r="F2">
        <f>ABS(TableWOL[[#This Row],[PP]]-TableWOL[[#This Row],[AP]])</f>
        <v>9.4494419896503175</v>
      </c>
      <c r="H2" t="s">
        <v>0</v>
      </c>
      <c r="I2">
        <v>0.49907383418269802</v>
      </c>
    </row>
    <row r="3" spans="1:9" x14ac:dyDescent="0.2">
      <c r="A3" t="s">
        <v>149</v>
      </c>
      <c r="B3">
        <v>41.218440263793013</v>
      </c>
      <c r="C3">
        <v>34.750000000000007</v>
      </c>
      <c r="D3">
        <f>TableWOL[[#This Row],[ARIMAPP]]*$I$2+TableWOL[[#This Row],[LSTMPP]]*$I$3</f>
        <v>57.064091077086331</v>
      </c>
      <c r="E3">
        <v>20</v>
      </c>
      <c r="F3">
        <f>ABS(TableWOL[[#This Row],[PP]]-TableWOL[[#This Row],[AP]])</f>
        <v>37.064091077086331</v>
      </c>
      <c r="H3" t="s">
        <v>1</v>
      </c>
      <c r="I3">
        <v>1.0501595987224359</v>
      </c>
    </row>
    <row r="4" spans="1:9" x14ac:dyDescent="0.2">
      <c r="A4" t="s">
        <v>150</v>
      </c>
      <c r="B4">
        <v>21.481481481481481</v>
      </c>
      <c r="C4">
        <v>25.714285714285719</v>
      </c>
      <c r="D4">
        <f>TableWOL[[#This Row],[ARIMAPP]]*$I$2+TableWOL[[#This Row],[LSTMPP]]*$I$3</f>
        <v>37.724949294035945</v>
      </c>
      <c r="E4">
        <v>28</v>
      </c>
      <c r="F4">
        <f>ABS(TableWOL[[#This Row],[PP]]-TableWOL[[#This Row],[AP]])</f>
        <v>9.7249492940359445</v>
      </c>
    </row>
    <row r="5" spans="1:9" x14ac:dyDescent="0.2">
      <c r="A5" t="s">
        <v>151</v>
      </c>
      <c r="B5">
        <v>49.333055076758413</v>
      </c>
      <c r="C5">
        <v>26.071428571428569</v>
      </c>
      <c r="D5">
        <f>TableWOL[[#This Row],[ARIMAPP]]*$I$2+TableWOL[[#This Row],[LSTMPP]]*$I$3</f>
        <v>51.999997915796115</v>
      </c>
      <c r="E5">
        <v>52</v>
      </c>
      <c r="F5">
        <f>ABS(TableWOL[[#This Row],[PP]]-TableWOL[[#This Row],[AP]])</f>
        <v>2.0842038850332756E-6</v>
      </c>
      <c r="H5" t="s">
        <v>2</v>
      </c>
      <c r="I5" cm="1">
        <f t="array" ref="I5">SUM(ABS(TableWOL[PP]-TableWOL[AP]))</f>
        <v>60.002382623286131</v>
      </c>
    </row>
    <row r="6" spans="1:9" x14ac:dyDescent="0.2">
      <c r="A6" t="s">
        <v>152</v>
      </c>
      <c r="B6">
        <v>26.538461538461529</v>
      </c>
      <c r="C6">
        <v>24.75</v>
      </c>
      <c r="D6">
        <f>TableWOL[[#This Row],[ARIMAPP]]*$I$2+TableWOL[[#This Row],[LSTMPP]]*$I$3</f>
        <v>39.236101821690347</v>
      </c>
      <c r="E6">
        <v>43</v>
      </c>
      <c r="F6">
        <f>ABS(TableWOL[[#This Row],[PP]]-TableWOL[[#This Row],[AP]])</f>
        <v>3.7638981783096526</v>
      </c>
    </row>
    <row r="7" spans="1:9" x14ac:dyDescent="0.2">
      <c r="H7" t="s">
        <v>3</v>
      </c>
      <c r="I7">
        <f>AVERAGE(TableWOL[DIFF])/10</f>
        <v>1.2000476524657226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2023-12-29T14:28:35Z</dcterms:created>
  <dcterms:modified xsi:type="dcterms:W3CDTF">2023-12-29T14:47:49Z</dcterms:modified>
</cp:coreProperties>
</file>